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<sst xmlns="http://schemas.openxmlformats.org/spreadsheetml/2006/main" count="11283" uniqueCount="1125">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</sst>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6">
    <font>
      <sz val="11.0"/>
      <color theme="1"/>
      <name val="Arial"/>
    </font>
    <font>
      <b/>
      <sz val="11.0"/>
      <color rgb="FF000000"/>
      <name val="Calibri"/>
    </font>
    <font>
      <b/>
      <sz val="11.0"/>
      <color theme="1"/>
      <name val="Calibri"/>
    </font>
    <font>
      <sz val="11.0"/>
      <color theme="1"/>
      <name val="Calibri"/>
    </font>
    <font>
      <sz val="11.0"/>
      <color rgb="FF000000"/>
      <name val="Calibri"/>
    </font>
    <font>
      <color theme="1"/>
      <name val="Calibri"/>
    </font>
    <font>
      <b/>
      <sz val="11.0"/>
      <color rgb="FFFF0000"/>
      <name val="Calibri"/>
    </font>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3"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3" numFmtId="14" xfId="0" applyAlignment="1" applyBorder="1" applyFont="1" applyNumberFormat="1">
      <alignment horizontal="center" readingOrder="0"/>
    </xf>
    <xf borderId="1" fillId="0" fontId="3" numFmtId="0" xfId="0" applyAlignment="1" applyBorder="1" applyFont="1">
      <alignment horizontal="center" readingOrder="0" shrinkToFit="0" vertical="center" wrapText="1"/>
    </xf>
    <xf borderId="1" fillId="0" fontId="3" numFmtId="1"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5" numFmtId="0" xfId="0" applyAlignment="1" applyBorder="1" applyFont="1">
      <alignment horizontal="center" readingOrder="0"/>
    </xf>
    <xf borderId="1" fillId="10" fontId="6" numFmtId="0" xfId="0" applyAlignment="1" applyBorder="1" applyFill="1" applyFont="1">
      <alignment horizontal="left"/>
    </xf>
    <xf borderId="7" fillId="10" fontId="1" numFmtId="0" xfId="0" applyAlignment="1" applyBorder="1" applyFont="1">
      <alignment horizontal="center" readingOrder="0"/>
    </xf>
    <xf borderId="3" fillId="0" fontId="7"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3"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8" numFmtId="1" xfId="0" applyAlignment="1" applyBorder="1" applyFont="1" applyNumberFormat="1">
      <alignment horizontal="center"/>
    </xf>
    <xf borderId="4" fillId="10" fontId="8"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3" numFmtId="1" xfId="0" applyBorder="1" applyFill="1" applyFont="1" applyNumberFormat="1"/>
    <xf borderId="4" fillId="11" fontId="3"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9" numFmtId="0" xfId="0" applyAlignment="1" applyFont="1">
      <alignment readingOrder="0" shrinkToFit="0" wrapText="0"/>
    </xf>
    <xf borderId="0" fillId="0" fontId="10"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1" numFmtId="0" xfId="0" applyAlignment="1" applyFont="1">
      <alignment readingOrder="0" shrinkToFit="0" vertical="top" wrapText="0"/>
    </xf>
    <xf borderId="0" fillId="0" fontId="11" numFmtId="0" xfId="0" applyAlignment="1" applyFont="1">
      <alignment shrinkToFit="0" vertical="top" wrapText="0"/>
    </xf>
    <xf borderId="0" fillId="0" fontId="12" numFmtId="0" xfId="0" applyAlignment="1" applyFont="1">
      <alignment shrinkToFit="0" vertical="bottom" wrapText="0"/>
    </xf>
    <xf borderId="0" fillId="0" fontId="4" numFmtId="0" xfId="0" applyAlignment="1" applyFont="1">
      <alignment shrinkToFit="0" vertical="bottom" wrapText="0"/>
    </xf>
    <xf borderId="0" fillId="0" fontId="11" numFmtId="0" xfId="0" applyAlignment="1" applyFont="1">
      <alignment vertical="bottom"/>
    </xf>
    <xf borderId="0" fillId="0" fontId="3" numFmtId="0" xfId="0" applyAlignment="1" applyFont="1">
      <alignment readingOrder="0" shrinkToFit="0" vertical="bottom" wrapText="0"/>
    </xf>
    <xf borderId="0" fillId="0" fontId="8"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3" numFmtId="0" xfId="0" applyAlignment="1" applyFont="1">
      <alignment shrinkToFit="0" vertical="bottom" wrapText="0"/>
    </xf>
    <xf borderId="8" fillId="12" fontId="13" numFmtId="0" xfId="0" applyAlignment="1" applyBorder="1" applyFill="1" applyFont="1">
      <alignment horizontal="left" readingOrder="0" shrinkToFit="0" vertical="top" wrapText="1"/>
    </xf>
    <xf borderId="7" fillId="0" fontId="7"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4"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5"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4"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6" numFmtId="0" xfId="0" applyAlignment="1" applyFont="1">
      <alignment horizontal="center"/>
    </xf>
    <xf borderId="8" fillId="12" fontId="13" numFmtId="0" xfId="0" applyAlignment="1" applyBorder="1" applyFont="1">
      <alignment horizontal="left" readingOrder="0" shrinkToFit="0" wrapText="1"/>
    </xf>
    <xf borderId="0" fillId="0" fontId="3" numFmtId="0" xfId="0" applyAlignment="1" applyFont="1">
      <alignment horizontal="center" shrinkToFit="0" vertical="bottom" wrapText="0"/>
    </xf>
    <xf borderId="1" fillId="11" fontId="17" numFmtId="0" xfId="0" applyAlignment="1" applyBorder="1" applyFont="1">
      <alignment horizontal="center" readingOrder="0" vertical="center"/>
    </xf>
    <xf borderId="3" fillId="11" fontId="17"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7" numFmtId="0" xfId="0" applyAlignment="1" applyBorder="1" applyFont="1">
      <alignment horizontal="left" readingOrder="0" shrinkToFit="0" vertical="center" wrapText="1"/>
    </xf>
    <xf borderId="4" fillId="0" fontId="14"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horizontal="center" readingOrder="0" vertical="bottom"/>
    </xf>
    <xf borderId="8" fillId="12" fontId="20"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4" numFmtId="0" xfId="0" applyAlignment="1" applyBorder="1" applyFont="1">
      <alignment horizontal="center" readingOrder="0" shrinkToFit="0" vertical="bottom" wrapText="1"/>
    </xf>
    <xf borderId="3" fillId="13" fontId="14"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18" numFmtId="3" xfId="0" applyAlignment="1" applyBorder="1" applyFont="1" applyNumberFormat="1">
      <alignment horizontal="center" readingOrder="0" vertical="bottom"/>
    </xf>
    <xf borderId="0" fillId="0" fontId="14" numFmtId="0" xfId="0" applyAlignment="1" applyFont="1">
      <alignment horizontal="center" vertical="top"/>
    </xf>
    <xf borderId="0" fillId="0" fontId="21" numFmtId="0" xfId="0" applyAlignment="1" applyFont="1">
      <alignment readingOrder="0" shrinkToFit="0" vertical="bottom" wrapText="0"/>
    </xf>
    <xf borderId="0" fillId="0" fontId="4" numFmtId="0" xfId="0" applyAlignment="1" applyFont="1">
      <alignment readingOrder="0" shrinkToFit="0" vertical="bottom" wrapText="0"/>
    </xf>
    <xf borderId="8" fillId="12" fontId="22" numFmtId="0" xfId="0" applyAlignment="1" applyBorder="1" applyFont="1">
      <alignment horizontal="left" readingOrder="0" shrinkToFit="0" vertical="top" wrapText="1"/>
    </xf>
    <xf borderId="0" fillId="0" fontId="22" numFmtId="0" xfId="0" applyAlignment="1" applyFont="1">
      <alignment vertical="top"/>
    </xf>
    <xf borderId="0" fillId="0" fontId="22" numFmtId="0" xfId="0" applyAlignment="1" applyFont="1">
      <alignment shrinkToFit="0" vertical="bottom" wrapText="0"/>
    </xf>
    <xf borderId="1" fillId="2" fontId="20"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3"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3" numFmtId="167" xfId="0" applyAlignment="1" applyBorder="1" applyFill="1" applyFont="1" applyNumberFormat="1">
      <alignment readingOrder="0" shrinkToFit="0" vertical="bottom" wrapText="0"/>
    </xf>
    <xf borderId="2" fillId="15" fontId="23" numFmtId="167" xfId="0" applyAlignment="1" applyBorder="1" applyFill="1" applyFont="1" applyNumberFormat="1">
      <alignment readingOrder="0" shrinkToFit="0" vertical="bottom" wrapText="0"/>
    </xf>
    <xf borderId="2" fillId="2" fontId="23"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5" numFmtId="0" xfId="0" applyAlignment="1" applyFont="1">
      <alignment shrinkToFit="0" wrapText="1"/>
    </xf>
    <xf borderId="2" fillId="16" fontId="23" numFmtId="167" xfId="0" applyAlignment="1" applyBorder="1" applyFill="1" applyFont="1" applyNumberFormat="1">
      <alignment readingOrder="0" shrinkToFit="0" vertical="bottom" wrapText="0"/>
    </xf>
    <xf borderId="1" fillId="2" fontId="20"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9" numFmtId="0" xfId="0" applyAlignment="1" applyFont="1">
      <alignment readingOrder="0" shrinkToFit="0" wrapText="0"/>
    </xf>
    <xf borderId="0" fillId="0" fontId="4" numFmtId="0" xfId="0" applyAlignment="1" applyFont="1">
      <alignment shrinkToFit="0" vertical="bottom" wrapText="0"/>
    </xf>
    <xf borderId="0" fillId="0" fontId="9" numFmtId="0" xfId="0" applyAlignment="1" applyFont="1">
      <alignment horizontal="left" readingOrder="0" shrinkToFit="0" vertical="center" wrapText="1"/>
    </xf>
    <xf borderId="0" fillId="0" fontId="9" numFmtId="0" xfId="0" applyAlignment="1" applyFont="1">
      <alignment readingOrder="0"/>
    </xf>
    <xf borderId="0" fillId="0" fontId="9"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1" numFmtId="0" xfId="0" applyAlignment="1" applyFont="1">
      <alignment horizontal="left" readingOrder="0" shrinkToFit="0" vertical="top" wrapText="0"/>
    </xf>
    <xf borderId="0" fillId="0" fontId="11" numFmtId="0" xfId="0" applyAlignment="1" applyFont="1">
      <alignment vertical="center"/>
    </xf>
    <xf borderId="0" fillId="0" fontId="4" numFmtId="0" xfId="0" applyAlignment="1" applyFont="1">
      <alignment shrinkToFit="0" vertical="center" wrapText="0"/>
    </xf>
    <xf borderId="0" fillId="0" fontId="9" numFmtId="0" xfId="0" applyAlignment="1" applyFont="1">
      <alignment shrinkToFit="0" vertical="center" wrapText="0"/>
    </xf>
    <xf borderId="0" fillId="0" fontId="1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1" numFmtId="0" xfId="0" applyAlignment="1" applyFont="1">
      <alignment horizontal="center" vertical="bottom"/>
    </xf>
    <xf borderId="0" fillId="0" fontId="15"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4"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3" numFmtId="0" xfId="0" applyAlignment="1" applyFont="1">
      <alignment readingOrder="0" shrinkToFit="0" vertical="bottom" wrapText="1"/>
    </xf>
    <xf borderId="0" fillId="17" fontId="25"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6"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6"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3"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5"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3"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3"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9" numFmtId="0" xfId="0" applyAlignment="1" applyFont="1">
      <alignment horizontal="left" readingOrder="0" vertical="bottom"/>
    </xf>
    <xf borderId="0" fillId="0" fontId="3" numFmtId="0" xfId="0" applyAlignment="1" applyFont="1">
      <alignment horizontal="center"/>
    </xf>
    <xf borderId="8" fillId="0" fontId="27" numFmtId="0" xfId="0" applyAlignment="1" applyBorder="1" applyFont="1">
      <alignment horizontal="left" readingOrder="0" shrinkToFit="0" vertical="bottom" wrapText="0"/>
    </xf>
    <xf borderId="0" fillId="0" fontId="28" numFmtId="0" xfId="0" applyFont="1"/>
    <xf borderId="8" fillId="0" fontId="29" numFmtId="0" xfId="0" applyAlignment="1" applyBorder="1" applyFont="1">
      <alignment horizontal="left" readingOrder="0" shrinkToFit="0" vertical="bottom" wrapText="0"/>
    </xf>
    <xf borderId="8" fillId="0" fontId="29" numFmtId="0" xfId="0" applyAlignment="1" applyBorder="1" applyFont="1">
      <alignment horizontal="left" readingOrder="0" shrinkToFit="0" vertical="bottom" wrapText="1"/>
    </xf>
    <xf borderId="10" fillId="0" fontId="29" numFmtId="0" xfId="0" applyAlignment="1" applyBorder="1" applyFont="1">
      <alignment horizontal="left" readingOrder="0" shrinkToFit="0" vertical="bottom" wrapText="0"/>
    </xf>
    <xf borderId="4" fillId="0" fontId="29" numFmtId="0" xfId="0" applyAlignment="1" applyBorder="1" applyFont="1">
      <alignment horizontal="left" readingOrder="0" shrinkToFit="0" vertical="bottom" wrapText="0"/>
    </xf>
    <xf borderId="2" fillId="10" fontId="29" numFmtId="0" xfId="0" applyAlignment="1" applyBorder="1" applyFont="1">
      <alignment readingOrder="0"/>
    </xf>
    <xf borderId="4" fillId="10" fontId="29" numFmtId="0" xfId="0" applyAlignment="1" applyBorder="1" applyFont="1">
      <alignment readingOrder="0"/>
    </xf>
    <xf borderId="4" fillId="12" fontId="29" numFmtId="0" xfId="0" applyAlignment="1" applyBorder="1" applyFont="1">
      <alignment horizontal="left" readingOrder="0" shrinkToFit="0" vertical="bottom" wrapText="1"/>
    </xf>
    <xf borderId="4" fillId="4" fontId="29" numFmtId="0" xfId="0" applyAlignment="1" applyBorder="1" applyFont="1">
      <alignment readingOrder="0" shrinkToFit="0" vertical="bottom" wrapText="1"/>
    </xf>
    <xf borderId="0" fillId="0" fontId="29" numFmtId="0" xfId="0" applyAlignment="1" applyFont="1">
      <alignment horizontal="left" readingOrder="0" shrinkToFit="0" vertical="bottom" wrapText="0"/>
    </xf>
    <xf borderId="9" fillId="18" fontId="29" numFmtId="0" xfId="0" applyAlignment="1" applyBorder="1" applyFill="1" applyFont="1">
      <alignment horizontal="left" readingOrder="0"/>
    </xf>
    <xf borderId="10" fillId="0" fontId="7" numFmtId="0" xfId="0" applyBorder="1" applyFont="1"/>
    <xf borderId="4" fillId="0" fontId="7" numFmtId="0" xfId="0" applyBorder="1" applyFont="1"/>
    <xf borderId="2" fillId="0" fontId="30" numFmtId="0" xfId="0" applyAlignment="1" applyBorder="1" applyFont="1">
      <alignment readingOrder="0" shrinkToFit="0" vertical="bottom" wrapText="0"/>
    </xf>
    <xf borderId="4" fillId="0" fontId="30" numFmtId="0" xfId="0" applyAlignment="1" applyBorder="1" applyFont="1">
      <alignment readingOrder="0" shrinkToFit="0" vertical="bottom" wrapText="0"/>
    </xf>
    <xf borderId="4" fillId="0" fontId="30" numFmtId="0" xfId="0" applyAlignment="1" applyBorder="1" applyFont="1">
      <alignment horizontal="center" readingOrder="0" shrinkToFit="0" vertical="bottom" wrapText="0"/>
    </xf>
    <xf borderId="2" fillId="0" fontId="30" numFmtId="0" xfId="0" applyAlignment="1" applyBorder="1" applyFont="1">
      <alignment readingOrder="0" shrinkToFit="0" vertical="bottom" wrapText="1"/>
    </xf>
    <xf borderId="2" fillId="0" fontId="30" numFmtId="0" xfId="0" applyAlignment="1" applyBorder="1" applyFont="1">
      <alignment shrinkToFit="0" vertical="bottom" wrapText="0"/>
    </xf>
    <xf borderId="4" fillId="0" fontId="31" numFmtId="0" xfId="0" applyAlignment="1" applyBorder="1" applyFont="1">
      <alignment horizontal="right" readingOrder="0" shrinkToFit="0" vertical="bottom" wrapText="0"/>
    </xf>
    <xf borderId="4" fillId="0" fontId="31" numFmtId="0" xfId="0" applyAlignment="1" applyBorder="1" applyFont="1">
      <alignment horizontal="center" readingOrder="0" shrinkToFit="0" vertical="bottom" wrapText="0"/>
    </xf>
    <xf borderId="8" fillId="18" fontId="31" numFmtId="0" xfId="0" applyAlignment="1" applyBorder="1" applyFont="1">
      <alignment horizontal="left" readingOrder="0" shrinkToFit="0" vertical="bottom" wrapText="0"/>
    </xf>
    <xf borderId="8" fillId="14" fontId="32" numFmtId="0" xfId="0" applyAlignment="1" applyBorder="1" applyFont="1">
      <alignment horizontal="left" readingOrder="0" shrinkToFit="0" vertical="bottom" wrapText="1"/>
    </xf>
    <xf borderId="0" fillId="19" fontId="33" numFmtId="0" xfId="0" applyAlignment="1" applyFill="1" applyFont="1">
      <alignment shrinkToFit="0" vertical="bottom" wrapText="1"/>
    </xf>
    <xf borderId="1" fillId="19" fontId="33" numFmtId="0" xfId="0" applyAlignment="1" applyBorder="1" applyFont="1">
      <alignment readingOrder="0" shrinkToFit="0" vertical="bottom" wrapText="1"/>
    </xf>
    <xf borderId="1" fillId="19" fontId="33" numFmtId="0" xfId="0" applyAlignment="1" applyBorder="1" applyFont="1">
      <alignment shrinkToFit="0" vertical="bottom" wrapText="1"/>
    </xf>
    <xf borderId="1" fillId="20" fontId="33" numFmtId="0" xfId="0" applyAlignment="1" applyBorder="1" applyFill="1" applyFont="1">
      <alignment shrinkToFit="0" vertical="bottom" wrapText="1"/>
    </xf>
    <xf borderId="1" fillId="21" fontId="33" numFmtId="0" xfId="0" applyAlignment="1" applyBorder="1" applyFill="1" applyFont="1">
      <alignment horizontal="center" shrinkToFit="0" vertical="bottom" wrapText="1"/>
    </xf>
    <xf borderId="1" fillId="22" fontId="33" numFmtId="0" xfId="0" applyAlignment="1" applyBorder="1" applyFill="1" applyFont="1">
      <alignment horizontal="center" shrinkToFit="0" vertical="bottom" wrapText="1"/>
    </xf>
    <xf borderId="8" fillId="18" fontId="29" numFmtId="0" xfId="0" applyAlignment="1" applyBorder="1" applyFont="1">
      <alignment horizontal="left" readingOrder="0" shrinkToFit="0" wrapText="0"/>
    </xf>
    <xf borderId="2" fillId="0" fontId="34" numFmtId="0" xfId="0" applyAlignment="1" applyBorder="1" applyFont="1">
      <alignment horizontal="left" readingOrder="0"/>
    </xf>
    <xf borderId="4" fillId="0" fontId="34" numFmtId="0" xfId="0" applyAlignment="1" applyBorder="1" applyFont="1">
      <alignment horizontal="center" readingOrder="0" shrinkToFit="0" wrapText="0"/>
    </xf>
    <xf borderId="10" fillId="0" fontId="34" numFmtId="0" xfId="0" applyAlignment="1" applyBorder="1" applyFont="1">
      <alignment horizontal="center" readingOrder="0" shrinkToFit="0" wrapText="0"/>
    </xf>
    <xf borderId="2" fillId="0" fontId="34" numFmtId="0" xfId="0" applyAlignment="1" applyBorder="1" applyFont="1">
      <alignment horizontal="center" readingOrder="0" shrinkToFit="0" wrapText="0"/>
    </xf>
    <xf borderId="2" fillId="0" fontId="34" numFmtId="0" xfId="0" applyAlignment="1" applyBorder="1" applyFont="1">
      <alignment horizontal="left" readingOrder="0" shrinkToFit="0" wrapText="0"/>
    </xf>
    <xf borderId="10" fillId="0" fontId="34" numFmtId="0" xfId="0" applyAlignment="1" applyBorder="1" applyFont="1">
      <alignment horizontal="center" readingOrder="0"/>
    </xf>
    <xf borderId="2" fillId="0" fontId="34" numFmtId="0" xfId="0" applyAlignment="1" applyBorder="1" applyFont="1">
      <alignment horizontal="left" readingOrder="0" vertical="bottom"/>
    </xf>
    <xf borderId="4" fillId="0" fontId="34" numFmtId="0" xfId="0" applyAlignment="1" applyBorder="1" applyFont="1">
      <alignment horizontal="center" readingOrder="0" vertical="bottom"/>
    </xf>
    <xf borderId="10" fillId="0" fontId="34" numFmtId="0" xfId="0" applyAlignment="1" applyBorder="1" applyFont="1">
      <alignment horizontal="center" readingOrder="0" shrinkToFit="0" vertical="bottom" wrapText="0"/>
    </xf>
    <xf borderId="2" fillId="0" fontId="34" numFmtId="0" xfId="0" applyAlignment="1" applyBorder="1" applyFont="1">
      <alignment horizontal="center" readingOrder="0" shrinkToFit="0" vertical="bottom" wrapText="0"/>
    </xf>
    <xf borderId="2" fillId="0" fontId="34" numFmtId="0" xfId="0" applyAlignment="1" applyBorder="1" applyFont="1">
      <alignment horizontal="left" readingOrder="0" shrinkToFit="0" vertical="bottom" wrapText="0"/>
    </xf>
    <xf borderId="4" fillId="0" fontId="34" numFmtId="0" xfId="0" applyAlignment="1" applyBorder="1" applyFont="1">
      <alignment horizontal="center" readingOrder="0" shrinkToFit="0" vertical="bottom" wrapText="0"/>
    </xf>
    <xf borderId="2" fillId="0" fontId="30" numFmtId="0" xfId="0" applyAlignment="1" applyBorder="1" applyFont="1">
      <alignment horizontal="center" readingOrder="0" shrinkToFit="0" vertical="bottom" wrapText="0"/>
    </xf>
    <xf borderId="2" fillId="17" fontId="34" numFmtId="0" xfId="0" applyAlignment="1" applyBorder="1" applyFont="1">
      <alignment horizontal="center" readingOrder="0" shrinkToFit="0" vertical="bottom" wrapText="0"/>
    </xf>
    <xf borderId="2" fillId="0" fontId="34" numFmtId="0" xfId="0" applyAlignment="1" applyBorder="1" applyFont="1">
      <alignment readingOrder="0" vertical="bottom"/>
    </xf>
    <xf borderId="2" fillId="0" fontId="34" numFmtId="0" xfId="0" applyAlignment="1" applyBorder="1" applyFont="1">
      <alignment horizontal="left" readingOrder="0" shrinkToFit="0" vertical="bottom" wrapText="1"/>
    </xf>
    <xf borderId="2" fillId="0" fontId="35" numFmtId="0" xfId="0" applyAlignment="1" applyBorder="1" applyFont="1">
      <alignment horizontal="right" readingOrder="0" vertical="bottom"/>
    </xf>
    <xf borderId="4" fillId="0" fontId="35" numFmtId="0" xfId="0" applyAlignment="1" applyBorder="1" applyFont="1">
      <alignment horizontal="center" readingOrder="0" vertical="bottom"/>
    </xf>
    <xf borderId="10" fillId="0" fontId="35" numFmtId="0" xfId="0" applyAlignment="1" applyBorder="1" applyFont="1">
      <alignment horizontal="center" readingOrder="0" vertical="bottom"/>
    </xf>
    <xf borderId="2" fillId="0" fontId="35" numFmtId="0" xfId="0" applyAlignment="1" applyBorder="1" applyFont="1">
      <alignment horizontal="center" readingOrder="0" shrinkToFit="0" vertical="bottom" wrapText="0"/>
    </xf>
    <xf borderId="4" fillId="0" fontId="34" numFmtId="0" xfId="0" applyAlignment="1" applyBorder="1" applyFont="1">
      <alignment horizontal="center" readingOrder="0"/>
    </xf>
    <xf borderId="2" fillId="0" fontId="34" numFmtId="0" xfId="0" applyAlignment="1" applyBorder="1" applyFont="1">
      <alignment horizontal="center" readingOrder="0"/>
    </xf>
    <xf borderId="10" fillId="0" fontId="34" numFmtId="0" xfId="0" applyAlignment="1" applyBorder="1" applyFont="1">
      <alignment horizontal="center" readingOrder="0" vertical="bottom"/>
    </xf>
    <xf borderId="2" fillId="0" fontId="34" numFmtId="0" xfId="0" applyAlignment="1" applyBorder="1" applyFont="1">
      <alignment horizontal="center" readingOrder="0" vertical="bottom"/>
    </xf>
    <xf borderId="2" fillId="0" fontId="34" numFmtId="0" xfId="0" applyAlignment="1" applyBorder="1" applyFont="1">
      <alignment readingOrder="0" shrinkToFit="0" vertical="bottom" wrapText="0"/>
    </xf>
    <xf borderId="2" fillId="0" fontId="35" numFmtId="0" xfId="0" applyAlignment="1" applyBorder="1" applyFont="1">
      <alignment horizontal="right" readingOrder="0" shrinkToFit="0" vertical="bottom" wrapText="1"/>
    </xf>
    <xf borderId="11" fillId="0" fontId="32" numFmtId="0" xfId="0" applyAlignment="1" applyBorder="1" applyFont="1">
      <alignment horizontal="left" readingOrder="0" shrinkToFit="0" vertical="top" wrapText="1"/>
    </xf>
    <xf borderId="11" fillId="0" fontId="7" numFmtId="0" xfId="0" applyBorder="1" applyFont="1"/>
    <xf borderId="0" fillId="0" fontId="5" numFmtId="14" xfId="0" applyFont="1" applyNumberFormat="1"/>
    <xf borderId="0" fillId="0" fontId="5"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3"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3"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44267.0</v>
      </c>
    </row>
    <row r="2" ht="14.25" customHeight="1">
      <c r="A2" s="3" t="s">
        <v>1</v>
      </c>
      <c r="B2" s="4">
        <v>369.0</v>
      </c>
    </row>
    <row r="3" ht="14.25" customHeight="1">
      <c r="A3" s="3" t="s">
        <v>2</v>
      </c>
      <c r="B3" s="4">
        <v>442.0</v>
      </c>
    </row>
    <row r="4" ht="14.25" customHeight="1">
      <c r="A4" s="3" t="s">
        <v>3</v>
      </c>
      <c r="B4" s="4">
        <v>155259.0</v>
      </c>
    </row>
    <row r="5" ht="14.25" customHeight="1">
      <c r="A5" s="3" t="s">
        <v>4</v>
      </c>
      <c r="B5" s="4">
        <v>16843.0</v>
      </c>
    </row>
    <row r="6" ht="14.25" customHeight="1">
      <c r="A6" s="5" t="s">
        <v>5</v>
      </c>
      <c r="B6" s="4">
        <v>3049993.0</v>
      </c>
    </row>
    <row r="7" ht="14.25" customHeight="1">
      <c r="A7" s="6" t="s">
        <v>6</v>
      </c>
      <c r="B7" s="4">
        <v>17212.0</v>
      </c>
    </row>
    <row r="8" ht="14.25" customHeight="1">
      <c r="A8" s="6" t="s">
        <v>7</v>
      </c>
      <c r="B8" s="7">
        <v>3205252.0</v>
      </c>
    </row>
    <row r="9" ht="14.25" customHeight="1">
      <c r="A9" s="8" t="s">
        <v>8</v>
      </c>
      <c r="B9" s="7">
        <v>315.0</v>
      </c>
    </row>
    <row r="10" ht="14.25" customHeight="1">
      <c r="A10" s="9" t="s">
        <v>9</v>
      </c>
      <c r="B10" s="7">
        <v>386.0</v>
      </c>
    </row>
    <row r="11" ht="14.25" customHeight="1">
      <c r="A11" s="8" t="s">
        <v>10</v>
      </c>
      <c r="B11" s="7">
        <v>130502.0</v>
      </c>
    </row>
    <row r="12" ht="14.25" customHeight="1">
      <c r="A12" s="8" t="s">
        <v>11</v>
      </c>
      <c r="B12" s="7">
        <v>1837.0</v>
      </c>
    </row>
    <row r="13" ht="14.25" customHeight="1">
      <c r="A13" s="8" t="s">
        <v>12</v>
      </c>
      <c r="B13" s="7">
        <v>684398.0</v>
      </c>
    </row>
    <row r="14" ht="15.0" customHeight="1">
      <c r="A14" s="8" t="s">
        <v>13</v>
      </c>
      <c r="B14" s="7">
        <v>814900.0</v>
      </c>
    </row>
    <row r="15" ht="14.25" customHeight="1">
      <c r="A15" s="10" t="s">
        <v>14</v>
      </c>
      <c r="B15" s="4">
        <v>17.0</v>
      </c>
    </row>
    <row r="16" ht="14.25" customHeight="1">
      <c r="A16" s="10" t="s">
        <v>15</v>
      </c>
      <c r="B16" s="4">
        <v>9167.0</v>
      </c>
    </row>
    <row r="17" ht="14.25" customHeight="1">
      <c r="A17" s="10" t="s">
        <v>16</v>
      </c>
      <c r="B17" s="4">
        <v>25.0</v>
      </c>
    </row>
    <row r="18" ht="14.25" customHeight="1">
      <c r="A18" s="10" t="s">
        <v>17</v>
      </c>
      <c r="B18" s="4">
        <v>8008.0</v>
      </c>
    </row>
    <row r="19" ht="14.25" customHeight="1">
      <c r="A19" s="10" t="s">
        <v>18</v>
      </c>
      <c r="B19" s="4">
        <v>0.0</v>
      </c>
    </row>
    <row r="20" ht="14.25" customHeight="1">
      <c r="A20" s="10" t="s">
        <v>19</v>
      </c>
      <c r="B20" s="4">
        <v>1021.0</v>
      </c>
    </row>
    <row r="21" ht="14.25" customHeight="1">
      <c r="A21" s="10" t="s">
        <v>20</v>
      </c>
      <c r="B21" s="7">
        <v>138.0</v>
      </c>
    </row>
    <row r="22" ht="14.25" customHeight="1">
      <c r="A22" s="10" t="s">
        <v>21</v>
      </c>
      <c r="B22" s="7">
        <v>144.0</v>
      </c>
    </row>
    <row r="23" ht="14.25" customHeight="1">
      <c r="A23" s="10" t="s">
        <v>22</v>
      </c>
      <c r="B23" s="7">
        <v>24.0</v>
      </c>
    </row>
    <row r="24" ht="14.25" customHeight="1">
      <c r="A24" s="10" t="s">
        <v>23</v>
      </c>
      <c r="B24" s="7">
        <v>19.0</v>
      </c>
    </row>
    <row r="25" ht="14.25" customHeight="1">
      <c r="A25" s="11" t="s">
        <v>24</v>
      </c>
      <c r="B25" s="7">
        <v>4.0</v>
      </c>
    </row>
    <row r="26" ht="14.25" customHeight="1">
      <c r="A26" s="12" t="s">
        <v>25</v>
      </c>
      <c r="B26" s="7">
        <v>2567.0</v>
      </c>
    </row>
    <row r="27" ht="14.25" customHeight="1">
      <c r="A27" s="13" t="s">
        <v>26</v>
      </c>
      <c r="B27" s="14">
        <v>4603.0</v>
      </c>
    </row>
    <row r="28" ht="14.25" customHeight="1">
      <c r="A28" s="15" t="s">
        <v>27</v>
      </c>
      <c r="B28" s="16">
        <v>2150.0</v>
      </c>
    </row>
    <row r="29" ht="14.25" customHeight="1">
      <c r="A29" s="15" t="s">
        <v>28</v>
      </c>
      <c r="B29" s="16">
        <v>6753.0</v>
      </c>
    </row>
    <row r="30" ht="14.25" customHeight="1">
      <c r="A30" s="15" t="s">
        <v>29</v>
      </c>
      <c r="B30" s="16">
        <v>355174.0</v>
      </c>
    </row>
    <row r="31" ht="14.25" customHeight="1">
      <c r="A31" s="15" t="s">
        <v>30</v>
      </c>
      <c r="B31" s="16">
        <v>4603.0</v>
      </c>
    </row>
    <row r="32" ht="14.25" customHeight="1">
      <c r="A32" s="15" t="s">
        <v>31</v>
      </c>
      <c r="B32" s="16">
        <v>253957.0</v>
      </c>
    </row>
    <row r="33" ht="14.25" customHeight="1">
      <c r="A33" s="15" t="s">
        <v>32</v>
      </c>
      <c r="B33" s="17">
        <v>2699.0</v>
      </c>
    </row>
    <row r="34" ht="14.25" customHeight="1">
      <c r="A34" s="15" t="s">
        <v>33</v>
      </c>
      <c r="B34" s="17">
        <v>104348.0</v>
      </c>
    </row>
    <row r="35" ht="31.5" customHeight="1">
      <c r="A35" s="18" t="s">
        <v>34</v>
      </c>
      <c r="B35" s="17">
        <v>3180495.0</v>
      </c>
    </row>
    <row r="36" ht="14.25" customHeight="1">
      <c r="A36" s="18" t="s">
        <v>35</v>
      </c>
      <c r="B36" s="17">
        <v>17158.0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241.0</v>
      </c>
      <c r="M26" s="29">
        <v>1412.0</v>
      </c>
      <c r="N26" s="29">
        <v>1526.0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1565.0</v>
      </c>
      <c r="N27" s="29">
        <v>1695.0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1771.0</v>
      </c>
      <c r="N28" s="29">
        <v>1920.0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1921.0</v>
      </c>
      <c r="N29" s="29">
        <v>2098.0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2073.0</v>
      </c>
      <c r="N30" s="29">
        <v>2291.0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2248.0</v>
      </c>
      <c r="N31" s="29">
        <v>2498.0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2466.0</v>
      </c>
      <c r="N32" s="29">
        <v>2781.0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2741.0</v>
      </c>
      <c r="N33" s="29">
        <v>3161.0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2903.0</v>
      </c>
      <c r="N34" s="29">
        <v>3403.0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265.0</v>
      </c>
      <c r="M35" s="29">
        <v>3168.0</v>
      </c>
      <c r="N35" s="29">
        <v>3741.0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543.0</v>
      </c>
      <c r="M36" s="29">
        <v>3711.0</v>
      </c>
      <c r="N36" s="29">
        <v>4384.0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385.0</v>
      </c>
      <c r="M37" s="29">
        <v>4096.0</v>
      </c>
      <c r="N37" s="29">
        <v>4831.0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99.0</v>
      </c>
      <c r="J38" s="29">
        <v>87.0</v>
      </c>
      <c r="K38" s="29">
        <v>834.0</v>
      </c>
      <c r="L38" s="29">
        <v>618.0</v>
      </c>
      <c r="M38" s="29">
        <v>4714.0</v>
      </c>
      <c r="N38" s="29">
        <v>5548.0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100.0</v>
      </c>
      <c r="K39" s="29">
        <v>972.0</v>
      </c>
      <c r="L39" s="29">
        <v>550.0</v>
      </c>
      <c r="M39" s="29">
        <v>5264.0</v>
      </c>
      <c r="N39" s="29">
        <v>6236.0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1153.0</v>
      </c>
      <c r="L40" s="29">
        <v>919.0</v>
      </c>
      <c r="M40" s="29">
        <v>6183.0</v>
      </c>
      <c r="N40" s="29">
        <v>7336.0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1359.0</v>
      </c>
      <c r="L41" s="29">
        <v>1393.0</v>
      </c>
      <c r="M41" s="29">
        <v>7576.0</v>
      </c>
      <c r="N41" s="29">
        <v>8935.0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1619.0</v>
      </c>
      <c r="L42" s="29">
        <v>1300.0</v>
      </c>
      <c r="M42" s="29">
        <v>8876.0</v>
      </c>
      <c r="N42" s="29">
        <v>10495.0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1890.0</v>
      </c>
      <c r="L43" s="29">
        <v>1372.0</v>
      </c>
      <c r="M43" s="29">
        <v>10248.0</v>
      </c>
      <c r="N43" s="29">
        <v>12138.0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2167.0</v>
      </c>
      <c r="L44" s="29">
        <v>1195.0</v>
      </c>
      <c r="M44" s="29">
        <v>11443.0</v>
      </c>
      <c r="N44" s="29">
        <v>13610.0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2567.0</v>
      </c>
      <c r="L45" s="29">
        <v>2068.0</v>
      </c>
      <c r="M45" s="29">
        <v>13511.0</v>
      </c>
      <c r="N45" s="29">
        <v>16078.0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2847.0</v>
      </c>
      <c r="L46" s="29">
        <v>1514.0</v>
      </c>
      <c r="M46" s="29">
        <v>15025.0</v>
      </c>
      <c r="N46" s="29">
        <v>17872.0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3133.0</v>
      </c>
      <c r="L47" s="29">
        <v>1234.0</v>
      </c>
      <c r="M47" s="29">
        <v>16259.0</v>
      </c>
      <c r="N47" s="29">
        <v>19392.0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3320.0</v>
      </c>
      <c r="L48" s="29">
        <v>737.0</v>
      </c>
      <c r="M48" s="29">
        <v>16996.0</v>
      </c>
      <c r="N48" s="29">
        <v>20316.0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261.0</v>
      </c>
      <c r="J49" s="29">
        <v>245.0</v>
      </c>
      <c r="K49" s="29">
        <v>3581.0</v>
      </c>
      <c r="L49" s="29">
        <v>1313.0</v>
      </c>
      <c r="M49" s="29">
        <v>18309.0</v>
      </c>
      <c r="N49" s="29">
        <v>21890.0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251.0</v>
      </c>
      <c r="K50" s="29">
        <v>3887.0</v>
      </c>
      <c r="L50" s="29">
        <v>1321.0</v>
      </c>
      <c r="M50" s="29">
        <v>19630.0</v>
      </c>
      <c r="N50" s="29">
        <v>23517.0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1799.0</v>
      </c>
      <c r="M51" s="29">
        <v>21429.0</v>
      </c>
      <c r="N51" s="29">
        <v>25700.0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1245.0</v>
      </c>
      <c r="M52" s="29">
        <v>22674.0</v>
      </c>
      <c r="N52" s="29">
        <v>27236.0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23830.0</v>
      </c>
      <c r="N53" s="29">
        <v>28677.0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1525.0</v>
      </c>
      <c r="M54" s="29">
        <v>25355.0</v>
      </c>
      <c r="N54" s="29">
        <v>30539.0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1345.0</v>
      </c>
      <c r="M55" s="29">
        <v>26700.0</v>
      </c>
      <c r="N55" s="29">
        <v>32259.0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1476.0</v>
      </c>
      <c r="M56" s="29">
        <v>28176.0</v>
      </c>
      <c r="N56" s="29">
        <v>34118.0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1622.0</v>
      </c>
      <c r="M57" s="29">
        <v>29798.0</v>
      </c>
      <c r="N57" s="29">
        <v>36120.0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1591.0</v>
      </c>
      <c r="M58" s="29">
        <v>31389.0</v>
      </c>
      <c r="N58" s="29">
        <v>38122.0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2097.0</v>
      </c>
      <c r="M59" s="29">
        <v>33486.0</v>
      </c>
      <c r="N59" s="29">
        <v>40624.0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1461.0</v>
      </c>
      <c r="M60" s="29">
        <v>34947.0</v>
      </c>
      <c r="N60" s="29">
        <v>42384.0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1627.0</v>
      </c>
      <c r="M61" s="29">
        <v>36574.0</v>
      </c>
      <c r="N61" s="29">
        <v>44285.0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37559.0</v>
      </c>
      <c r="N62" s="29">
        <v>45476.0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1394.0</v>
      </c>
      <c r="M63" s="29">
        <v>38953.0</v>
      </c>
      <c r="N63" s="29">
        <v>47200.0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2018.0</v>
      </c>
      <c r="M64" s="29">
        <v>40971.0</v>
      </c>
      <c r="N64" s="29">
        <v>49589.0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1576.0</v>
      </c>
      <c r="M65" s="29">
        <v>42547.0</v>
      </c>
      <c r="N65" s="29">
        <v>51515.0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1791.0</v>
      </c>
      <c r="M66" s="29">
        <v>44338.0</v>
      </c>
      <c r="N66" s="29">
        <v>53629.0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45434.0</v>
      </c>
      <c r="N67" s="29">
        <v>54918.0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1312.0</v>
      </c>
      <c r="M68" s="29">
        <v>46746.0</v>
      </c>
      <c r="N68" s="29">
        <v>56413.0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48116.0</v>
      </c>
      <c r="N69" s="29">
        <v>58073.0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1720.0</v>
      </c>
      <c r="M70" s="29">
        <v>49836.0</v>
      </c>
      <c r="N70" s="29">
        <v>60093.0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1642.0</v>
      </c>
      <c r="M71" s="29">
        <v>51478.0</v>
      </c>
      <c r="N71" s="29">
        <v>62074.0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303.0</v>
      </c>
      <c r="K72" s="29">
        <v>10866.0</v>
      </c>
      <c r="L72" s="29">
        <v>1663.0</v>
      </c>
      <c r="M72" s="29">
        <v>53141.0</v>
      </c>
      <c r="N72" s="29">
        <v>64007.0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279.0</v>
      </c>
      <c r="K73" s="29">
        <v>11095.0</v>
      </c>
      <c r="L73" s="29">
        <v>1451.0</v>
      </c>
      <c r="M73" s="29">
        <v>54592.0</v>
      </c>
      <c r="N73" s="29">
        <v>65687.0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262.0</v>
      </c>
      <c r="K74" s="29">
        <v>11383.0</v>
      </c>
      <c r="L74" s="29">
        <v>1952.0</v>
      </c>
      <c r="M74" s="29">
        <v>56544.0</v>
      </c>
      <c r="N74" s="29">
        <v>67927.0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11573.0</v>
      </c>
      <c r="L75" s="29">
        <v>1320.0</v>
      </c>
      <c r="M75" s="29">
        <v>57864.0</v>
      </c>
      <c r="N75" s="29">
        <v>69437.0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11746.0</v>
      </c>
      <c r="L76" s="29">
        <v>1152.0</v>
      </c>
      <c r="M76" s="29">
        <v>59016.0</v>
      </c>
      <c r="N76" s="29">
        <v>70762.0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11971.0</v>
      </c>
      <c r="L77" s="29">
        <v>1421.0</v>
      </c>
      <c r="M77" s="29">
        <v>60437.0</v>
      </c>
      <c r="N77" s="29">
        <v>72408.0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12170.0</v>
      </c>
      <c r="L78" s="29">
        <v>1715.0</v>
      </c>
      <c r="M78" s="29">
        <v>62152.0</v>
      </c>
      <c r="N78" s="29">
        <v>74322.0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12403.0</v>
      </c>
      <c r="L79" s="29">
        <v>1741.0</v>
      </c>
      <c r="M79" s="29">
        <v>63893.0</v>
      </c>
      <c r="N79" s="29">
        <v>76296.0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12635.0</v>
      </c>
      <c r="L80" s="29">
        <v>1589.0</v>
      </c>
      <c r="M80" s="29">
        <v>65482.0</v>
      </c>
      <c r="N80" s="29">
        <v>78117.0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12882.0</v>
      </c>
      <c r="L81" s="29">
        <v>1693.0</v>
      </c>
      <c r="M81" s="29">
        <v>67175.0</v>
      </c>
      <c r="N81" s="29">
        <v>80057.0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13008.0</v>
      </c>
      <c r="L82" s="29">
        <v>1355.0</v>
      </c>
      <c r="M82" s="29">
        <v>68530.0</v>
      </c>
      <c r="N82" s="29">
        <v>81538.0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13142.0</v>
      </c>
      <c r="L83" s="29">
        <v>1232.0</v>
      </c>
      <c r="M83" s="29">
        <v>69762.0</v>
      </c>
      <c r="N83" s="29">
        <v>82904.0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13357.0</v>
      </c>
      <c r="L84" s="29">
        <v>1726.0</v>
      </c>
      <c r="M84" s="29">
        <v>71488.0</v>
      </c>
      <c r="N84" s="29">
        <v>84845.0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13540.0</v>
      </c>
      <c r="L85" s="29">
        <v>1363.0</v>
      </c>
      <c r="M85" s="29">
        <v>72851.0</v>
      </c>
      <c r="N85" s="29">
        <v>86391.0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13708.0</v>
      </c>
      <c r="L86" s="29">
        <v>1741.0</v>
      </c>
      <c r="M86" s="29">
        <v>74592.0</v>
      </c>
      <c r="N86" s="29">
        <v>88300.0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13914.0</v>
      </c>
      <c r="L87" s="29">
        <v>1417.0</v>
      </c>
      <c r="M87" s="29">
        <v>76009.0</v>
      </c>
      <c r="N87" s="29">
        <v>89923.0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14023.0</v>
      </c>
      <c r="L88" s="29">
        <v>1139.0</v>
      </c>
      <c r="M88" s="29">
        <v>77148.0</v>
      </c>
      <c r="N88" s="29">
        <v>91171.0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14107.0</v>
      </c>
      <c r="L89" s="29">
        <v>693.0</v>
      </c>
      <c r="M89" s="29">
        <v>77841.0</v>
      </c>
      <c r="N89" s="29">
        <v>91948.0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14184.0</v>
      </c>
      <c r="L90" s="29">
        <v>635.0</v>
      </c>
      <c r="M90" s="29">
        <v>78476.0</v>
      </c>
      <c r="N90" s="29">
        <v>92660.0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14342.0</v>
      </c>
      <c r="L91" s="29">
        <v>1466.0</v>
      </c>
      <c r="M91" s="29">
        <v>79942.0</v>
      </c>
      <c r="N91" s="29">
        <v>94284.0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14474.0</v>
      </c>
      <c r="L92" s="29">
        <v>1027.0</v>
      </c>
      <c r="M92" s="29">
        <v>80969.0</v>
      </c>
      <c r="N92" s="29">
        <v>95443.0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14604.0</v>
      </c>
      <c r="L93" s="29">
        <v>980.0</v>
      </c>
      <c r="M93" s="29">
        <v>81949.0</v>
      </c>
      <c r="N93" s="29">
        <v>96553.0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14779.0</v>
      </c>
      <c r="L94" s="29">
        <v>1383.0</v>
      </c>
      <c r="M94" s="29">
        <v>83332.0</v>
      </c>
      <c r="N94" s="29">
        <v>98111.0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14888.0</v>
      </c>
      <c r="L95" s="29">
        <v>1554.0</v>
      </c>
      <c r="M95" s="29">
        <v>84886.0</v>
      </c>
      <c r="N95" s="29">
        <v>99774.0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14966.0</v>
      </c>
      <c r="L96" s="29">
        <v>750.0</v>
      </c>
      <c r="M96" s="29">
        <v>85636.0</v>
      </c>
      <c r="N96" s="29">
        <v>100602.0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15059.0</v>
      </c>
      <c r="L97" s="29">
        <v>1239.0</v>
      </c>
      <c r="M97" s="29">
        <v>86875.0</v>
      </c>
      <c r="N97" s="29">
        <v>101934.0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15157.0</v>
      </c>
      <c r="L98" s="29">
        <v>1282.0</v>
      </c>
      <c r="M98" s="29">
        <v>88157.0</v>
      </c>
      <c r="N98" s="29">
        <v>103314.0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15256.0</v>
      </c>
      <c r="L99" s="29">
        <v>1505.0</v>
      </c>
      <c r="M99" s="29">
        <v>89662.0</v>
      </c>
      <c r="N99" s="29">
        <v>104918.0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15363.0</v>
      </c>
      <c r="L100" s="29">
        <v>1795.0</v>
      </c>
      <c r="M100" s="29">
        <v>91457.0</v>
      </c>
      <c r="N100" s="29">
        <v>106820.0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15462.0</v>
      </c>
      <c r="L101" s="29">
        <v>1351.0</v>
      </c>
      <c r="M101" s="29">
        <v>92808.0</v>
      </c>
      <c r="N101" s="29">
        <v>108270.0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15529.0</v>
      </c>
      <c r="L102" s="29">
        <v>998.0</v>
      </c>
      <c r="M102" s="29">
        <v>93806.0</v>
      </c>
      <c r="N102" s="29">
        <v>109335.0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15579.0</v>
      </c>
      <c r="L103" s="29">
        <v>716.0</v>
      </c>
      <c r="M103" s="29">
        <v>94522.0</v>
      </c>
      <c r="N103" s="29">
        <v>110101.0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5">
        <v>1849.0</v>
      </c>
      <c r="F104" s="36">
        <v>168748.0</v>
      </c>
      <c r="G104" s="36">
        <v>1968.0</v>
      </c>
      <c r="H104" s="36">
        <v>190569.0</v>
      </c>
      <c r="I104" s="35">
        <v>44.0</v>
      </c>
      <c r="J104" s="35">
        <v>54.0</v>
      </c>
      <c r="K104" s="35">
        <v>15623.0</v>
      </c>
      <c r="L104" s="35">
        <v>871.0</v>
      </c>
      <c r="M104" s="35">
        <v>95393.0</v>
      </c>
      <c r="N104" s="35">
        <v>111016.0</v>
      </c>
      <c r="O104" s="35">
        <v>15.0</v>
      </c>
      <c r="P104" s="37">
        <v>1817.0</v>
      </c>
      <c r="Q104" s="37">
        <v>13.0</v>
      </c>
      <c r="R104" s="37">
        <v>1385.0</v>
      </c>
      <c r="S104" s="37">
        <v>2.0</v>
      </c>
      <c r="T104" s="37">
        <v>284.0</v>
      </c>
      <c r="U104" s="37">
        <v>148.0</v>
      </c>
      <c r="V104" s="37">
        <v>147.0</v>
      </c>
      <c r="W104" s="37">
        <v>27.0</v>
      </c>
      <c r="X104" s="37">
        <v>18.0</v>
      </c>
      <c r="Y104" s="37">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5">
        <v>2674.0</v>
      </c>
      <c r="F105" s="36">
        <v>171422.0</v>
      </c>
      <c r="G105" s="36">
        <v>2897.0</v>
      </c>
      <c r="H105" s="36">
        <v>193466.0</v>
      </c>
      <c r="I105" s="35">
        <v>64.0</v>
      </c>
      <c r="J105" s="35">
        <v>53.0</v>
      </c>
      <c r="K105" s="35">
        <v>15687.0</v>
      </c>
      <c r="L105" s="35">
        <v>1133.0</v>
      </c>
      <c r="M105" s="35">
        <v>96526.0</v>
      </c>
      <c r="N105" s="35">
        <v>112213.0</v>
      </c>
      <c r="O105" s="35">
        <v>10.0</v>
      </c>
      <c r="P105" s="37">
        <v>1827.0</v>
      </c>
      <c r="Q105" s="37">
        <v>19.0</v>
      </c>
      <c r="R105" s="37">
        <v>1404.0</v>
      </c>
      <c r="S105" s="37">
        <v>0.0</v>
      </c>
      <c r="T105" s="37">
        <v>284.0</v>
      </c>
      <c r="U105" s="37">
        <v>139.0</v>
      </c>
      <c r="V105" s="37">
        <v>145.0</v>
      </c>
      <c r="W105" s="37">
        <v>28.0</v>
      </c>
      <c r="X105" s="37">
        <v>21.0</v>
      </c>
      <c r="Y105" s="37">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5">
        <v>2987.0</v>
      </c>
      <c r="F106" s="36">
        <v>174409.0</v>
      </c>
      <c r="G106" s="36">
        <v>3196.0</v>
      </c>
      <c r="H106" s="36">
        <v>196662.0</v>
      </c>
      <c r="I106" s="35">
        <v>101.0</v>
      </c>
      <c r="J106" s="35">
        <v>70.0</v>
      </c>
      <c r="K106" s="35">
        <v>15788.0</v>
      </c>
      <c r="L106" s="35">
        <v>1342.0</v>
      </c>
      <c r="M106" s="35">
        <v>97868.0</v>
      </c>
      <c r="N106" s="35">
        <v>113656.0</v>
      </c>
      <c r="O106" s="35">
        <v>13.0</v>
      </c>
      <c r="P106" s="37">
        <v>1840.0</v>
      </c>
      <c r="Q106" s="37">
        <v>12.0</v>
      </c>
      <c r="R106" s="37">
        <v>1416.0</v>
      </c>
      <c r="S106" s="37">
        <v>2.0</v>
      </c>
      <c r="T106" s="37">
        <v>286.0</v>
      </c>
      <c r="U106" s="37">
        <v>138.0</v>
      </c>
      <c r="V106" s="37">
        <v>142.0</v>
      </c>
      <c r="W106" s="37">
        <v>24.0</v>
      </c>
      <c r="X106" s="37">
        <v>17.0</v>
      </c>
      <c r="Y106" s="37">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5">
        <v>3514.0</v>
      </c>
      <c r="F107" s="36">
        <v>177923.0</v>
      </c>
      <c r="G107" s="36">
        <v>3709.0</v>
      </c>
      <c r="H107" s="36">
        <v>200371.0</v>
      </c>
      <c r="I107" s="35">
        <v>88.0</v>
      </c>
      <c r="J107" s="35">
        <v>84.0</v>
      </c>
      <c r="K107" s="35">
        <v>15876.0</v>
      </c>
      <c r="L107" s="35">
        <v>1392.0</v>
      </c>
      <c r="M107" s="35">
        <v>99260.0</v>
      </c>
      <c r="N107" s="35">
        <v>115136.0</v>
      </c>
      <c r="O107" s="35">
        <v>6.0</v>
      </c>
      <c r="P107" s="37">
        <v>1846.0</v>
      </c>
      <c r="Q107" s="37">
        <v>14.0</v>
      </c>
      <c r="R107" s="37">
        <v>1430.0</v>
      </c>
      <c r="S107" s="37">
        <v>1.0</v>
      </c>
      <c r="T107" s="37">
        <v>287.0</v>
      </c>
      <c r="U107" s="37">
        <v>129.0</v>
      </c>
      <c r="V107" s="37">
        <v>135.0</v>
      </c>
      <c r="W107" s="37">
        <v>25.0</v>
      </c>
      <c r="X107" s="37">
        <v>16.0</v>
      </c>
      <c r="Y107" s="37">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5">
        <v>4601.0</v>
      </c>
      <c r="F108" s="36">
        <v>182524.0</v>
      </c>
      <c r="G108" s="36">
        <v>4810.0</v>
      </c>
      <c r="H108" s="36">
        <v>205181.0</v>
      </c>
      <c r="I108" s="35">
        <v>78.0</v>
      </c>
      <c r="J108" s="35">
        <v>89.0</v>
      </c>
      <c r="K108" s="35">
        <v>15954.0</v>
      </c>
      <c r="L108" s="35">
        <v>1874.0</v>
      </c>
      <c r="M108" s="35">
        <v>101134.0</v>
      </c>
      <c r="N108" s="35">
        <v>117088.0</v>
      </c>
      <c r="O108" s="35">
        <v>9.0</v>
      </c>
      <c r="P108" s="37">
        <v>1855.0</v>
      </c>
      <c r="Q108" s="37">
        <v>16.0</v>
      </c>
      <c r="R108" s="37">
        <v>1446.0</v>
      </c>
      <c r="S108" s="37">
        <v>1.0</v>
      </c>
      <c r="T108" s="37">
        <v>288.0</v>
      </c>
      <c r="U108" s="37">
        <v>121.0</v>
      </c>
      <c r="V108" s="37">
        <v>129.0</v>
      </c>
      <c r="W108" s="37">
        <v>24.0</v>
      </c>
      <c r="X108" s="37">
        <v>16.0</v>
      </c>
      <c r="Y108" s="37">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5">
        <v>3036.0</v>
      </c>
      <c r="F109" s="36">
        <v>185560.0</v>
      </c>
      <c r="G109" s="36">
        <v>3149.0</v>
      </c>
      <c r="H109" s="36">
        <v>208330.0</v>
      </c>
      <c r="I109" s="35">
        <v>49.0</v>
      </c>
      <c r="J109" s="35">
        <v>72.0</v>
      </c>
      <c r="K109" s="35">
        <v>16003.0</v>
      </c>
      <c r="L109" s="35">
        <v>1180.0</v>
      </c>
      <c r="M109" s="35">
        <v>102314.0</v>
      </c>
      <c r="N109" s="35">
        <v>118317.0</v>
      </c>
      <c r="O109" s="35">
        <v>6.0</v>
      </c>
      <c r="P109" s="37">
        <v>1861.0</v>
      </c>
      <c r="Q109" s="37">
        <v>5.0</v>
      </c>
      <c r="R109" s="37">
        <v>1451.0</v>
      </c>
      <c r="S109" s="37">
        <v>0.0</v>
      </c>
      <c r="T109" s="37">
        <v>288.0</v>
      </c>
      <c r="U109" s="37">
        <v>122.0</v>
      </c>
      <c r="V109" s="37">
        <v>124.0</v>
      </c>
      <c r="W109" s="37">
        <v>20.0</v>
      </c>
      <c r="X109" s="37">
        <v>15.0</v>
      </c>
      <c r="Y109" s="37">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5">
        <v>2046.0</v>
      </c>
      <c r="F110" s="36">
        <v>187606.0</v>
      </c>
      <c r="G110" s="36">
        <v>2127.0</v>
      </c>
      <c r="H110" s="36">
        <v>210457.0</v>
      </c>
      <c r="I110" s="35">
        <v>33.0</v>
      </c>
      <c r="J110" s="35">
        <v>53.0</v>
      </c>
      <c r="K110" s="35">
        <v>16036.0</v>
      </c>
      <c r="L110" s="35">
        <v>887.0</v>
      </c>
      <c r="M110" s="35">
        <v>103201.0</v>
      </c>
      <c r="N110" s="35">
        <v>119237.0</v>
      </c>
      <c r="O110" s="35">
        <v>7.0</v>
      </c>
      <c r="P110" s="37">
        <v>1868.0</v>
      </c>
      <c r="Q110" s="37">
        <v>8.0</v>
      </c>
      <c r="R110" s="37">
        <v>1459.0</v>
      </c>
      <c r="S110" s="37">
        <v>1.0</v>
      </c>
      <c r="T110" s="37">
        <v>289.0</v>
      </c>
      <c r="U110" s="37">
        <v>120.0</v>
      </c>
      <c r="V110" s="37">
        <v>121.0</v>
      </c>
      <c r="W110" s="37">
        <v>20.0</v>
      </c>
      <c r="X110" s="37">
        <v>14.0</v>
      </c>
      <c r="Y110" s="37">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5">
        <v>3107.0</v>
      </c>
      <c r="F111" s="36">
        <v>190713.0</v>
      </c>
      <c r="G111" s="36">
        <v>3295.0</v>
      </c>
      <c r="H111" s="36">
        <v>213752.0</v>
      </c>
      <c r="I111" s="35">
        <v>75.0</v>
      </c>
      <c r="J111" s="35">
        <v>52.0</v>
      </c>
      <c r="K111" s="35">
        <v>16111.0</v>
      </c>
      <c r="L111" s="35">
        <v>1631.0</v>
      </c>
      <c r="M111" s="35">
        <v>104832.0</v>
      </c>
      <c r="N111" s="35">
        <v>120943.0</v>
      </c>
      <c r="O111" s="35">
        <v>14.0</v>
      </c>
      <c r="P111" s="37">
        <v>1882.0</v>
      </c>
      <c r="Q111" s="37">
        <v>19.0</v>
      </c>
      <c r="R111" s="37">
        <v>1478.0</v>
      </c>
      <c r="S111" s="37">
        <v>0.0</v>
      </c>
      <c r="T111" s="37">
        <v>289.0</v>
      </c>
      <c r="U111" s="37">
        <v>115.0</v>
      </c>
      <c r="V111" s="37">
        <v>119.0</v>
      </c>
      <c r="W111" s="37">
        <v>20.0</v>
      </c>
      <c r="X111" s="37">
        <v>16.0</v>
      </c>
      <c r="Y111" s="37">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5">
        <v>3017.0</v>
      </c>
      <c r="F112" s="36">
        <v>193730.0</v>
      </c>
      <c r="G112" s="36">
        <v>3127.0</v>
      </c>
      <c r="H112" s="36">
        <v>216879.0</v>
      </c>
      <c r="I112" s="35">
        <v>50.0</v>
      </c>
      <c r="J112" s="35">
        <v>53.0</v>
      </c>
      <c r="K112" s="35">
        <v>16161.0</v>
      </c>
      <c r="L112" s="35">
        <v>1406.0</v>
      </c>
      <c r="M112" s="35">
        <v>106238.0</v>
      </c>
      <c r="N112" s="35">
        <v>122399.0</v>
      </c>
      <c r="O112" s="35">
        <v>11.0</v>
      </c>
      <c r="P112" s="37">
        <v>1893.0</v>
      </c>
      <c r="Q112" s="37">
        <v>9.0</v>
      </c>
      <c r="R112" s="37">
        <v>1487.0</v>
      </c>
      <c r="S112" s="37">
        <v>1.0</v>
      </c>
      <c r="T112" s="37">
        <v>290.0</v>
      </c>
      <c r="U112" s="37">
        <v>116.0</v>
      </c>
      <c r="V112" s="37">
        <v>117.0</v>
      </c>
      <c r="W112" s="37">
        <v>22.0</v>
      </c>
      <c r="X112" s="37">
        <v>16.0</v>
      </c>
      <c r="Y112" s="37">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5">
        <v>2835.0</v>
      </c>
      <c r="F113" s="36">
        <v>196565.0</v>
      </c>
      <c r="G113" s="36">
        <v>2962.0</v>
      </c>
      <c r="H113" s="36">
        <v>219841.0</v>
      </c>
      <c r="I113" s="35">
        <v>51.0</v>
      </c>
      <c r="J113" s="35">
        <v>59.0</v>
      </c>
      <c r="K113" s="35">
        <v>16212.0</v>
      </c>
      <c r="L113" s="35">
        <v>1208.0</v>
      </c>
      <c r="M113" s="35">
        <v>107446.0</v>
      </c>
      <c r="N113" s="35">
        <v>123658.0</v>
      </c>
      <c r="O113" s="35">
        <v>15.0</v>
      </c>
      <c r="P113" s="37">
        <v>1908.0</v>
      </c>
      <c r="Q113" s="37">
        <v>20.0</v>
      </c>
      <c r="R113" s="37">
        <v>1507.0</v>
      </c>
      <c r="S113" s="37">
        <v>4.0</v>
      </c>
      <c r="T113" s="37">
        <v>294.0</v>
      </c>
      <c r="U113" s="37">
        <v>107.0</v>
      </c>
      <c r="V113" s="37">
        <v>113.0</v>
      </c>
      <c r="W113" s="37">
        <v>18.0</v>
      </c>
      <c r="X113" s="37">
        <v>14.0</v>
      </c>
      <c r="Y113" s="37">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5">
        <v>3049.0</v>
      </c>
      <c r="F114" s="36">
        <v>199614.0</v>
      </c>
      <c r="G114" s="36">
        <v>3198.0</v>
      </c>
      <c r="H114" s="36">
        <v>223039.0</v>
      </c>
      <c r="I114" s="35">
        <v>70.0</v>
      </c>
      <c r="J114" s="35">
        <v>57.0</v>
      </c>
      <c r="K114" s="35">
        <v>16282.0</v>
      </c>
      <c r="L114" s="35">
        <v>1194.0</v>
      </c>
      <c r="M114" s="35">
        <v>108640.0</v>
      </c>
      <c r="N114" s="35">
        <v>124922.0</v>
      </c>
      <c r="O114" s="35">
        <v>9.0</v>
      </c>
      <c r="P114" s="37">
        <v>1917.0</v>
      </c>
      <c r="Q114" s="37">
        <v>15.0</v>
      </c>
      <c r="R114" s="37">
        <v>1522.0</v>
      </c>
      <c r="S114" s="37">
        <v>1.0</v>
      </c>
      <c r="T114" s="37">
        <v>295.0</v>
      </c>
      <c r="U114" s="37">
        <v>100.0</v>
      </c>
      <c r="V114" s="37">
        <v>108.0</v>
      </c>
      <c r="W114" s="37">
        <v>19.0</v>
      </c>
      <c r="X114" s="37">
        <v>16.0</v>
      </c>
      <c r="Y114" s="37">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5">
        <v>3769.0</v>
      </c>
      <c r="F115" s="36">
        <v>203383.0</v>
      </c>
      <c r="G115" s="36">
        <v>3910.0</v>
      </c>
      <c r="H115" s="36">
        <v>226949.0</v>
      </c>
      <c r="I115" s="35">
        <v>59.0</v>
      </c>
      <c r="J115" s="35">
        <v>60.0</v>
      </c>
      <c r="K115" s="35">
        <v>16341.0</v>
      </c>
      <c r="L115" s="35">
        <v>1228.0</v>
      </c>
      <c r="M115" s="35">
        <v>109868.0</v>
      </c>
      <c r="N115" s="35">
        <v>126209.0</v>
      </c>
      <c r="O115" s="35">
        <v>13.0</v>
      </c>
      <c r="P115" s="37">
        <v>1930.0</v>
      </c>
      <c r="Q115" s="37">
        <v>12.0</v>
      </c>
      <c r="R115" s="37">
        <v>1534.0</v>
      </c>
      <c r="S115" s="37">
        <v>1.0</v>
      </c>
      <c r="T115" s="37">
        <v>296.0</v>
      </c>
      <c r="U115" s="37">
        <v>100.0</v>
      </c>
      <c r="V115" s="37">
        <v>102.0</v>
      </c>
      <c r="W115" s="37">
        <v>21.0</v>
      </c>
      <c r="X115" s="37">
        <v>18.0</v>
      </c>
      <c r="Y115" s="37">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5">
        <v>1891.0</v>
      </c>
      <c r="F116" s="36">
        <v>205274.0</v>
      </c>
      <c r="G116" s="36">
        <v>1975.0</v>
      </c>
      <c r="H116" s="36">
        <v>228924.0</v>
      </c>
      <c r="I116" s="35">
        <v>36.0</v>
      </c>
      <c r="J116" s="35">
        <v>55.0</v>
      </c>
      <c r="K116" s="35">
        <v>16377.0</v>
      </c>
      <c r="L116" s="35">
        <v>738.0</v>
      </c>
      <c r="M116" s="35">
        <v>110606.0</v>
      </c>
      <c r="N116" s="35">
        <v>126983.0</v>
      </c>
      <c r="O116" s="35">
        <v>8.0</v>
      </c>
      <c r="P116" s="37">
        <v>1938.0</v>
      </c>
      <c r="Q116" s="37">
        <v>11.0</v>
      </c>
      <c r="R116" s="37">
        <v>1545.0</v>
      </c>
      <c r="S116" s="37">
        <v>0.0</v>
      </c>
      <c r="T116" s="37">
        <v>296.0</v>
      </c>
      <c r="U116" s="37">
        <v>97.0</v>
      </c>
      <c r="V116" s="37">
        <v>99.0</v>
      </c>
      <c r="W116" s="37">
        <v>21.0</v>
      </c>
      <c r="X116" s="37">
        <v>19.0</v>
      </c>
      <c r="Y116" s="37">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5">
        <v>1064.0</v>
      </c>
      <c r="F117" s="36">
        <v>206338.0</v>
      </c>
      <c r="G117" s="36">
        <v>1101.0</v>
      </c>
      <c r="H117" s="36">
        <v>230025.0</v>
      </c>
      <c r="I117" s="35">
        <v>30.0</v>
      </c>
      <c r="J117" s="35">
        <v>42.0</v>
      </c>
      <c r="K117" s="35">
        <v>16407.0</v>
      </c>
      <c r="L117" s="35">
        <v>627.0</v>
      </c>
      <c r="M117" s="35">
        <v>111233.0</v>
      </c>
      <c r="N117" s="35">
        <v>127640.0</v>
      </c>
      <c r="O117" s="35">
        <v>8.0</v>
      </c>
      <c r="P117" s="37">
        <v>1946.0</v>
      </c>
      <c r="Q117" s="37">
        <v>5.0</v>
      </c>
      <c r="R117" s="37">
        <v>1550.0</v>
      </c>
      <c r="S117" s="37">
        <v>0.0</v>
      </c>
      <c r="T117" s="37">
        <v>296.0</v>
      </c>
      <c r="U117" s="37">
        <v>100.0</v>
      </c>
      <c r="V117" s="37">
        <v>99.0</v>
      </c>
      <c r="W117" s="37">
        <v>21.0</v>
      </c>
      <c r="X117" s="37">
        <v>19.0</v>
      </c>
      <c r="Y117" s="37">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5">
        <v>3730.0</v>
      </c>
      <c r="F118" s="36">
        <v>210068.0</v>
      </c>
      <c r="G118" s="36">
        <v>3868.0</v>
      </c>
      <c r="H118" s="36">
        <v>233893.0</v>
      </c>
      <c r="I118" s="35">
        <v>65.0</v>
      </c>
      <c r="J118" s="35">
        <v>44.0</v>
      </c>
      <c r="K118" s="35">
        <v>16472.0</v>
      </c>
      <c r="L118" s="35">
        <v>1555.0</v>
      </c>
      <c r="M118" s="35">
        <v>112788.0</v>
      </c>
      <c r="N118" s="35">
        <v>129260.0</v>
      </c>
      <c r="O118" s="35">
        <v>11.0</v>
      </c>
      <c r="P118" s="37">
        <v>1957.0</v>
      </c>
      <c r="Q118" s="37">
        <v>16.0</v>
      </c>
      <c r="R118" s="37">
        <v>1566.0</v>
      </c>
      <c r="S118" s="37">
        <v>0.0</v>
      </c>
      <c r="T118" s="37">
        <v>296.0</v>
      </c>
      <c r="U118" s="37">
        <v>95.0</v>
      </c>
      <c r="V118" s="37">
        <v>97.0</v>
      </c>
      <c r="W118" s="37">
        <v>20.0</v>
      </c>
      <c r="X118" s="37">
        <v>19.0</v>
      </c>
      <c r="Y118" s="37">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5">
        <v>3831.0</v>
      </c>
      <c r="F119" s="36">
        <v>213899.0</v>
      </c>
      <c r="G119" s="36">
        <v>3994.0</v>
      </c>
      <c r="H119" s="36">
        <v>237887.0</v>
      </c>
      <c r="I119" s="35">
        <v>81.0</v>
      </c>
      <c r="J119" s="35">
        <v>59.0</v>
      </c>
      <c r="K119" s="35">
        <v>16553.0</v>
      </c>
      <c r="L119" s="35">
        <v>1633.0</v>
      </c>
      <c r="M119" s="35">
        <v>114421.0</v>
      </c>
      <c r="N119" s="35">
        <v>130974.0</v>
      </c>
      <c r="O119" s="35">
        <v>3.0</v>
      </c>
      <c r="P119" s="37">
        <v>1960.0</v>
      </c>
      <c r="Q119" s="37">
        <v>13.0</v>
      </c>
      <c r="R119" s="37">
        <v>1579.0</v>
      </c>
      <c r="S119" s="37">
        <v>3.0</v>
      </c>
      <c r="T119" s="37">
        <v>299.0</v>
      </c>
      <c r="U119" s="37">
        <v>82.0</v>
      </c>
      <c r="V119" s="37">
        <v>92.0</v>
      </c>
      <c r="W119" s="37">
        <v>19.0</v>
      </c>
      <c r="X119" s="37">
        <v>19.0</v>
      </c>
      <c r="Y119" s="37">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5">
        <v>3502.0</v>
      </c>
      <c r="F120" s="36">
        <v>217401.0</v>
      </c>
      <c r="G120" s="36">
        <v>3622.0</v>
      </c>
      <c r="H120" s="36">
        <v>241509.0</v>
      </c>
      <c r="I120" s="35">
        <v>45.0</v>
      </c>
      <c r="J120" s="35">
        <v>64.0</v>
      </c>
      <c r="K120" s="35">
        <v>16598.0</v>
      </c>
      <c r="L120" s="35">
        <v>1530.0</v>
      </c>
      <c r="M120" s="35">
        <v>115951.0</v>
      </c>
      <c r="N120" s="35">
        <v>132549.0</v>
      </c>
      <c r="O120" s="35">
        <v>9.0</v>
      </c>
      <c r="P120" s="37">
        <v>1969.0</v>
      </c>
      <c r="Q120" s="37">
        <v>10.0</v>
      </c>
      <c r="R120" s="37">
        <v>1589.0</v>
      </c>
      <c r="S120" s="37">
        <v>1.0</v>
      </c>
      <c r="T120" s="37">
        <v>300.0</v>
      </c>
      <c r="U120" s="37">
        <v>80.0</v>
      </c>
      <c r="V120" s="37">
        <v>86.0</v>
      </c>
      <c r="W120" s="37">
        <v>19.0</v>
      </c>
      <c r="X120" s="37">
        <v>19.0</v>
      </c>
      <c r="Y120" s="37">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5">
        <v>2883.0</v>
      </c>
      <c r="F121" s="36">
        <v>220284.0</v>
      </c>
      <c r="G121" s="36">
        <v>2986.0</v>
      </c>
      <c r="H121" s="36">
        <v>244495.0</v>
      </c>
      <c r="I121" s="35">
        <v>51.0</v>
      </c>
      <c r="J121" s="35">
        <v>59.0</v>
      </c>
      <c r="K121" s="35">
        <v>16649.0</v>
      </c>
      <c r="L121" s="35">
        <v>1361.0</v>
      </c>
      <c r="M121" s="35">
        <v>117312.0</v>
      </c>
      <c r="N121" s="35">
        <v>133961.0</v>
      </c>
      <c r="O121" s="35">
        <v>6.0</v>
      </c>
      <c r="P121" s="37">
        <v>1975.0</v>
      </c>
      <c r="Q121" s="37">
        <v>14.0</v>
      </c>
      <c r="R121" s="37">
        <v>1603.0</v>
      </c>
      <c r="S121" s="37">
        <v>1.0</v>
      </c>
      <c r="T121" s="37">
        <v>301.0</v>
      </c>
      <c r="U121" s="37">
        <v>71.0</v>
      </c>
      <c r="V121" s="37">
        <v>78.0</v>
      </c>
      <c r="W121" s="37">
        <v>18.0</v>
      </c>
      <c r="X121" s="37">
        <v>18.0</v>
      </c>
      <c r="Y121" s="37">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5">
        <v>2488.0</v>
      </c>
      <c r="F122" s="36">
        <v>222772.0</v>
      </c>
      <c r="G122" s="36">
        <v>2582.0</v>
      </c>
      <c r="H122" s="36">
        <v>247077.0</v>
      </c>
      <c r="I122" s="35">
        <v>60.0</v>
      </c>
      <c r="J122" s="35">
        <v>52.0</v>
      </c>
      <c r="K122" s="35">
        <v>16709.0</v>
      </c>
      <c r="L122" s="35">
        <v>1232.0</v>
      </c>
      <c r="M122" s="35">
        <v>118544.0</v>
      </c>
      <c r="N122" s="35">
        <v>135253.0</v>
      </c>
      <c r="O122" s="35">
        <v>2.0</v>
      </c>
      <c r="P122" s="37">
        <v>1977.0</v>
      </c>
      <c r="Q122" s="37">
        <v>10.0</v>
      </c>
      <c r="R122" s="37">
        <v>1613.0</v>
      </c>
      <c r="S122" s="37">
        <v>0.0</v>
      </c>
      <c r="T122" s="37">
        <v>301.0</v>
      </c>
      <c r="U122" s="37">
        <v>63.0</v>
      </c>
      <c r="V122" s="37">
        <v>71.0</v>
      </c>
      <c r="W122" s="37">
        <v>19.0</v>
      </c>
      <c r="X122" s="37">
        <v>19.0</v>
      </c>
      <c r="Y122" s="37">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5">
        <v>3216.0</v>
      </c>
      <c r="F123" s="36">
        <v>225988.0</v>
      </c>
      <c r="G123" s="36">
        <v>3300.0</v>
      </c>
      <c r="H123" s="36">
        <v>250377.0</v>
      </c>
      <c r="I123" s="35">
        <v>37.0</v>
      </c>
      <c r="J123" s="35">
        <v>49.0</v>
      </c>
      <c r="K123" s="35">
        <v>16746.0</v>
      </c>
      <c r="L123" s="35">
        <v>1114.0</v>
      </c>
      <c r="M123" s="35">
        <v>119658.0</v>
      </c>
      <c r="N123" s="35">
        <v>136404.0</v>
      </c>
      <c r="O123" s="35">
        <v>5.0</v>
      </c>
      <c r="P123" s="37">
        <v>1982.0</v>
      </c>
      <c r="Q123" s="37">
        <v>3.0</v>
      </c>
      <c r="R123" s="37">
        <v>1616.0</v>
      </c>
      <c r="S123" s="37">
        <v>1.0</v>
      </c>
      <c r="T123" s="37">
        <v>302.0</v>
      </c>
      <c r="U123" s="37">
        <v>64.0</v>
      </c>
      <c r="V123" s="37">
        <v>66.0</v>
      </c>
      <c r="W123" s="37">
        <v>18.0</v>
      </c>
      <c r="X123" s="37">
        <v>18.0</v>
      </c>
      <c r="Y123" s="37">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5">
        <v>1469.0</v>
      </c>
      <c r="F124" s="36">
        <v>227457.0</v>
      </c>
      <c r="G124" s="36">
        <v>1508.0</v>
      </c>
      <c r="H124" s="36">
        <v>251885.0</v>
      </c>
      <c r="I124" s="35">
        <v>17.0</v>
      </c>
      <c r="J124" s="35">
        <v>38.0</v>
      </c>
      <c r="K124" s="35">
        <v>16763.0</v>
      </c>
      <c r="L124" s="35">
        <v>550.0</v>
      </c>
      <c r="M124" s="35">
        <v>120208.0</v>
      </c>
      <c r="N124" s="35">
        <v>136971.0</v>
      </c>
      <c r="O124" s="35">
        <v>4.0</v>
      </c>
      <c r="P124" s="37">
        <v>1986.0</v>
      </c>
      <c r="Q124" s="37">
        <v>4.0</v>
      </c>
      <c r="R124" s="37">
        <v>1620.0</v>
      </c>
      <c r="S124" s="37">
        <v>4.0</v>
      </c>
      <c r="T124" s="37">
        <v>306.0</v>
      </c>
      <c r="U124" s="37">
        <v>60.0</v>
      </c>
      <c r="V124" s="37">
        <v>62.0</v>
      </c>
      <c r="W124" s="37">
        <v>16.0</v>
      </c>
      <c r="X124" s="37">
        <v>15.0</v>
      </c>
      <c r="Y124" s="37">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5">
        <v>3696.0</v>
      </c>
      <c r="F125" s="36">
        <v>231153.0</v>
      </c>
      <c r="G125" s="36">
        <v>3781.0</v>
      </c>
      <c r="H125" s="36">
        <v>255666.0</v>
      </c>
      <c r="I125" s="35">
        <v>40.0</v>
      </c>
      <c r="J125" s="35">
        <v>31.0</v>
      </c>
      <c r="K125" s="35">
        <v>16803.0</v>
      </c>
      <c r="L125" s="35">
        <v>1239.0</v>
      </c>
      <c r="M125" s="35">
        <v>121447.0</v>
      </c>
      <c r="N125" s="35">
        <v>138250.0</v>
      </c>
      <c r="O125" s="35">
        <v>4.0</v>
      </c>
      <c r="P125" s="37">
        <v>1990.0</v>
      </c>
      <c r="Q125" s="37">
        <v>5.0</v>
      </c>
      <c r="R125" s="37">
        <v>1625.0</v>
      </c>
      <c r="S125" s="37">
        <v>0.0</v>
      </c>
      <c r="T125" s="37">
        <v>306.0</v>
      </c>
      <c r="U125" s="37">
        <v>59.0</v>
      </c>
      <c r="V125" s="37">
        <v>61.0</v>
      </c>
      <c r="W125" s="37">
        <v>15.0</v>
      </c>
      <c r="X125" s="37">
        <v>15.0</v>
      </c>
      <c r="Y125" s="37">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5">
        <v>1958.0</v>
      </c>
      <c r="F126" s="36">
        <v>233111.0</v>
      </c>
      <c r="G126" s="36">
        <v>2016.0</v>
      </c>
      <c r="H126" s="36">
        <v>257682.0</v>
      </c>
      <c r="I126" s="35">
        <v>33.0</v>
      </c>
      <c r="J126" s="35">
        <v>30.0</v>
      </c>
      <c r="K126" s="35">
        <v>16836.0</v>
      </c>
      <c r="L126" s="35">
        <v>912.0</v>
      </c>
      <c r="M126" s="35">
        <v>122359.0</v>
      </c>
      <c r="N126" s="35">
        <v>139195.0</v>
      </c>
      <c r="O126" s="35">
        <v>1.0</v>
      </c>
      <c r="P126" s="37">
        <v>1991.0</v>
      </c>
      <c r="Q126" s="37">
        <v>5.0</v>
      </c>
      <c r="R126" s="37">
        <v>1630.0</v>
      </c>
      <c r="S126" s="37">
        <v>1.0</v>
      </c>
      <c r="T126" s="37">
        <v>307.0</v>
      </c>
      <c r="U126" s="37">
        <v>54.0</v>
      </c>
      <c r="V126" s="37">
        <v>58.0</v>
      </c>
      <c r="W126" s="37">
        <v>13.0</v>
      </c>
      <c r="X126" s="37">
        <v>12.0</v>
      </c>
      <c r="Y126" s="37">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5">
        <v>4099.0</v>
      </c>
      <c r="F127" s="36">
        <v>237210.0</v>
      </c>
      <c r="G127" s="36">
        <v>4243.0</v>
      </c>
      <c r="H127" s="36">
        <v>261925.0</v>
      </c>
      <c r="I127" s="35">
        <v>79.0</v>
      </c>
      <c r="J127" s="35">
        <v>51.0</v>
      </c>
      <c r="K127" s="35">
        <v>16915.0</v>
      </c>
      <c r="L127" s="35">
        <v>1748.0</v>
      </c>
      <c r="M127" s="35">
        <v>124107.0</v>
      </c>
      <c r="N127" s="35">
        <v>141022.0</v>
      </c>
      <c r="O127" s="35">
        <v>8.0</v>
      </c>
      <c r="P127" s="37">
        <v>1999.0</v>
      </c>
      <c r="Q127" s="37">
        <v>10.0</v>
      </c>
      <c r="R127" s="37">
        <v>1640.0</v>
      </c>
      <c r="S127" s="37">
        <v>0.0</v>
      </c>
      <c r="T127" s="37">
        <v>307.0</v>
      </c>
      <c r="U127" s="37">
        <v>52.0</v>
      </c>
      <c r="V127" s="37">
        <v>55.0</v>
      </c>
      <c r="W127" s="37">
        <v>12.0</v>
      </c>
      <c r="X127" s="37">
        <v>12.0</v>
      </c>
      <c r="Y127" s="37">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5">
        <v>2803.0</v>
      </c>
      <c r="F128" s="36">
        <v>240013.0</v>
      </c>
      <c r="G128" s="36">
        <v>2906.0</v>
      </c>
      <c r="H128" s="36">
        <v>264831.0</v>
      </c>
      <c r="I128" s="35">
        <v>59.0</v>
      </c>
      <c r="J128" s="35">
        <v>57.0</v>
      </c>
      <c r="K128" s="35">
        <v>16974.0</v>
      </c>
      <c r="L128" s="35">
        <v>978.0</v>
      </c>
      <c r="M128" s="35">
        <v>125085.0</v>
      </c>
      <c r="N128" s="35">
        <v>142059.0</v>
      </c>
      <c r="O128" s="35">
        <v>5.0</v>
      </c>
      <c r="P128" s="37">
        <v>2004.0</v>
      </c>
      <c r="Q128" s="37">
        <v>5.0</v>
      </c>
      <c r="R128" s="37">
        <v>1645.0</v>
      </c>
      <c r="S128" s="37">
        <v>1.0</v>
      </c>
      <c r="T128" s="37">
        <v>308.0</v>
      </c>
      <c r="U128" s="37">
        <v>51.0</v>
      </c>
      <c r="V128" s="37">
        <v>52.0</v>
      </c>
      <c r="W128" s="37">
        <v>11.0</v>
      </c>
      <c r="X128" s="37">
        <v>11.0</v>
      </c>
      <c r="Y128" s="37">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5">
        <v>2079.0</v>
      </c>
      <c r="F129" s="36">
        <v>242092.0</v>
      </c>
      <c r="G129" s="36">
        <v>2129.0</v>
      </c>
      <c r="H129" s="36">
        <v>266960.0</v>
      </c>
      <c r="I129" s="35">
        <v>24.0</v>
      </c>
      <c r="J129" s="35">
        <v>54.0</v>
      </c>
      <c r="K129" s="35">
        <v>16998.0</v>
      </c>
      <c r="L129" s="35">
        <v>720.0</v>
      </c>
      <c r="M129" s="35">
        <v>125805.0</v>
      </c>
      <c r="N129" s="35">
        <v>142803.0</v>
      </c>
      <c r="O129" s="35">
        <v>9.0</v>
      </c>
      <c r="P129" s="37">
        <v>2013.0</v>
      </c>
      <c r="Q129" s="37">
        <v>6.0</v>
      </c>
      <c r="R129" s="37">
        <v>1651.0</v>
      </c>
      <c r="S129" s="37">
        <v>0.0</v>
      </c>
      <c r="T129" s="37">
        <v>308.0</v>
      </c>
      <c r="U129" s="37">
        <v>54.0</v>
      </c>
      <c r="V129" s="37">
        <v>52.0</v>
      </c>
      <c r="W129" s="37">
        <v>10.0</v>
      </c>
      <c r="X129" s="37">
        <v>10.0</v>
      </c>
      <c r="Y129" s="37">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5">
        <v>2345.0</v>
      </c>
      <c r="F130" s="36">
        <v>244437.0</v>
      </c>
      <c r="G130" s="36">
        <v>2402.0</v>
      </c>
      <c r="H130" s="36">
        <v>269362.0</v>
      </c>
      <c r="I130" s="35">
        <v>33.0</v>
      </c>
      <c r="J130" s="35">
        <v>39.0</v>
      </c>
      <c r="K130" s="35">
        <v>17031.0</v>
      </c>
      <c r="L130" s="35">
        <v>920.0</v>
      </c>
      <c r="M130" s="35">
        <v>126725.0</v>
      </c>
      <c r="N130" s="35">
        <v>143756.0</v>
      </c>
      <c r="O130" s="35">
        <v>2.0</v>
      </c>
      <c r="P130" s="37">
        <v>2015.0</v>
      </c>
      <c r="Q130" s="37">
        <v>4.0</v>
      </c>
      <c r="R130" s="37">
        <v>1655.0</v>
      </c>
      <c r="S130" s="37">
        <v>1.0</v>
      </c>
      <c r="T130" s="37">
        <v>309.0</v>
      </c>
      <c r="U130" s="37">
        <v>51.0</v>
      </c>
      <c r="V130" s="37">
        <v>52.0</v>
      </c>
      <c r="W130" s="37">
        <v>11.0</v>
      </c>
      <c r="X130" s="37">
        <v>10.0</v>
      </c>
      <c r="Y130" s="37">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5">
        <v>2932.0</v>
      </c>
      <c r="F131" s="36">
        <v>247369.0</v>
      </c>
      <c r="G131" s="36">
        <v>2981.0</v>
      </c>
      <c r="H131" s="36">
        <v>272343.0</v>
      </c>
      <c r="I131" s="35">
        <v>26.0</v>
      </c>
      <c r="J131" s="35">
        <v>28.0</v>
      </c>
      <c r="K131" s="35">
        <v>17057.0</v>
      </c>
      <c r="L131" s="35">
        <v>1316.0</v>
      </c>
      <c r="M131" s="35">
        <v>128041.0</v>
      </c>
      <c r="N131" s="35">
        <v>145098.0</v>
      </c>
      <c r="O131" s="35">
        <v>1.0</v>
      </c>
      <c r="P131" s="37">
        <v>2016.0</v>
      </c>
      <c r="Q131" s="37">
        <v>2.0</v>
      </c>
      <c r="R131" s="37">
        <v>1657.0</v>
      </c>
      <c r="S131" s="37">
        <v>1.0</v>
      </c>
      <c r="T131" s="37">
        <v>310.0</v>
      </c>
      <c r="U131" s="37">
        <v>49.0</v>
      </c>
      <c r="V131" s="37">
        <v>51.0</v>
      </c>
      <c r="W131" s="37">
        <v>9.0</v>
      </c>
      <c r="X131" s="37">
        <v>9.0</v>
      </c>
      <c r="Y131" s="37">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5">
        <v>2814.0</v>
      </c>
      <c r="F132" s="36">
        <v>250183.0</v>
      </c>
      <c r="G132" s="36">
        <v>2915.0</v>
      </c>
      <c r="H132" s="36">
        <v>275258.0</v>
      </c>
      <c r="I132" s="35">
        <v>57.0</v>
      </c>
      <c r="J132" s="35">
        <v>39.0</v>
      </c>
      <c r="K132" s="35">
        <v>17114.0</v>
      </c>
      <c r="L132" s="35">
        <v>1433.0</v>
      </c>
      <c r="M132" s="35">
        <v>129474.0</v>
      </c>
      <c r="N132" s="35">
        <v>146588.0</v>
      </c>
      <c r="O132" s="35">
        <v>5.0</v>
      </c>
      <c r="P132" s="37">
        <v>2021.0</v>
      </c>
      <c r="Q132" s="37">
        <v>5.0</v>
      </c>
      <c r="R132" s="37">
        <v>1662.0</v>
      </c>
      <c r="S132" s="37">
        <v>0.0</v>
      </c>
      <c r="T132" s="37">
        <v>310.0</v>
      </c>
      <c r="U132" s="37">
        <v>49.0</v>
      </c>
      <c r="V132" s="37">
        <v>50.0</v>
      </c>
      <c r="W132" s="37">
        <v>10.0</v>
      </c>
      <c r="X132" s="37">
        <v>10.0</v>
      </c>
      <c r="Y132" s="37">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5">
        <v>3458.0</v>
      </c>
      <c r="F133" s="36">
        <v>253641.0</v>
      </c>
      <c r="G133" s="36">
        <v>3539.0</v>
      </c>
      <c r="H133" s="36">
        <v>278797.0</v>
      </c>
      <c r="I133" s="35">
        <v>47.0</v>
      </c>
      <c r="J133" s="35">
        <v>43.0</v>
      </c>
      <c r="K133" s="35">
        <v>17161.0</v>
      </c>
      <c r="L133" s="35">
        <v>1415.0</v>
      </c>
      <c r="M133" s="35">
        <v>130889.0</v>
      </c>
      <c r="N133" s="35">
        <v>148050.0</v>
      </c>
      <c r="O133" s="35">
        <v>5.0</v>
      </c>
      <c r="P133" s="37">
        <v>2026.0</v>
      </c>
      <c r="Q133" s="37">
        <v>7.0</v>
      </c>
      <c r="R133" s="37">
        <v>1669.0</v>
      </c>
      <c r="S133" s="37">
        <v>0.0</v>
      </c>
      <c r="T133" s="37">
        <v>310.0</v>
      </c>
      <c r="U133" s="37">
        <v>47.0</v>
      </c>
      <c r="V133" s="37">
        <v>48.0</v>
      </c>
      <c r="W133" s="37">
        <v>9.0</v>
      </c>
      <c r="X133" s="37">
        <v>9.0</v>
      </c>
      <c r="Y133" s="37">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5">
        <v>3409.0</v>
      </c>
      <c r="F134" s="36">
        <v>257050.0</v>
      </c>
      <c r="G134" s="36">
        <v>3514.0</v>
      </c>
      <c r="H134" s="36">
        <v>282311.0</v>
      </c>
      <c r="I134" s="35">
        <v>64.0</v>
      </c>
      <c r="J134" s="35">
        <v>56.0</v>
      </c>
      <c r="K134" s="35">
        <v>17225.0</v>
      </c>
      <c r="L134" s="35">
        <v>1291.0</v>
      </c>
      <c r="M134" s="35">
        <v>132180.0</v>
      </c>
      <c r="N134" s="35">
        <v>149405.0</v>
      </c>
      <c r="O134" s="35">
        <v>4.0</v>
      </c>
      <c r="P134" s="37">
        <v>2030.0</v>
      </c>
      <c r="Q134" s="37">
        <v>2.0</v>
      </c>
      <c r="R134" s="37">
        <v>1671.0</v>
      </c>
      <c r="S134" s="37">
        <v>0.0</v>
      </c>
      <c r="T134" s="37">
        <v>310.0</v>
      </c>
      <c r="U134" s="37">
        <v>49.0</v>
      </c>
      <c r="V134" s="37">
        <v>48.0</v>
      </c>
      <c r="W134" s="37">
        <v>10.0</v>
      </c>
      <c r="X134" s="37">
        <v>9.0</v>
      </c>
      <c r="Y134" s="37">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5">
        <v>3714.0</v>
      </c>
      <c r="F135" s="36">
        <v>260764.0</v>
      </c>
      <c r="G135" s="36">
        <v>3808.0</v>
      </c>
      <c r="H135" s="36">
        <v>286119.0</v>
      </c>
      <c r="I135" s="35">
        <v>50.0</v>
      </c>
      <c r="J135" s="35">
        <v>54.0</v>
      </c>
      <c r="K135" s="35">
        <v>17275.0</v>
      </c>
      <c r="L135" s="35">
        <v>1482.0</v>
      </c>
      <c r="M135" s="35">
        <v>133662.0</v>
      </c>
      <c r="N135" s="35">
        <v>150937.0</v>
      </c>
      <c r="O135" s="35">
        <v>9.0</v>
      </c>
      <c r="P135" s="37">
        <v>2039.0</v>
      </c>
      <c r="Q135" s="37">
        <v>3.0</v>
      </c>
      <c r="R135" s="37">
        <v>1674.0</v>
      </c>
      <c r="S135" s="37">
        <v>0.0</v>
      </c>
      <c r="T135" s="37">
        <v>310.0</v>
      </c>
      <c r="U135" s="37">
        <v>55.0</v>
      </c>
      <c r="V135" s="37">
        <v>50.0</v>
      </c>
      <c r="W135" s="37">
        <v>10.0</v>
      </c>
      <c r="X135" s="37">
        <v>9.0</v>
      </c>
      <c r="Y135" s="37">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5">
        <v>4437.0</v>
      </c>
      <c r="F136" s="36">
        <v>265201.0</v>
      </c>
      <c r="G136" s="36">
        <v>4569.0</v>
      </c>
      <c r="H136" s="36">
        <v>290688.0</v>
      </c>
      <c r="I136" s="35">
        <v>80.0</v>
      </c>
      <c r="J136" s="35">
        <v>65.0</v>
      </c>
      <c r="K136" s="35">
        <v>17355.0</v>
      </c>
      <c r="L136" s="35">
        <v>1895.0</v>
      </c>
      <c r="M136" s="35">
        <v>135557.0</v>
      </c>
      <c r="N136" s="35">
        <v>152912.0</v>
      </c>
      <c r="O136" s="35">
        <v>6.0</v>
      </c>
      <c r="P136" s="37">
        <v>2045.0</v>
      </c>
      <c r="Q136" s="37">
        <v>3.0</v>
      </c>
      <c r="R136" s="37">
        <v>1677.0</v>
      </c>
      <c r="S136" s="37">
        <v>2.0</v>
      </c>
      <c r="T136" s="37">
        <v>312.0</v>
      </c>
      <c r="U136" s="37">
        <v>56.0</v>
      </c>
      <c r="V136" s="37">
        <v>53.0</v>
      </c>
      <c r="W136" s="37">
        <v>8.0</v>
      </c>
      <c r="X136" s="37">
        <v>7.0</v>
      </c>
      <c r="Y136" s="37">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5">
        <v>2938.0</v>
      </c>
      <c r="F137" s="36">
        <v>268139.0</v>
      </c>
      <c r="G137" s="36">
        <v>3001.0</v>
      </c>
      <c r="H137" s="36">
        <v>293689.0</v>
      </c>
      <c r="I137" s="35">
        <v>36.0</v>
      </c>
      <c r="J137" s="35">
        <v>55.0</v>
      </c>
      <c r="K137" s="35">
        <v>17391.0</v>
      </c>
      <c r="L137" s="35">
        <v>1201.0</v>
      </c>
      <c r="M137" s="35">
        <v>136758.0</v>
      </c>
      <c r="N137" s="35">
        <v>154149.0</v>
      </c>
      <c r="O137" s="35">
        <v>6.0</v>
      </c>
      <c r="P137" s="37">
        <v>2051.0</v>
      </c>
      <c r="Q137" s="37">
        <v>3.0</v>
      </c>
      <c r="R137" s="37">
        <v>1680.0</v>
      </c>
      <c r="S137" s="37">
        <v>1.0</v>
      </c>
      <c r="T137" s="37">
        <v>313.0</v>
      </c>
      <c r="U137" s="37">
        <v>58.0</v>
      </c>
      <c r="V137" s="37">
        <v>56.0</v>
      </c>
      <c r="W137" s="37">
        <v>7.0</v>
      </c>
      <c r="X137" s="37">
        <v>6.0</v>
      </c>
      <c r="Y137" s="37">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5">
        <v>1838.0</v>
      </c>
      <c r="F138" s="36">
        <v>269977.0</v>
      </c>
      <c r="G138" s="36">
        <v>1885.0</v>
      </c>
      <c r="H138" s="36">
        <v>295574.0</v>
      </c>
      <c r="I138" s="35">
        <v>34.0</v>
      </c>
      <c r="J138" s="35">
        <v>50.0</v>
      </c>
      <c r="K138" s="35">
        <v>17425.0</v>
      </c>
      <c r="L138" s="35">
        <v>866.0</v>
      </c>
      <c r="M138" s="35">
        <v>137624.0</v>
      </c>
      <c r="N138" s="35">
        <v>155049.0</v>
      </c>
      <c r="O138" s="35">
        <v>1.0</v>
      </c>
      <c r="P138" s="37">
        <v>2052.0</v>
      </c>
      <c r="Q138" s="37">
        <v>3.0</v>
      </c>
      <c r="R138" s="37">
        <v>1683.0</v>
      </c>
      <c r="S138" s="37">
        <v>1.0</v>
      </c>
      <c r="T138" s="37">
        <v>314.0</v>
      </c>
      <c r="U138" s="37">
        <v>55.0</v>
      </c>
      <c r="V138" s="37">
        <v>56.0</v>
      </c>
      <c r="W138" s="37">
        <v>7.0</v>
      </c>
      <c r="X138" s="37">
        <v>5.0</v>
      </c>
      <c r="Y138" s="37">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5">
        <v>3209.0</v>
      </c>
      <c r="F139" s="36">
        <v>273186.0</v>
      </c>
      <c r="G139" s="36">
        <v>3293.0</v>
      </c>
      <c r="H139" s="36">
        <v>298867.0</v>
      </c>
      <c r="I139" s="35">
        <v>61.0</v>
      </c>
      <c r="J139" s="35">
        <v>44.0</v>
      </c>
      <c r="K139" s="35">
        <v>17486.0</v>
      </c>
      <c r="L139" s="35">
        <v>1377.0</v>
      </c>
      <c r="M139" s="35">
        <v>139001.0</v>
      </c>
      <c r="N139" s="35">
        <v>156487.0</v>
      </c>
      <c r="O139" s="35">
        <v>8.0</v>
      </c>
      <c r="P139" s="37">
        <v>2060.0</v>
      </c>
      <c r="Q139" s="37">
        <v>10.0</v>
      </c>
      <c r="R139" s="37">
        <v>1693.0</v>
      </c>
      <c r="S139" s="37">
        <v>0.0</v>
      </c>
      <c r="T139" s="37">
        <v>314.0</v>
      </c>
      <c r="U139" s="37">
        <v>53.0</v>
      </c>
      <c r="V139" s="37">
        <v>55.0</v>
      </c>
      <c r="W139" s="37">
        <v>7.0</v>
      </c>
      <c r="X139" s="37">
        <v>5.0</v>
      </c>
      <c r="Y139" s="37">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5">
        <v>3299.0</v>
      </c>
      <c r="F140" s="36">
        <v>276485.0</v>
      </c>
      <c r="G140" s="36">
        <v>3373.0</v>
      </c>
      <c r="H140" s="36">
        <v>302240.0</v>
      </c>
      <c r="I140" s="35">
        <v>44.0</v>
      </c>
      <c r="J140" s="35">
        <v>46.0</v>
      </c>
      <c r="K140" s="35">
        <v>17530.0</v>
      </c>
      <c r="L140" s="35">
        <v>1290.0</v>
      </c>
      <c r="M140" s="35">
        <v>140291.0</v>
      </c>
      <c r="N140" s="35">
        <v>157821.0</v>
      </c>
      <c r="O140" s="35">
        <v>7.0</v>
      </c>
      <c r="P140" s="37">
        <v>2067.0</v>
      </c>
      <c r="Q140" s="37">
        <v>4.0</v>
      </c>
      <c r="R140" s="37">
        <v>1697.0</v>
      </c>
      <c r="S140" s="37">
        <v>0.0</v>
      </c>
      <c r="T140" s="37">
        <v>314.0</v>
      </c>
      <c r="U140" s="37">
        <v>56.0</v>
      </c>
      <c r="V140" s="37">
        <v>55.0</v>
      </c>
      <c r="W140" s="37">
        <v>5.0</v>
      </c>
      <c r="X140" s="37">
        <v>5.0</v>
      </c>
      <c r="Y140" s="37">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5">
        <v>4181.0</v>
      </c>
      <c r="F141" s="36">
        <v>280666.0</v>
      </c>
      <c r="G141" s="36">
        <v>4311.0</v>
      </c>
      <c r="H141" s="36">
        <v>306551.0</v>
      </c>
      <c r="I141" s="35">
        <v>100.0</v>
      </c>
      <c r="J141" s="35">
        <v>68.0</v>
      </c>
      <c r="K141" s="35">
        <v>17630.0</v>
      </c>
      <c r="L141" s="35">
        <v>1594.0</v>
      </c>
      <c r="M141" s="35">
        <v>141885.0</v>
      </c>
      <c r="N141" s="35">
        <v>159515.0</v>
      </c>
      <c r="O141" s="35">
        <v>5.0</v>
      </c>
      <c r="P141" s="37">
        <v>2072.0</v>
      </c>
      <c r="Q141" s="37">
        <v>7.0</v>
      </c>
      <c r="R141" s="37">
        <v>1704.0</v>
      </c>
      <c r="S141" s="37">
        <v>0.0</v>
      </c>
      <c r="T141" s="37">
        <v>314.0</v>
      </c>
      <c r="U141" s="37">
        <v>54.0</v>
      </c>
      <c r="V141" s="37">
        <v>54.0</v>
      </c>
      <c r="W141" s="37">
        <v>5.0</v>
      </c>
      <c r="X141" s="37">
        <v>4.0</v>
      </c>
      <c r="Y141" s="37">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5">
        <v>3740.0</v>
      </c>
      <c r="F142" s="36">
        <v>284406.0</v>
      </c>
      <c r="G142" s="36">
        <v>3843.0</v>
      </c>
      <c r="H142" s="36">
        <v>310394.0</v>
      </c>
      <c r="I142" s="35">
        <v>76.0</v>
      </c>
      <c r="J142" s="35">
        <v>73.0</v>
      </c>
      <c r="K142" s="35">
        <v>17706.0</v>
      </c>
      <c r="L142" s="35">
        <v>1477.0</v>
      </c>
      <c r="M142" s="35">
        <v>143362.0</v>
      </c>
      <c r="N142" s="35">
        <v>161068.0</v>
      </c>
      <c r="O142" s="35">
        <v>6.0</v>
      </c>
      <c r="P142" s="37">
        <v>2078.0</v>
      </c>
      <c r="Q142" s="37">
        <v>9.0</v>
      </c>
      <c r="R142" s="37">
        <v>1713.0</v>
      </c>
      <c r="S142" s="37">
        <v>0.0</v>
      </c>
      <c r="T142" s="37">
        <v>314.0</v>
      </c>
      <c r="U142" s="37">
        <v>51.0</v>
      </c>
      <c r="V142" s="37">
        <v>54.0</v>
      </c>
      <c r="W142" s="37">
        <v>6.0</v>
      </c>
      <c r="X142" s="37">
        <v>5.0</v>
      </c>
      <c r="Y142" s="37">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5">
        <v>4239.0</v>
      </c>
      <c r="F143" s="36">
        <v>288645.0</v>
      </c>
      <c r="G143" s="36">
        <v>4395.0</v>
      </c>
      <c r="H143" s="36">
        <v>314789.0</v>
      </c>
      <c r="I143" s="35">
        <v>79.0</v>
      </c>
      <c r="J143" s="35">
        <v>85.0</v>
      </c>
      <c r="K143" s="35">
        <v>17785.0</v>
      </c>
      <c r="L143" s="35">
        <v>1708.0</v>
      </c>
      <c r="M143" s="35">
        <v>145070.0</v>
      </c>
      <c r="N143" s="35">
        <v>162855.0</v>
      </c>
      <c r="O143" s="35">
        <v>14.0</v>
      </c>
      <c r="P143" s="37">
        <v>2092.0</v>
      </c>
      <c r="Q143" s="37">
        <v>3.0</v>
      </c>
      <c r="R143" s="37">
        <v>1716.0</v>
      </c>
      <c r="S143" s="37">
        <v>1.0</v>
      </c>
      <c r="T143" s="37">
        <v>315.0</v>
      </c>
      <c r="U143" s="37">
        <v>61.0</v>
      </c>
      <c r="V143" s="37">
        <v>55.0</v>
      </c>
      <c r="W143" s="37">
        <v>5.0</v>
      </c>
      <c r="X143" s="37">
        <v>5.0</v>
      </c>
      <c r="Y143" s="37">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5">
        <v>3272.0</v>
      </c>
      <c r="F144" s="36">
        <v>291917.0</v>
      </c>
      <c r="G144" s="36">
        <v>3357.0</v>
      </c>
      <c r="H144" s="36">
        <v>318146.0</v>
      </c>
      <c r="I144" s="35">
        <v>70.0</v>
      </c>
      <c r="J144" s="35">
        <v>75.0</v>
      </c>
      <c r="K144" s="35">
        <v>17855.0</v>
      </c>
      <c r="L144" s="35">
        <v>1290.0</v>
      </c>
      <c r="M144" s="35">
        <v>146360.0</v>
      </c>
      <c r="N144" s="35">
        <v>164215.0</v>
      </c>
      <c r="O144" s="35">
        <v>5.0</v>
      </c>
      <c r="P144" s="37">
        <v>2097.0</v>
      </c>
      <c r="Q144" s="37">
        <v>9.0</v>
      </c>
      <c r="R144" s="37">
        <v>1725.0</v>
      </c>
      <c r="S144" s="37">
        <v>1.0</v>
      </c>
      <c r="T144" s="37">
        <v>316.0</v>
      </c>
      <c r="U144" s="37">
        <v>56.0</v>
      </c>
      <c r="V144" s="37">
        <v>56.0</v>
      </c>
      <c r="W144" s="37">
        <v>5.0</v>
      </c>
      <c r="X144" s="37">
        <v>4.0</v>
      </c>
      <c r="Y144" s="37">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5">
        <v>2696.0</v>
      </c>
      <c r="F145" s="36">
        <v>294613.0</v>
      </c>
      <c r="G145" s="36">
        <v>2778.0</v>
      </c>
      <c r="H145" s="36">
        <v>320924.0</v>
      </c>
      <c r="I145" s="35">
        <v>57.0</v>
      </c>
      <c r="J145" s="35">
        <v>69.0</v>
      </c>
      <c r="K145" s="35">
        <v>17912.0</v>
      </c>
      <c r="L145" s="35">
        <v>1053.0</v>
      </c>
      <c r="M145" s="35">
        <v>147413.0</v>
      </c>
      <c r="N145" s="35">
        <v>165325.0</v>
      </c>
      <c r="O145" s="35">
        <v>7.0</v>
      </c>
      <c r="P145" s="37">
        <v>2104.0</v>
      </c>
      <c r="Q145" s="37">
        <v>3.0</v>
      </c>
      <c r="R145" s="37">
        <v>1728.0</v>
      </c>
      <c r="S145" s="37">
        <v>0.0</v>
      </c>
      <c r="T145" s="37">
        <v>316.0</v>
      </c>
      <c r="U145" s="37">
        <v>60.0</v>
      </c>
      <c r="V145" s="37">
        <v>59.0</v>
      </c>
      <c r="W145" s="37">
        <v>6.0</v>
      </c>
      <c r="X145" s="37">
        <v>4.0</v>
      </c>
      <c r="Y145" s="37">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5">
        <v>2667.0</v>
      </c>
      <c r="F146" s="36">
        <v>297280.0</v>
      </c>
      <c r="G146" s="36">
        <v>2738.0</v>
      </c>
      <c r="H146" s="36">
        <v>323662.0</v>
      </c>
      <c r="I146" s="35">
        <v>68.0</v>
      </c>
      <c r="J146" s="35">
        <v>65.0</v>
      </c>
      <c r="K146" s="35">
        <v>17980.0</v>
      </c>
      <c r="L146" s="35">
        <v>1345.0</v>
      </c>
      <c r="M146" s="35">
        <v>148758.0</v>
      </c>
      <c r="N146" s="35">
        <v>166738.0</v>
      </c>
      <c r="O146" s="35">
        <v>9.0</v>
      </c>
      <c r="P146" s="37">
        <v>2113.0</v>
      </c>
      <c r="Q146" s="37">
        <v>7.0</v>
      </c>
      <c r="R146" s="37">
        <v>1735.0</v>
      </c>
      <c r="S146" s="37">
        <v>0.0</v>
      </c>
      <c r="T146" s="37">
        <v>316.0</v>
      </c>
      <c r="U146" s="37">
        <v>62.0</v>
      </c>
      <c r="V146" s="37">
        <v>59.0</v>
      </c>
      <c r="W146" s="37">
        <v>7.0</v>
      </c>
      <c r="X146" s="37">
        <v>5.0</v>
      </c>
      <c r="Y146" s="37">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5">
        <v>4304.0</v>
      </c>
      <c r="F147" s="36">
        <v>301584.0</v>
      </c>
      <c r="G147" s="36">
        <v>4434.0</v>
      </c>
      <c r="H147" s="36">
        <v>328096.0</v>
      </c>
      <c r="I147" s="35">
        <v>108.0</v>
      </c>
      <c r="J147" s="35">
        <v>78.0</v>
      </c>
      <c r="K147" s="35">
        <v>18088.0</v>
      </c>
      <c r="L147" s="35">
        <v>1745.0</v>
      </c>
      <c r="M147" s="35">
        <v>150503.0</v>
      </c>
      <c r="N147" s="35">
        <v>168591.0</v>
      </c>
      <c r="O147" s="35">
        <v>9.0</v>
      </c>
      <c r="P147" s="37">
        <v>2122.0</v>
      </c>
      <c r="Q147" s="37">
        <v>11.0</v>
      </c>
      <c r="R147" s="37">
        <v>1746.0</v>
      </c>
      <c r="S147" s="37">
        <v>0.0</v>
      </c>
      <c r="T147" s="37">
        <v>316.0</v>
      </c>
      <c r="U147" s="37">
        <v>60.0</v>
      </c>
      <c r="V147" s="37">
        <v>61.0</v>
      </c>
      <c r="W147" s="37">
        <v>9.0</v>
      </c>
      <c r="X147" s="37">
        <v>6.0</v>
      </c>
      <c r="Y147" s="37">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5">
        <v>3928.0</v>
      </c>
      <c r="F148" s="36">
        <v>305512.0</v>
      </c>
      <c r="G148" s="36">
        <v>4058.0</v>
      </c>
      <c r="H148" s="36">
        <v>332154.0</v>
      </c>
      <c r="I148" s="35">
        <v>86.0</v>
      </c>
      <c r="J148" s="35">
        <v>87.0</v>
      </c>
      <c r="K148" s="35">
        <v>18174.0</v>
      </c>
      <c r="L148" s="35">
        <v>1539.0</v>
      </c>
      <c r="M148" s="35">
        <v>152042.0</v>
      </c>
      <c r="N148" s="35">
        <v>170216.0</v>
      </c>
      <c r="O148" s="35">
        <v>7.0</v>
      </c>
      <c r="P148" s="37">
        <v>2129.0</v>
      </c>
      <c r="Q148" s="37">
        <v>8.0</v>
      </c>
      <c r="R148" s="37">
        <v>1754.0</v>
      </c>
      <c r="S148" s="37">
        <v>1.0</v>
      </c>
      <c r="T148" s="37">
        <v>317.0</v>
      </c>
      <c r="U148" s="37">
        <v>58.0</v>
      </c>
      <c r="V148" s="37">
        <v>60.0</v>
      </c>
      <c r="W148" s="37">
        <v>7.0</v>
      </c>
      <c r="X148" s="37">
        <v>6.0</v>
      </c>
      <c r="Y148" s="37">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5">
        <v>4414.0</v>
      </c>
      <c r="F149" s="36">
        <v>309926.0</v>
      </c>
      <c r="G149" s="36">
        <v>4555.0</v>
      </c>
      <c r="H149" s="36">
        <v>336709.0</v>
      </c>
      <c r="I149" s="35">
        <v>115.0</v>
      </c>
      <c r="J149" s="35">
        <v>103.0</v>
      </c>
      <c r="K149" s="35">
        <v>18289.0</v>
      </c>
      <c r="L149" s="35">
        <v>1805.0</v>
      </c>
      <c r="M149" s="35">
        <v>153847.0</v>
      </c>
      <c r="N149" s="35">
        <v>172136.0</v>
      </c>
      <c r="O149" s="35">
        <v>8.0</v>
      </c>
      <c r="P149" s="37">
        <v>2137.0</v>
      </c>
      <c r="Q149" s="37">
        <v>6.0</v>
      </c>
      <c r="R149" s="37">
        <v>1760.0</v>
      </c>
      <c r="S149" s="37">
        <v>0.0</v>
      </c>
      <c r="T149" s="37">
        <v>317.0</v>
      </c>
      <c r="U149" s="37">
        <v>60.0</v>
      </c>
      <c r="V149" s="37">
        <v>59.0</v>
      </c>
      <c r="W149" s="37">
        <v>8.0</v>
      </c>
      <c r="X149" s="37">
        <v>7.0</v>
      </c>
      <c r="Y149" s="37">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5">
        <v>5966.0</v>
      </c>
      <c r="F150" s="36">
        <v>315892.0</v>
      </c>
      <c r="G150" s="36">
        <v>6138.0</v>
      </c>
      <c r="H150" s="36">
        <v>342847.0</v>
      </c>
      <c r="I150" s="35">
        <v>119.0</v>
      </c>
      <c r="J150" s="35">
        <v>107.0</v>
      </c>
      <c r="K150" s="35">
        <v>18408.0</v>
      </c>
      <c r="L150" s="35">
        <v>2112.0</v>
      </c>
      <c r="M150" s="35">
        <v>155959.0</v>
      </c>
      <c r="N150" s="35">
        <v>174367.0</v>
      </c>
      <c r="O150" s="35">
        <v>15.0</v>
      </c>
      <c r="P150" s="37">
        <v>2152.0</v>
      </c>
      <c r="Q150" s="37">
        <v>12.0</v>
      </c>
      <c r="R150" s="37">
        <v>1772.0</v>
      </c>
      <c r="S150" s="37">
        <v>0.0</v>
      </c>
      <c r="T150" s="37">
        <v>317.0</v>
      </c>
      <c r="U150" s="37">
        <v>63.0</v>
      </c>
      <c r="V150" s="37">
        <v>60.0</v>
      </c>
      <c r="W150" s="37">
        <v>9.0</v>
      </c>
      <c r="X150" s="37">
        <v>7.0</v>
      </c>
      <c r="Y150" s="37">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5">
        <v>4398.0</v>
      </c>
      <c r="F151" s="36">
        <v>320290.0</v>
      </c>
      <c r="G151" s="36">
        <v>4532.0</v>
      </c>
      <c r="H151" s="36">
        <v>347379.0</v>
      </c>
      <c r="I151" s="35">
        <v>107.0</v>
      </c>
      <c r="J151" s="35">
        <v>114.0</v>
      </c>
      <c r="K151" s="35">
        <v>18515.0</v>
      </c>
      <c r="L151" s="35">
        <v>1943.0</v>
      </c>
      <c r="M151" s="35">
        <v>157902.0</v>
      </c>
      <c r="N151" s="35">
        <v>176417.0</v>
      </c>
      <c r="O151" s="35">
        <v>7.0</v>
      </c>
      <c r="P151" s="37">
        <v>2159.0</v>
      </c>
      <c r="Q151" s="37">
        <v>7.0</v>
      </c>
      <c r="R151" s="37">
        <v>1779.0</v>
      </c>
      <c r="S151" s="37">
        <v>0.0</v>
      </c>
      <c r="T151" s="37">
        <v>317.0</v>
      </c>
      <c r="U151" s="37">
        <v>63.0</v>
      </c>
      <c r="V151" s="37">
        <v>62.0</v>
      </c>
      <c r="W151" s="37">
        <v>10.0</v>
      </c>
      <c r="X151" s="37">
        <v>8.0</v>
      </c>
      <c r="Y151" s="37">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5">
        <v>3032.0</v>
      </c>
      <c r="F152" s="36">
        <v>323322.0</v>
      </c>
      <c r="G152" s="36">
        <v>3094.0</v>
      </c>
      <c r="H152" s="36">
        <v>350473.0</v>
      </c>
      <c r="I152" s="35">
        <v>54.0</v>
      </c>
      <c r="J152" s="35">
        <v>93.0</v>
      </c>
      <c r="K152" s="35">
        <v>18569.0</v>
      </c>
      <c r="L152" s="35">
        <v>1208.0</v>
      </c>
      <c r="M152" s="35">
        <v>159110.0</v>
      </c>
      <c r="N152" s="35">
        <v>177679.0</v>
      </c>
      <c r="O152" s="35">
        <v>7.0</v>
      </c>
      <c r="P152" s="37">
        <v>2166.0</v>
      </c>
      <c r="Q152" s="37">
        <v>8.0</v>
      </c>
      <c r="R152" s="37">
        <v>1787.0</v>
      </c>
      <c r="S152" s="37">
        <v>0.0</v>
      </c>
      <c r="T152" s="37">
        <v>317.0</v>
      </c>
      <c r="U152" s="37">
        <v>62.0</v>
      </c>
      <c r="V152" s="37">
        <v>63.0</v>
      </c>
      <c r="W152" s="37">
        <v>11.0</v>
      </c>
      <c r="X152" s="37">
        <v>7.0</v>
      </c>
      <c r="Y152" s="37">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5">
        <v>4191.0</v>
      </c>
      <c r="F153" s="36">
        <v>327513.0</v>
      </c>
      <c r="G153" s="36">
        <v>4379.0</v>
      </c>
      <c r="H153" s="36">
        <v>354852.0</v>
      </c>
      <c r="I153" s="35">
        <v>139.0</v>
      </c>
      <c r="J153" s="35">
        <v>100.0</v>
      </c>
      <c r="K153" s="35">
        <v>18708.0</v>
      </c>
      <c r="L153" s="35">
        <v>2128.0</v>
      </c>
      <c r="M153" s="35">
        <v>161238.0</v>
      </c>
      <c r="N153" s="35">
        <v>179946.0</v>
      </c>
      <c r="O153" s="35">
        <v>12.0</v>
      </c>
      <c r="P153" s="37">
        <v>2178.0</v>
      </c>
      <c r="Q153" s="37">
        <v>7.0</v>
      </c>
      <c r="R153" s="37">
        <v>1794.0</v>
      </c>
      <c r="S153" s="37">
        <v>0.0</v>
      </c>
      <c r="T153" s="37">
        <v>317.0</v>
      </c>
      <c r="U153" s="37">
        <v>67.0</v>
      </c>
      <c r="V153" s="37">
        <v>64.0</v>
      </c>
      <c r="W153" s="37">
        <v>13.0</v>
      </c>
      <c r="X153" s="37">
        <v>8.0</v>
      </c>
      <c r="Y153" s="37">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5">
        <v>3841.0</v>
      </c>
      <c r="F154" s="36">
        <v>331354.0</v>
      </c>
      <c r="G154" s="36">
        <v>3946.0</v>
      </c>
      <c r="H154" s="36">
        <v>358798.0</v>
      </c>
      <c r="I154" s="35">
        <v>95.0</v>
      </c>
      <c r="J154" s="35">
        <v>96.0</v>
      </c>
      <c r="K154" s="35">
        <v>18803.0</v>
      </c>
      <c r="L154" s="35">
        <v>1505.0</v>
      </c>
      <c r="M154" s="35">
        <v>162743.0</v>
      </c>
      <c r="N154" s="35">
        <v>181546.0</v>
      </c>
      <c r="O154" s="35">
        <v>5.0</v>
      </c>
      <c r="P154" s="37">
        <v>2183.0</v>
      </c>
      <c r="Q154" s="37">
        <v>5.0</v>
      </c>
      <c r="R154" s="37">
        <v>1799.0</v>
      </c>
      <c r="S154" s="37">
        <v>0.0</v>
      </c>
      <c r="T154" s="37">
        <v>317.0</v>
      </c>
      <c r="U154" s="37">
        <v>67.0</v>
      </c>
      <c r="V154" s="37">
        <v>65.0</v>
      </c>
      <c r="W154" s="37">
        <v>14.0</v>
      </c>
      <c r="X154" s="37">
        <v>7.0</v>
      </c>
      <c r="Y154" s="37">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5">
        <v>5140.0</v>
      </c>
      <c r="F155" s="36">
        <v>336494.0</v>
      </c>
      <c r="G155" s="36">
        <v>5330.0</v>
      </c>
      <c r="H155" s="36">
        <v>364128.0</v>
      </c>
      <c r="I155" s="35">
        <v>153.0</v>
      </c>
      <c r="J155" s="35">
        <v>129.0</v>
      </c>
      <c r="K155" s="35">
        <v>18956.0</v>
      </c>
      <c r="L155" s="35">
        <v>2107.0</v>
      </c>
      <c r="M155" s="35">
        <v>164850.0</v>
      </c>
      <c r="N155" s="35">
        <v>183806.0</v>
      </c>
      <c r="O155" s="35">
        <v>9.0</v>
      </c>
      <c r="P155" s="37">
        <v>2192.0</v>
      </c>
      <c r="Q155" s="37">
        <v>10.0</v>
      </c>
      <c r="R155" s="37">
        <v>1809.0</v>
      </c>
      <c r="S155" s="37">
        <v>0.0</v>
      </c>
      <c r="T155" s="37">
        <v>317.0</v>
      </c>
      <c r="U155" s="37">
        <v>66.0</v>
      </c>
      <c r="V155" s="37">
        <v>67.0</v>
      </c>
      <c r="W155" s="37">
        <v>15.0</v>
      </c>
      <c r="X155" s="37">
        <v>7.0</v>
      </c>
      <c r="Y155" s="37">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5">
        <v>4345.0</v>
      </c>
      <c r="F156" s="36">
        <v>340839.0</v>
      </c>
      <c r="G156" s="36">
        <v>4466.0</v>
      </c>
      <c r="H156" s="36">
        <v>368594.0</v>
      </c>
      <c r="I156" s="35">
        <v>96.0</v>
      </c>
      <c r="J156" s="35">
        <v>115.0</v>
      </c>
      <c r="K156" s="35">
        <v>19052.0</v>
      </c>
      <c r="L156" s="35">
        <v>1498.0</v>
      </c>
      <c r="M156" s="35">
        <v>166348.0</v>
      </c>
      <c r="N156" s="35">
        <v>185400.0</v>
      </c>
      <c r="O156" s="35">
        <v>6.0</v>
      </c>
      <c r="P156" s="37">
        <v>2198.0</v>
      </c>
      <c r="Q156" s="37">
        <v>2.0</v>
      </c>
      <c r="R156" s="37">
        <v>1811.0</v>
      </c>
      <c r="S156" s="37">
        <v>1.0</v>
      </c>
      <c r="T156" s="37">
        <v>318.0</v>
      </c>
      <c r="U156" s="37">
        <v>69.0</v>
      </c>
      <c r="V156" s="37">
        <v>67.0</v>
      </c>
      <c r="W156" s="37">
        <v>15.0</v>
      </c>
      <c r="X156" s="37">
        <v>6.0</v>
      </c>
      <c r="Y156" s="37">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5">
        <v>5512.0</v>
      </c>
      <c r="F157" s="36">
        <v>346351.0</v>
      </c>
      <c r="G157" s="36">
        <v>5643.0</v>
      </c>
      <c r="H157" s="36">
        <v>374237.0</v>
      </c>
      <c r="I157" s="35">
        <v>89.0</v>
      </c>
      <c r="J157" s="35">
        <v>113.0</v>
      </c>
      <c r="K157" s="35">
        <v>19141.0</v>
      </c>
      <c r="L157" s="35">
        <v>1669.0</v>
      </c>
      <c r="M157" s="35">
        <v>168017.0</v>
      </c>
      <c r="N157" s="35">
        <v>187158.0</v>
      </c>
      <c r="O157" s="35">
        <v>7.0</v>
      </c>
      <c r="P157" s="37">
        <v>2205.0</v>
      </c>
      <c r="Q157" s="37">
        <v>9.0</v>
      </c>
      <c r="R157" s="37">
        <v>1820.0</v>
      </c>
      <c r="S157" s="37">
        <v>0.0</v>
      </c>
      <c r="T157" s="37">
        <v>318.0</v>
      </c>
      <c r="U157" s="37">
        <v>67.0</v>
      </c>
      <c r="V157" s="37">
        <v>67.0</v>
      </c>
      <c r="W157" s="37">
        <v>15.0</v>
      </c>
      <c r="X157" s="37">
        <v>7.0</v>
      </c>
      <c r="Y157" s="37">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5">
        <v>4294.0</v>
      </c>
      <c r="F158" s="36">
        <v>350645.0</v>
      </c>
      <c r="G158" s="36">
        <v>4403.0</v>
      </c>
      <c r="H158" s="36">
        <v>378640.0</v>
      </c>
      <c r="I158" s="35">
        <v>89.0</v>
      </c>
      <c r="J158" s="35">
        <v>91.0</v>
      </c>
      <c r="K158" s="35">
        <v>19230.0</v>
      </c>
      <c r="L158" s="35">
        <v>1417.0</v>
      </c>
      <c r="M158" s="35">
        <v>169434.0</v>
      </c>
      <c r="N158" s="35">
        <v>188664.0</v>
      </c>
      <c r="O158" s="35">
        <v>7.0</v>
      </c>
      <c r="P158" s="37">
        <v>2212.0</v>
      </c>
      <c r="Q158" s="37">
        <v>2.0</v>
      </c>
      <c r="R158" s="37">
        <v>1822.0</v>
      </c>
      <c r="S158" s="37">
        <v>0.0</v>
      </c>
      <c r="T158" s="37">
        <v>318.0</v>
      </c>
      <c r="U158" s="37">
        <v>72.0</v>
      </c>
      <c r="V158" s="37">
        <v>69.0</v>
      </c>
      <c r="W158" s="37">
        <v>14.0</v>
      </c>
      <c r="X158" s="37">
        <v>7.0</v>
      </c>
      <c r="Y158" s="37">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5">
        <v>2804.0</v>
      </c>
      <c r="F159" s="36">
        <v>353449.0</v>
      </c>
      <c r="G159" s="36">
        <v>2888.0</v>
      </c>
      <c r="H159" s="36">
        <v>381528.0</v>
      </c>
      <c r="I159" s="35">
        <v>62.0</v>
      </c>
      <c r="J159" s="35">
        <v>80.0</v>
      </c>
      <c r="K159" s="35">
        <v>19292.0</v>
      </c>
      <c r="L159" s="35">
        <v>1179.0</v>
      </c>
      <c r="M159" s="35">
        <v>170613.0</v>
      </c>
      <c r="N159" s="35">
        <v>189905.0</v>
      </c>
      <c r="O159" s="35">
        <v>12.0</v>
      </c>
      <c r="P159" s="37">
        <v>2224.0</v>
      </c>
      <c r="Q159" s="37">
        <v>12.0</v>
      </c>
      <c r="R159" s="37">
        <v>1834.0</v>
      </c>
      <c r="S159" s="37">
        <v>2.0</v>
      </c>
      <c r="T159" s="37">
        <v>320.0</v>
      </c>
      <c r="U159" s="37">
        <v>70.0</v>
      </c>
      <c r="V159" s="37">
        <v>70.0</v>
      </c>
      <c r="W159" s="37">
        <v>14.0</v>
      </c>
      <c r="X159" s="37">
        <v>8.0</v>
      </c>
      <c r="Y159" s="37">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5">
        <v>5248.0</v>
      </c>
      <c r="F160" s="36">
        <v>358697.0</v>
      </c>
      <c r="G160" s="36">
        <v>5436.0</v>
      </c>
      <c r="H160" s="36">
        <v>386964.0</v>
      </c>
      <c r="I160" s="35">
        <v>150.0</v>
      </c>
      <c r="J160" s="35">
        <v>100.0</v>
      </c>
      <c r="K160" s="35">
        <v>19442.0</v>
      </c>
      <c r="L160" s="35">
        <v>2022.0</v>
      </c>
      <c r="M160" s="35">
        <v>172635.0</v>
      </c>
      <c r="N160" s="35">
        <v>192077.0</v>
      </c>
      <c r="O160" s="35">
        <v>11.0</v>
      </c>
      <c r="P160" s="37">
        <v>2235.0</v>
      </c>
      <c r="Q160" s="37">
        <v>10.0</v>
      </c>
      <c r="R160" s="37">
        <v>1844.0</v>
      </c>
      <c r="S160" s="37">
        <v>0.0</v>
      </c>
      <c r="T160" s="37">
        <v>320.0</v>
      </c>
      <c r="U160" s="37">
        <v>71.0</v>
      </c>
      <c r="V160" s="37">
        <v>71.0</v>
      </c>
      <c r="W160" s="37">
        <v>16.0</v>
      </c>
      <c r="X160" s="37">
        <v>7.0</v>
      </c>
      <c r="Y160" s="37">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5">
        <v>3691.0</v>
      </c>
      <c r="F161" s="36">
        <v>362388.0</v>
      </c>
      <c r="G161" s="36">
        <v>3816.0</v>
      </c>
      <c r="H161" s="36">
        <v>390780.0</v>
      </c>
      <c r="I161" s="35">
        <v>99.0</v>
      </c>
      <c r="J161" s="35">
        <v>104.0</v>
      </c>
      <c r="K161" s="35">
        <v>19541.0</v>
      </c>
      <c r="L161" s="35">
        <v>1623.0</v>
      </c>
      <c r="M161" s="35">
        <v>174258.0</v>
      </c>
      <c r="N161" s="35">
        <v>193799.0</v>
      </c>
      <c r="O161" s="35">
        <v>8.0</v>
      </c>
      <c r="P161" s="37">
        <v>2243.0</v>
      </c>
      <c r="Q161" s="37">
        <v>5.0</v>
      </c>
      <c r="R161" s="37">
        <v>1849.0</v>
      </c>
      <c r="S161" s="37">
        <v>1.0</v>
      </c>
      <c r="T161" s="37">
        <v>321.0</v>
      </c>
      <c r="U161" s="37">
        <v>73.0</v>
      </c>
      <c r="V161" s="37">
        <v>71.0</v>
      </c>
      <c r="W161" s="37">
        <v>12.0</v>
      </c>
      <c r="X161" s="37">
        <v>5.0</v>
      </c>
      <c r="Y161" s="37">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5">
        <v>5933.0</v>
      </c>
      <c r="F162" s="36">
        <v>368321.0</v>
      </c>
      <c r="G162" s="36">
        <v>6080.0</v>
      </c>
      <c r="H162" s="36">
        <v>396860.0</v>
      </c>
      <c r="I162" s="35">
        <v>119.0</v>
      </c>
      <c r="J162" s="35">
        <v>123.0</v>
      </c>
      <c r="K162" s="35">
        <v>19660.0</v>
      </c>
      <c r="L162" s="35">
        <v>2258.0</v>
      </c>
      <c r="M162" s="35">
        <v>176516.0</v>
      </c>
      <c r="N162" s="35">
        <v>196176.0</v>
      </c>
      <c r="O162" s="35">
        <v>10.0</v>
      </c>
      <c r="P162" s="37">
        <v>2253.0</v>
      </c>
      <c r="Q162" s="37">
        <v>8.0</v>
      </c>
      <c r="R162" s="37">
        <v>1857.0</v>
      </c>
      <c r="S162" s="37">
        <v>1.0</v>
      </c>
      <c r="T162" s="37">
        <v>322.0</v>
      </c>
      <c r="U162" s="37">
        <v>74.0</v>
      </c>
      <c r="V162" s="37">
        <v>73.0</v>
      </c>
      <c r="W162" s="37">
        <v>10.0</v>
      </c>
      <c r="X162" s="37">
        <v>5.0</v>
      </c>
      <c r="Y162" s="37">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5">
        <v>5546.0</v>
      </c>
      <c r="F163" s="36">
        <v>373867.0</v>
      </c>
      <c r="G163" s="36">
        <v>5715.0</v>
      </c>
      <c r="H163" s="36">
        <v>402575.0</v>
      </c>
      <c r="I163" s="35">
        <v>120.0</v>
      </c>
      <c r="J163" s="35">
        <v>113.0</v>
      </c>
      <c r="K163" s="35">
        <v>19780.0</v>
      </c>
      <c r="L163" s="35">
        <v>2154.0</v>
      </c>
      <c r="M163" s="35">
        <v>178670.0</v>
      </c>
      <c r="N163" s="35">
        <v>198450.0</v>
      </c>
      <c r="O163" s="35">
        <v>7.0</v>
      </c>
      <c r="P163" s="37">
        <v>2260.0</v>
      </c>
      <c r="Q163" s="37">
        <v>9.0</v>
      </c>
      <c r="R163" s="37">
        <v>1866.0</v>
      </c>
      <c r="S163" s="37">
        <v>0.0</v>
      </c>
      <c r="T163" s="37">
        <v>322.0</v>
      </c>
      <c r="U163" s="37">
        <v>72.0</v>
      </c>
      <c r="V163" s="37">
        <v>73.0</v>
      </c>
      <c r="W163" s="37">
        <v>9.0</v>
      </c>
      <c r="X163" s="37">
        <v>4.0</v>
      </c>
      <c r="Y163" s="37">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5">
        <v>4852.0</v>
      </c>
      <c r="F164" s="36">
        <v>378719.0</v>
      </c>
      <c r="G164" s="36">
        <v>4975.0</v>
      </c>
      <c r="H164" s="36">
        <v>407550.0</v>
      </c>
      <c r="I164" s="35">
        <v>87.0</v>
      </c>
      <c r="J164" s="35">
        <v>109.0</v>
      </c>
      <c r="K164" s="35">
        <v>19867.0</v>
      </c>
      <c r="L164" s="35">
        <v>1949.0</v>
      </c>
      <c r="M164" s="35">
        <v>180619.0</v>
      </c>
      <c r="N164" s="35">
        <v>200486.0</v>
      </c>
      <c r="O164" s="35">
        <v>12.0</v>
      </c>
      <c r="P164" s="37">
        <v>2272.0</v>
      </c>
      <c r="Q164" s="37">
        <v>9.0</v>
      </c>
      <c r="R164" s="37">
        <v>1875.0</v>
      </c>
      <c r="S164" s="37">
        <v>1.0</v>
      </c>
      <c r="T164" s="37">
        <v>323.0</v>
      </c>
      <c r="U164" s="37">
        <v>74.0</v>
      </c>
      <c r="V164" s="37">
        <v>73.0</v>
      </c>
      <c r="W164" s="37">
        <v>9.0</v>
      </c>
      <c r="X164" s="37">
        <v>3.0</v>
      </c>
      <c r="Y164" s="37">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5">
        <v>4113.0</v>
      </c>
      <c r="F165" s="36">
        <v>382832.0</v>
      </c>
      <c r="G165" s="36">
        <v>4236.0</v>
      </c>
      <c r="H165" s="36">
        <v>411786.0</v>
      </c>
      <c r="I165" s="35">
        <v>91.0</v>
      </c>
      <c r="J165" s="35">
        <v>99.0</v>
      </c>
      <c r="K165" s="35">
        <v>19958.0</v>
      </c>
      <c r="L165" s="35">
        <v>1649.0</v>
      </c>
      <c r="M165" s="35">
        <v>182268.0</v>
      </c>
      <c r="N165" s="35">
        <v>202226.0</v>
      </c>
      <c r="O165" s="35">
        <v>18.0</v>
      </c>
      <c r="P165" s="37">
        <v>2290.0</v>
      </c>
      <c r="Q165" s="37">
        <v>5.0</v>
      </c>
      <c r="R165" s="37">
        <v>1880.0</v>
      </c>
      <c r="S165" s="37">
        <v>1.0</v>
      </c>
      <c r="T165" s="37">
        <v>324.0</v>
      </c>
      <c r="U165" s="37">
        <v>86.0</v>
      </c>
      <c r="V165" s="37">
        <v>77.0</v>
      </c>
      <c r="W165" s="37">
        <v>8.0</v>
      </c>
      <c r="X165" s="37">
        <v>3.0</v>
      </c>
      <c r="Y165" s="37">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5">
        <v>1726.0</v>
      </c>
      <c r="F166" s="36">
        <v>384558.0</v>
      </c>
      <c r="G166" s="36">
        <v>1768.0</v>
      </c>
      <c r="H166" s="36">
        <v>413554.0</v>
      </c>
      <c r="I166" s="35">
        <v>35.0</v>
      </c>
      <c r="J166" s="35">
        <v>71.0</v>
      </c>
      <c r="K166" s="35">
        <v>19993.0</v>
      </c>
      <c r="L166" s="35">
        <v>975.0</v>
      </c>
      <c r="M166" s="35">
        <v>183243.0</v>
      </c>
      <c r="N166" s="35">
        <v>203236.0</v>
      </c>
      <c r="O166" s="35">
        <v>6.0</v>
      </c>
      <c r="P166" s="37">
        <v>2296.0</v>
      </c>
      <c r="Q166" s="37">
        <v>8.0</v>
      </c>
      <c r="R166" s="37">
        <v>1888.0</v>
      </c>
      <c r="S166" s="37">
        <v>0.0</v>
      </c>
      <c r="T166" s="37">
        <v>324.0</v>
      </c>
      <c r="U166" s="37">
        <v>84.0</v>
      </c>
      <c r="V166" s="37">
        <v>81.0</v>
      </c>
      <c r="W166" s="37">
        <v>9.0</v>
      </c>
      <c r="X166" s="37">
        <v>4.0</v>
      </c>
      <c r="Y166" s="37">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5">
        <v>4586.0</v>
      </c>
      <c r="F167" s="36">
        <v>389144.0</v>
      </c>
      <c r="G167" s="36">
        <v>4735.0</v>
      </c>
      <c r="H167" s="36">
        <v>418289.0</v>
      </c>
      <c r="I167" s="35">
        <v>113.0</v>
      </c>
      <c r="J167" s="35">
        <v>80.0</v>
      </c>
      <c r="K167" s="35">
        <v>20106.0</v>
      </c>
      <c r="L167" s="35">
        <v>1860.0</v>
      </c>
      <c r="M167" s="35">
        <v>185103.0</v>
      </c>
      <c r="N167" s="35">
        <v>205209.0</v>
      </c>
      <c r="O167" s="35">
        <v>8.0</v>
      </c>
      <c r="P167" s="37">
        <v>2304.0</v>
      </c>
      <c r="Q167" s="37">
        <v>9.0</v>
      </c>
      <c r="R167" s="37">
        <v>1897.0</v>
      </c>
      <c r="S167" s="37">
        <v>0.0</v>
      </c>
      <c r="T167" s="37">
        <v>324.0</v>
      </c>
      <c r="U167" s="37">
        <v>83.0</v>
      </c>
      <c r="V167" s="37">
        <v>84.0</v>
      </c>
      <c r="W167" s="37">
        <v>9.0</v>
      </c>
      <c r="X167" s="37">
        <v>4.0</v>
      </c>
      <c r="Y167" s="37">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5">
        <v>4334.0</v>
      </c>
      <c r="F168" s="36">
        <v>393478.0</v>
      </c>
      <c r="G168" s="36">
        <v>4440.0</v>
      </c>
      <c r="H168" s="36">
        <v>422729.0</v>
      </c>
      <c r="I168" s="35">
        <v>91.0</v>
      </c>
      <c r="J168" s="35">
        <v>80.0</v>
      </c>
      <c r="K168" s="35">
        <v>20197.0</v>
      </c>
      <c r="L168" s="35">
        <v>2093.0</v>
      </c>
      <c r="M168" s="35">
        <v>187196.0</v>
      </c>
      <c r="N168" s="35">
        <v>207393.0</v>
      </c>
      <c r="O168" s="35">
        <v>5.0</v>
      </c>
      <c r="P168" s="37">
        <v>2309.0</v>
      </c>
      <c r="Q168" s="37">
        <v>13.0</v>
      </c>
      <c r="R168" s="37">
        <v>1910.0</v>
      </c>
      <c r="S168" s="37">
        <v>0.0</v>
      </c>
      <c r="T168" s="37">
        <v>324.0</v>
      </c>
      <c r="U168" s="37">
        <v>75.0</v>
      </c>
      <c r="V168" s="37">
        <v>81.0</v>
      </c>
      <c r="W168" s="37">
        <v>10.0</v>
      </c>
      <c r="X168" s="37">
        <v>4.0</v>
      </c>
      <c r="Y168" s="37">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5">
        <v>5190.0</v>
      </c>
      <c r="F169" s="36">
        <v>398668.0</v>
      </c>
      <c r="G169" s="36">
        <v>5311.0</v>
      </c>
      <c r="H169" s="36">
        <v>428040.0</v>
      </c>
      <c r="I169" s="35">
        <v>102.0</v>
      </c>
      <c r="J169" s="35">
        <v>102.0</v>
      </c>
      <c r="K169" s="35">
        <v>20299.0</v>
      </c>
      <c r="L169" s="35">
        <v>2396.0</v>
      </c>
      <c r="M169" s="35">
        <v>189592.0</v>
      </c>
      <c r="N169" s="35">
        <v>209891.0</v>
      </c>
      <c r="O169" s="35">
        <v>8.0</v>
      </c>
      <c r="P169" s="37">
        <v>2317.0</v>
      </c>
      <c r="Q169" s="37">
        <v>11.0</v>
      </c>
      <c r="R169" s="37">
        <v>1921.0</v>
      </c>
      <c r="S169" s="37">
        <v>0.0</v>
      </c>
      <c r="T169" s="37">
        <v>324.0</v>
      </c>
      <c r="U169" s="37">
        <v>72.0</v>
      </c>
      <c r="V169" s="37">
        <v>77.0</v>
      </c>
      <c r="W169" s="37">
        <v>9.0</v>
      </c>
      <c r="X169" s="37">
        <v>3.0</v>
      </c>
      <c r="Y169" s="37">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5">
        <v>4196.0</v>
      </c>
      <c r="F170" s="36">
        <v>402864.0</v>
      </c>
      <c r="G170" s="36">
        <v>4331.0</v>
      </c>
      <c r="H170" s="36">
        <v>432371.0</v>
      </c>
      <c r="I170" s="35">
        <v>95.0</v>
      </c>
      <c r="J170" s="35">
        <v>96.0</v>
      </c>
      <c r="K170" s="35">
        <v>20394.0</v>
      </c>
      <c r="L170" s="35">
        <v>1749.0</v>
      </c>
      <c r="M170" s="35">
        <v>191341.0</v>
      </c>
      <c r="N170" s="35">
        <v>211735.0</v>
      </c>
      <c r="O170" s="35">
        <v>13.0</v>
      </c>
      <c r="P170" s="37">
        <v>2330.0</v>
      </c>
      <c r="Q170" s="37">
        <v>12.0</v>
      </c>
      <c r="R170" s="37">
        <v>1933.0</v>
      </c>
      <c r="S170" s="37">
        <v>0.0</v>
      </c>
      <c r="T170" s="37">
        <v>324.0</v>
      </c>
      <c r="U170" s="37">
        <v>73.0</v>
      </c>
      <c r="V170" s="37">
        <v>73.0</v>
      </c>
      <c r="W170" s="37">
        <v>11.0</v>
      </c>
      <c r="X170" s="37">
        <v>3.0</v>
      </c>
      <c r="Y170" s="37">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5">
        <v>5499.0</v>
      </c>
      <c r="F171" s="36">
        <v>408363.0</v>
      </c>
      <c r="G171" s="36">
        <v>5644.0</v>
      </c>
      <c r="H171" s="36">
        <v>438015.0</v>
      </c>
      <c r="I171" s="35">
        <v>98.0</v>
      </c>
      <c r="J171" s="35">
        <v>98.0</v>
      </c>
      <c r="K171" s="35">
        <v>20492.0</v>
      </c>
      <c r="L171" s="35">
        <v>1797.0</v>
      </c>
      <c r="M171" s="35">
        <v>193138.0</v>
      </c>
      <c r="N171" s="35">
        <v>213630.0</v>
      </c>
      <c r="O171" s="35">
        <v>13.0</v>
      </c>
      <c r="P171" s="37">
        <v>2343.0</v>
      </c>
      <c r="Q171" s="37">
        <v>11.0</v>
      </c>
      <c r="R171" s="37">
        <v>1944.0</v>
      </c>
      <c r="S171" s="37">
        <v>0.0</v>
      </c>
      <c r="T171" s="37">
        <v>324.0</v>
      </c>
      <c r="U171" s="37">
        <v>75.0</v>
      </c>
      <c r="V171" s="37">
        <v>73.0</v>
      </c>
      <c r="W171" s="37">
        <v>11.0</v>
      </c>
      <c r="X171" s="37">
        <v>4.0</v>
      </c>
      <c r="Y171" s="37">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5">
        <v>4534.0</v>
      </c>
      <c r="F172" s="36">
        <v>412897.0</v>
      </c>
      <c r="G172" s="36">
        <v>4640.0</v>
      </c>
      <c r="H172" s="36">
        <v>442655.0</v>
      </c>
      <c r="I172" s="35">
        <v>87.0</v>
      </c>
      <c r="J172" s="35">
        <v>93.0</v>
      </c>
      <c r="K172" s="35">
        <v>20579.0</v>
      </c>
      <c r="L172" s="35">
        <v>1557.0</v>
      </c>
      <c r="M172" s="35">
        <v>194695.0</v>
      </c>
      <c r="N172" s="35">
        <v>215274.0</v>
      </c>
      <c r="O172" s="35">
        <v>9.0</v>
      </c>
      <c r="P172" s="37">
        <v>2352.0</v>
      </c>
      <c r="Q172" s="37">
        <v>11.0</v>
      </c>
      <c r="R172" s="37">
        <v>1955.0</v>
      </c>
      <c r="S172" s="37">
        <v>1.0</v>
      </c>
      <c r="T172" s="37">
        <v>325.0</v>
      </c>
      <c r="U172" s="37">
        <v>72.0</v>
      </c>
      <c r="V172" s="37">
        <v>73.0</v>
      </c>
      <c r="W172" s="37">
        <v>11.0</v>
      </c>
      <c r="X172" s="37">
        <v>5.0</v>
      </c>
      <c r="Y172" s="37">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5">
        <v>2476.0</v>
      </c>
      <c r="F173" s="36">
        <v>415373.0</v>
      </c>
      <c r="G173" s="36">
        <v>2559.0</v>
      </c>
      <c r="H173" s="36">
        <v>445214.0</v>
      </c>
      <c r="I173" s="35">
        <v>70.0</v>
      </c>
      <c r="J173" s="35">
        <v>85.0</v>
      </c>
      <c r="K173" s="35">
        <v>20649.0</v>
      </c>
      <c r="L173" s="35">
        <v>879.0</v>
      </c>
      <c r="M173" s="35">
        <v>195574.0</v>
      </c>
      <c r="N173" s="35">
        <v>216223.0</v>
      </c>
      <c r="O173" s="35">
        <v>6.0</v>
      </c>
      <c r="P173" s="37">
        <v>2358.0</v>
      </c>
      <c r="Q173" s="37">
        <v>5.0</v>
      </c>
      <c r="R173" s="37">
        <v>1960.0</v>
      </c>
      <c r="S173" s="37">
        <v>4.0</v>
      </c>
      <c r="T173" s="37">
        <v>329.0</v>
      </c>
      <c r="U173" s="37">
        <v>69.0</v>
      </c>
      <c r="V173" s="37">
        <v>72.0</v>
      </c>
      <c r="W173" s="37">
        <v>8.0</v>
      </c>
      <c r="X173" s="37">
        <v>4.0</v>
      </c>
      <c r="Y173" s="37">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5">
        <v>4575.0</v>
      </c>
      <c r="F174" s="36">
        <v>419948.0</v>
      </c>
      <c r="G174" s="36">
        <v>4681.0</v>
      </c>
      <c r="H174" s="36">
        <v>449895.0</v>
      </c>
      <c r="I174" s="35">
        <v>87.0</v>
      </c>
      <c r="J174" s="35">
        <v>81.0</v>
      </c>
      <c r="K174" s="35">
        <v>20736.0</v>
      </c>
      <c r="L174" s="35">
        <v>2199.0</v>
      </c>
      <c r="M174" s="35">
        <v>197773.0</v>
      </c>
      <c r="N174" s="35">
        <v>218509.0</v>
      </c>
      <c r="O174" s="35">
        <v>8.0</v>
      </c>
      <c r="P174" s="37">
        <v>2366.0</v>
      </c>
      <c r="Q174" s="37">
        <v>6.0</v>
      </c>
      <c r="R174" s="37">
        <v>1966.0</v>
      </c>
      <c r="S174" s="37">
        <v>0.0</v>
      </c>
      <c r="T174" s="37">
        <v>329.0</v>
      </c>
      <c r="U174" s="37">
        <v>71.0</v>
      </c>
      <c r="V174" s="37">
        <v>71.0</v>
      </c>
      <c r="W174" s="37">
        <v>8.0</v>
      </c>
      <c r="X174" s="37">
        <v>5.0</v>
      </c>
      <c r="Y174" s="37">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5">
        <v>4912.0</v>
      </c>
      <c r="F175" s="36">
        <v>424860.0</v>
      </c>
      <c r="G175" s="36">
        <v>5040.0</v>
      </c>
      <c r="H175" s="36">
        <v>454935.0</v>
      </c>
      <c r="I175" s="35">
        <v>93.0</v>
      </c>
      <c r="J175" s="35">
        <v>83.0</v>
      </c>
      <c r="K175" s="35">
        <v>20829.0</v>
      </c>
      <c r="L175" s="35">
        <v>2533.0</v>
      </c>
      <c r="M175" s="35">
        <v>200306.0</v>
      </c>
      <c r="N175" s="35">
        <v>221135.0</v>
      </c>
      <c r="O175" s="35">
        <v>11.0</v>
      </c>
      <c r="P175" s="37">
        <v>2377.0</v>
      </c>
      <c r="Q175" s="37">
        <v>8.0</v>
      </c>
      <c r="R175" s="37">
        <v>1974.0</v>
      </c>
      <c r="S175" s="37">
        <v>1.0</v>
      </c>
      <c r="T175" s="37">
        <v>330.0</v>
      </c>
      <c r="U175" s="37">
        <v>73.0</v>
      </c>
      <c r="V175" s="37">
        <v>71.0</v>
      </c>
      <c r="W175" s="37">
        <v>8.0</v>
      </c>
      <c r="X175" s="37">
        <v>4.0</v>
      </c>
      <c r="Y175" s="37">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5">
        <v>5077.0</v>
      </c>
      <c r="F176" s="36">
        <v>429937.0</v>
      </c>
      <c r="G176" s="36">
        <v>5190.0</v>
      </c>
      <c r="H176" s="36">
        <v>460125.0</v>
      </c>
      <c r="I176" s="35">
        <v>90.0</v>
      </c>
      <c r="J176" s="35">
        <v>90.0</v>
      </c>
      <c r="K176" s="35">
        <v>20919.0</v>
      </c>
      <c r="L176" s="35">
        <v>2405.0</v>
      </c>
      <c r="M176" s="35">
        <v>202711.0</v>
      </c>
      <c r="N176" s="35">
        <v>223630.0</v>
      </c>
      <c r="O176" s="35">
        <v>8.0</v>
      </c>
      <c r="P176" s="37">
        <v>2385.0</v>
      </c>
      <c r="Q176" s="37">
        <v>9.0</v>
      </c>
      <c r="R176" s="37">
        <v>1983.0</v>
      </c>
      <c r="S176" s="37">
        <v>1.0</v>
      </c>
      <c r="T176" s="37">
        <v>331.0</v>
      </c>
      <c r="U176" s="37">
        <v>71.0</v>
      </c>
      <c r="V176" s="37">
        <v>72.0</v>
      </c>
      <c r="W176" s="37">
        <v>9.0</v>
      </c>
      <c r="X176" s="37">
        <v>5.0</v>
      </c>
      <c r="Y176" s="37">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5">
        <v>7410.0</v>
      </c>
      <c r="F177" s="36">
        <v>437347.0</v>
      </c>
      <c r="G177" s="36">
        <v>7583.0</v>
      </c>
      <c r="H177" s="36">
        <v>467708.0</v>
      </c>
      <c r="I177" s="35">
        <v>138.0</v>
      </c>
      <c r="J177" s="35">
        <v>107.0</v>
      </c>
      <c r="K177" s="35">
        <v>21057.0</v>
      </c>
      <c r="L177" s="35">
        <v>3241.0</v>
      </c>
      <c r="M177" s="35">
        <v>205952.0</v>
      </c>
      <c r="N177" s="35">
        <v>227009.0</v>
      </c>
      <c r="O177" s="35">
        <v>12.0</v>
      </c>
      <c r="P177" s="37">
        <v>2397.0</v>
      </c>
      <c r="Q177" s="37">
        <v>6.0</v>
      </c>
      <c r="R177" s="37">
        <v>1989.0</v>
      </c>
      <c r="S177" s="37">
        <v>2.0</v>
      </c>
      <c r="T177" s="37">
        <v>333.0</v>
      </c>
      <c r="U177" s="37">
        <v>75.0</v>
      </c>
      <c r="V177" s="37">
        <v>73.0</v>
      </c>
      <c r="W177" s="37">
        <v>10.0</v>
      </c>
      <c r="X177" s="37">
        <v>5.0</v>
      </c>
      <c r="Y177" s="37">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5">
        <v>6578.0</v>
      </c>
      <c r="F178" s="36">
        <v>443925.0</v>
      </c>
      <c r="G178" s="36">
        <v>6730.0</v>
      </c>
      <c r="H178" s="36">
        <v>474438.0</v>
      </c>
      <c r="I178" s="35">
        <v>125.0</v>
      </c>
      <c r="J178" s="35">
        <v>118.0</v>
      </c>
      <c r="K178" s="35">
        <v>21182.0</v>
      </c>
      <c r="L178" s="35">
        <v>2682.0</v>
      </c>
      <c r="M178" s="35">
        <v>208634.0</v>
      </c>
      <c r="N178" s="35">
        <v>229816.0</v>
      </c>
      <c r="O178" s="35">
        <v>8.0</v>
      </c>
      <c r="P178" s="37">
        <v>2405.0</v>
      </c>
      <c r="Q178" s="37">
        <v>5.0</v>
      </c>
      <c r="R178" s="37">
        <v>1994.0</v>
      </c>
      <c r="S178" s="37">
        <v>1.0</v>
      </c>
      <c r="T178" s="37">
        <v>334.0</v>
      </c>
      <c r="U178" s="37">
        <v>77.0</v>
      </c>
      <c r="V178" s="37">
        <v>74.0</v>
      </c>
      <c r="W178" s="37">
        <v>9.0</v>
      </c>
      <c r="X178" s="37">
        <v>4.0</v>
      </c>
      <c r="Y178" s="37">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5">
        <v>5551.0</v>
      </c>
      <c r="F179" s="36">
        <v>449476.0</v>
      </c>
      <c r="G179" s="36">
        <v>5647.0</v>
      </c>
      <c r="H179" s="36">
        <v>480085.0</v>
      </c>
      <c r="I179" s="35">
        <v>84.0</v>
      </c>
      <c r="J179" s="35">
        <v>116.0</v>
      </c>
      <c r="K179" s="35">
        <v>21266.0</v>
      </c>
      <c r="L179" s="35">
        <v>2344.0</v>
      </c>
      <c r="M179" s="35">
        <v>210978.0</v>
      </c>
      <c r="N179" s="35">
        <v>232244.0</v>
      </c>
      <c r="O179" s="35">
        <v>11.0</v>
      </c>
      <c r="P179" s="37">
        <v>2416.0</v>
      </c>
      <c r="Q179" s="37">
        <v>12.0</v>
      </c>
      <c r="R179" s="37">
        <v>2006.0</v>
      </c>
      <c r="S179" s="37">
        <v>0.0</v>
      </c>
      <c r="T179" s="37">
        <v>334.0</v>
      </c>
      <c r="U179" s="37">
        <v>76.0</v>
      </c>
      <c r="V179" s="37">
        <v>76.0</v>
      </c>
      <c r="W179" s="37">
        <v>11.0</v>
      </c>
      <c r="X179" s="37">
        <v>4.0</v>
      </c>
      <c r="Y179" s="37">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5">
        <v>4375.0</v>
      </c>
      <c r="F180" s="36">
        <v>453851.0</v>
      </c>
      <c r="G180" s="36">
        <v>4447.0</v>
      </c>
      <c r="H180" s="36">
        <v>484532.0</v>
      </c>
      <c r="I180" s="35">
        <v>56.0</v>
      </c>
      <c r="J180" s="35">
        <v>88.0</v>
      </c>
      <c r="K180" s="35">
        <v>21322.0</v>
      </c>
      <c r="L180" s="35">
        <v>2233.0</v>
      </c>
      <c r="M180" s="35">
        <v>213211.0</v>
      </c>
      <c r="N180" s="35">
        <v>234533.0</v>
      </c>
      <c r="O180" s="35">
        <v>10.0</v>
      </c>
      <c r="P180" s="37">
        <v>2426.0</v>
      </c>
      <c r="Q180" s="37">
        <v>5.0</v>
      </c>
      <c r="R180" s="37">
        <v>2011.0</v>
      </c>
      <c r="S180" s="37">
        <v>0.0</v>
      </c>
      <c r="T180" s="37">
        <v>334.0</v>
      </c>
      <c r="U180" s="37">
        <v>81.0</v>
      </c>
      <c r="V180" s="37">
        <v>78.0</v>
      </c>
      <c r="W180" s="37">
        <v>12.0</v>
      </c>
      <c r="X180" s="37">
        <v>2.0</v>
      </c>
      <c r="Y180" s="37">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5">
        <v>5784.0</v>
      </c>
      <c r="F181" s="36">
        <v>459635.0</v>
      </c>
      <c r="G181" s="36">
        <v>5889.0</v>
      </c>
      <c r="H181" s="36">
        <v>490421.0</v>
      </c>
      <c r="I181" s="35">
        <v>77.0</v>
      </c>
      <c r="J181" s="35">
        <v>72.0</v>
      </c>
      <c r="K181" s="35">
        <v>21399.0</v>
      </c>
      <c r="L181" s="35">
        <v>2884.0</v>
      </c>
      <c r="M181" s="35">
        <v>216095.0</v>
      </c>
      <c r="N181" s="35">
        <v>237494.0</v>
      </c>
      <c r="O181" s="35">
        <v>7.0</v>
      </c>
      <c r="P181" s="37">
        <v>2433.0</v>
      </c>
      <c r="Q181" s="37">
        <v>10.0</v>
      </c>
      <c r="R181" s="37">
        <v>2021.0</v>
      </c>
      <c r="S181" s="37">
        <v>1.0</v>
      </c>
      <c r="T181" s="37">
        <v>335.0</v>
      </c>
      <c r="U181" s="37">
        <v>77.0</v>
      </c>
      <c r="V181" s="37">
        <v>78.0</v>
      </c>
      <c r="W181" s="37">
        <v>14.0</v>
      </c>
      <c r="X181" s="37">
        <v>4.0</v>
      </c>
      <c r="Y181" s="37">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5">
        <v>4764.0</v>
      </c>
      <c r="F182" s="36">
        <v>464399.0</v>
      </c>
      <c r="G182" s="36">
        <v>4872.0</v>
      </c>
      <c r="H182" s="36">
        <v>495293.0</v>
      </c>
      <c r="I182" s="35">
        <v>93.0</v>
      </c>
      <c r="J182" s="35">
        <v>75.0</v>
      </c>
      <c r="K182" s="35">
        <v>21492.0</v>
      </c>
      <c r="L182" s="35">
        <v>2126.0</v>
      </c>
      <c r="M182" s="35">
        <v>218221.0</v>
      </c>
      <c r="N182" s="35">
        <v>239713.0</v>
      </c>
      <c r="O182" s="35">
        <v>10.0</v>
      </c>
      <c r="P182" s="37">
        <v>2443.0</v>
      </c>
      <c r="Q182" s="37">
        <v>4.0</v>
      </c>
      <c r="R182" s="37">
        <v>2025.0</v>
      </c>
      <c r="S182" s="37">
        <v>1.0</v>
      </c>
      <c r="T182" s="37">
        <v>336.0</v>
      </c>
      <c r="U182" s="37">
        <v>82.0</v>
      </c>
      <c r="V182" s="37">
        <v>80.0</v>
      </c>
      <c r="W182" s="37">
        <v>12.0</v>
      </c>
      <c r="X182" s="37">
        <v>4.0</v>
      </c>
      <c r="Y182" s="37">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5">
        <v>9482.0</v>
      </c>
      <c r="F183" s="36">
        <v>473881.0</v>
      </c>
      <c r="G183" s="36">
        <v>9652.0</v>
      </c>
      <c r="H183" s="36">
        <v>504945.0</v>
      </c>
      <c r="I183" s="35">
        <v>127.0</v>
      </c>
      <c r="J183" s="35">
        <v>99.0</v>
      </c>
      <c r="K183" s="35">
        <v>21619.0</v>
      </c>
      <c r="L183" s="35">
        <v>2839.0</v>
      </c>
      <c r="M183" s="35">
        <v>221060.0</v>
      </c>
      <c r="N183" s="35">
        <v>242679.0</v>
      </c>
      <c r="O183" s="35">
        <v>4.0</v>
      </c>
      <c r="P183" s="37">
        <v>2447.0</v>
      </c>
      <c r="Q183" s="37">
        <v>8.0</v>
      </c>
      <c r="R183" s="37">
        <v>2033.0</v>
      </c>
      <c r="S183" s="37">
        <v>0.0</v>
      </c>
      <c r="T183" s="37">
        <v>336.0</v>
      </c>
      <c r="U183" s="37">
        <v>78.0</v>
      </c>
      <c r="V183" s="37">
        <v>79.0</v>
      </c>
      <c r="W183" s="37">
        <v>10.0</v>
      </c>
      <c r="X183" s="37">
        <v>5.0</v>
      </c>
      <c r="Y183" s="37">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5">
        <v>8566.0</v>
      </c>
      <c r="F184" s="36">
        <v>482447.0</v>
      </c>
      <c r="G184" s="36">
        <v>8657.0</v>
      </c>
      <c r="H184" s="36">
        <v>513602.0</v>
      </c>
      <c r="I184" s="35">
        <v>69.0</v>
      </c>
      <c r="J184" s="35">
        <v>96.0</v>
      </c>
      <c r="K184" s="35">
        <v>21688.0</v>
      </c>
      <c r="L184" s="35">
        <v>2902.0</v>
      </c>
      <c r="M184" s="35">
        <v>223962.0</v>
      </c>
      <c r="N184" s="35">
        <v>245650.0</v>
      </c>
      <c r="O184" s="35">
        <v>6.0</v>
      </c>
      <c r="P184" s="37">
        <v>2453.0</v>
      </c>
      <c r="Q184" s="37">
        <v>14.0</v>
      </c>
      <c r="R184" s="37">
        <v>2047.0</v>
      </c>
      <c r="S184" s="37">
        <v>1.0</v>
      </c>
      <c r="T184" s="37">
        <v>337.0</v>
      </c>
      <c r="U184" s="37">
        <v>69.0</v>
      </c>
      <c r="V184" s="37">
        <v>76.0</v>
      </c>
      <c r="W184" s="37">
        <v>7.0</v>
      </c>
      <c r="X184" s="37">
        <v>5.0</v>
      </c>
      <c r="Y184" s="37">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5">
        <v>7993.0</v>
      </c>
      <c r="F185" s="36">
        <v>490440.0</v>
      </c>
      <c r="G185" s="36">
        <v>8106.0</v>
      </c>
      <c r="H185" s="36">
        <v>521708.0</v>
      </c>
      <c r="I185" s="35">
        <v>86.0</v>
      </c>
      <c r="J185" s="35">
        <v>94.0</v>
      </c>
      <c r="K185" s="35">
        <v>21774.0</v>
      </c>
      <c r="L185" s="35">
        <v>2229.0</v>
      </c>
      <c r="M185" s="35">
        <v>226191.0</v>
      </c>
      <c r="N185" s="35">
        <v>247965.0</v>
      </c>
      <c r="O185" s="35">
        <v>14.0</v>
      </c>
      <c r="P185" s="37">
        <v>2467.0</v>
      </c>
      <c r="Q185" s="37">
        <v>3.0</v>
      </c>
      <c r="R185" s="37">
        <v>2050.0</v>
      </c>
      <c r="S185" s="37">
        <v>0.0</v>
      </c>
      <c r="T185" s="37">
        <v>337.0</v>
      </c>
      <c r="U185" s="37">
        <v>80.0</v>
      </c>
      <c r="V185" s="37">
        <v>76.0</v>
      </c>
      <c r="W185" s="37">
        <v>10.0</v>
      </c>
      <c r="X185" s="37">
        <v>7.0</v>
      </c>
      <c r="Y185" s="37">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5">
        <v>5375.0</v>
      </c>
      <c r="F186" s="36">
        <v>495815.0</v>
      </c>
      <c r="G186" s="36">
        <v>5440.0</v>
      </c>
      <c r="H186" s="36">
        <v>527148.0</v>
      </c>
      <c r="I186" s="35">
        <v>52.0</v>
      </c>
      <c r="J186" s="35">
        <v>69.0</v>
      </c>
      <c r="K186" s="35">
        <v>21826.0</v>
      </c>
      <c r="L186" s="35">
        <v>1779.0</v>
      </c>
      <c r="M186" s="35">
        <v>227970.0</v>
      </c>
      <c r="N186" s="35">
        <v>249796.0</v>
      </c>
      <c r="O186" s="35">
        <v>6.0</v>
      </c>
      <c r="P186" s="37">
        <v>2473.0</v>
      </c>
      <c r="Q186" s="37">
        <v>8.0</v>
      </c>
      <c r="R186" s="37">
        <v>2058.0</v>
      </c>
      <c r="S186" s="37">
        <v>1.0</v>
      </c>
      <c r="T186" s="37">
        <v>338.0</v>
      </c>
      <c r="U186" s="37">
        <v>77.0</v>
      </c>
      <c r="V186" s="37">
        <v>75.0</v>
      </c>
      <c r="W186" s="37">
        <v>11.0</v>
      </c>
      <c r="X186" s="37">
        <v>6.0</v>
      </c>
      <c r="Y186" s="37">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5">
        <v>4323.0</v>
      </c>
      <c r="F187" s="36">
        <v>500138.0</v>
      </c>
      <c r="G187" s="36">
        <v>4389.0</v>
      </c>
      <c r="H187" s="36">
        <v>531537.0</v>
      </c>
      <c r="I187" s="35">
        <v>48.0</v>
      </c>
      <c r="J187" s="35">
        <v>62.0</v>
      </c>
      <c r="K187" s="35">
        <v>21874.0</v>
      </c>
      <c r="L187" s="35">
        <v>1851.0</v>
      </c>
      <c r="M187" s="35">
        <v>229821.0</v>
      </c>
      <c r="N187" s="35">
        <v>251695.0</v>
      </c>
      <c r="O187" s="35">
        <v>7.0</v>
      </c>
      <c r="P187" s="37">
        <v>2480.0</v>
      </c>
      <c r="Q187" s="37">
        <v>4.0</v>
      </c>
      <c r="R187" s="37">
        <v>2062.0</v>
      </c>
      <c r="S187" s="37">
        <v>0.0</v>
      </c>
      <c r="T187" s="37">
        <v>338.0</v>
      </c>
      <c r="U187" s="37">
        <v>80.0</v>
      </c>
      <c r="V187" s="37">
        <v>79.0</v>
      </c>
      <c r="W187" s="37">
        <v>9.0</v>
      </c>
      <c r="X187" s="37">
        <v>5.0</v>
      </c>
      <c r="Y187" s="37">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5">
        <v>4864.0</v>
      </c>
      <c r="F188" s="36">
        <v>505002.0</v>
      </c>
      <c r="G188" s="36">
        <v>4969.0</v>
      </c>
      <c r="H188" s="36">
        <v>536506.0</v>
      </c>
      <c r="I188" s="35">
        <v>81.0</v>
      </c>
      <c r="J188" s="35">
        <v>60.0</v>
      </c>
      <c r="K188" s="35">
        <v>21955.0</v>
      </c>
      <c r="L188" s="35">
        <v>2042.0</v>
      </c>
      <c r="M188" s="35">
        <v>231863.0</v>
      </c>
      <c r="N188" s="35">
        <v>253818.0</v>
      </c>
      <c r="O188" s="35">
        <v>12.0</v>
      </c>
      <c r="P188" s="37">
        <v>2492.0</v>
      </c>
      <c r="Q188" s="37">
        <v>16.0</v>
      </c>
      <c r="R188" s="37">
        <v>2078.0</v>
      </c>
      <c r="S188" s="37">
        <v>0.0</v>
      </c>
      <c r="T188" s="37">
        <v>338.0</v>
      </c>
      <c r="U188" s="37">
        <v>76.0</v>
      </c>
      <c r="V188" s="37">
        <v>78.0</v>
      </c>
      <c r="W188" s="37">
        <v>8.0</v>
      </c>
      <c r="X188" s="37">
        <v>4.0</v>
      </c>
      <c r="Y188" s="37">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5">
        <v>7109.0</v>
      </c>
      <c r="F189" s="36">
        <v>512111.0</v>
      </c>
      <c r="G189" s="36">
        <v>7208.0</v>
      </c>
      <c r="H189" s="36">
        <v>543714.0</v>
      </c>
      <c r="I189" s="35">
        <v>66.0</v>
      </c>
      <c r="J189" s="35">
        <v>65.0</v>
      </c>
      <c r="K189" s="35">
        <v>22021.0</v>
      </c>
      <c r="L189" s="35">
        <v>2215.0</v>
      </c>
      <c r="M189" s="35">
        <v>234078.0</v>
      </c>
      <c r="N189" s="35">
        <v>256099.0</v>
      </c>
      <c r="O189" s="35">
        <v>6.0</v>
      </c>
      <c r="P189" s="37">
        <v>2498.0</v>
      </c>
      <c r="Q189" s="37">
        <v>9.0</v>
      </c>
      <c r="R189" s="37">
        <v>2087.0</v>
      </c>
      <c r="S189" s="37">
        <v>1.0</v>
      </c>
      <c r="T189" s="37">
        <v>339.0</v>
      </c>
      <c r="U189" s="37">
        <v>72.0</v>
      </c>
      <c r="V189" s="37">
        <v>76.0</v>
      </c>
      <c r="W189" s="37">
        <v>7.0</v>
      </c>
      <c r="X189" s="37">
        <v>4.0</v>
      </c>
      <c r="Y189" s="37">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5">
        <v>10528.0</v>
      </c>
      <c r="F190" s="36">
        <v>522639.0</v>
      </c>
      <c r="G190" s="36">
        <v>10653.0</v>
      </c>
      <c r="H190" s="36">
        <v>554367.0</v>
      </c>
      <c r="I190" s="35">
        <v>104.0</v>
      </c>
      <c r="J190" s="35">
        <v>84.0</v>
      </c>
      <c r="K190" s="35">
        <v>22125.0</v>
      </c>
      <c r="L190" s="35">
        <v>2823.0</v>
      </c>
      <c r="M190" s="35">
        <v>236901.0</v>
      </c>
      <c r="N190" s="35">
        <v>259026.0</v>
      </c>
      <c r="O190" s="35">
        <v>9.0</v>
      </c>
      <c r="P190" s="37">
        <v>2507.0</v>
      </c>
      <c r="Q190" s="37">
        <v>10.0</v>
      </c>
      <c r="R190" s="37">
        <v>2097.0</v>
      </c>
      <c r="S190" s="37">
        <v>1.0</v>
      </c>
      <c r="T190" s="37">
        <v>340.0</v>
      </c>
      <c r="U190" s="37">
        <v>70.0</v>
      </c>
      <c r="V190" s="37">
        <v>73.0</v>
      </c>
      <c r="W190" s="37">
        <v>8.0</v>
      </c>
      <c r="X190" s="37">
        <v>4.0</v>
      </c>
      <c r="Y190" s="37">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5">
        <v>11080.0</v>
      </c>
      <c r="F191" s="36">
        <v>533719.0</v>
      </c>
      <c r="G191" s="36">
        <v>11170.0</v>
      </c>
      <c r="H191" s="36">
        <v>565537.0</v>
      </c>
      <c r="I191" s="35">
        <v>73.0</v>
      </c>
      <c r="J191" s="35">
        <v>81.0</v>
      </c>
      <c r="K191" s="35">
        <v>22198.0</v>
      </c>
      <c r="L191" s="35">
        <v>2358.0</v>
      </c>
      <c r="M191" s="35">
        <v>239259.0</v>
      </c>
      <c r="N191" s="35">
        <v>261457.0</v>
      </c>
      <c r="O191" s="35">
        <v>8.0</v>
      </c>
      <c r="P191" s="37">
        <v>2515.0</v>
      </c>
      <c r="Q191" s="37">
        <v>8.0</v>
      </c>
      <c r="R191" s="37">
        <v>2105.0</v>
      </c>
      <c r="S191" s="37">
        <v>0.0</v>
      </c>
      <c r="T191" s="37">
        <v>340.0</v>
      </c>
      <c r="U191" s="37">
        <v>70.0</v>
      </c>
      <c r="V191" s="37">
        <v>71.0</v>
      </c>
      <c r="W191" s="37">
        <v>9.0</v>
      </c>
      <c r="X191" s="37">
        <v>4.0</v>
      </c>
      <c r="Y191" s="37">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5">
        <v>8962.0</v>
      </c>
      <c r="F192" s="36">
        <v>542681.0</v>
      </c>
      <c r="G192" s="36">
        <v>9065.0</v>
      </c>
      <c r="H192" s="36">
        <v>574602.0</v>
      </c>
      <c r="I192" s="35">
        <v>82.0</v>
      </c>
      <c r="J192" s="35">
        <v>86.0</v>
      </c>
      <c r="K192" s="35">
        <v>22280.0</v>
      </c>
      <c r="L192" s="35">
        <v>2177.0</v>
      </c>
      <c r="M192" s="35">
        <v>241436.0</v>
      </c>
      <c r="N192" s="35">
        <v>263716.0</v>
      </c>
      <c r="O192" s="35">
        <v>11.0</v>
      </c>
      <c r="P192" s="37">
        <v>2526.0</v>
      </c>
      <c r="Q192" s="37">
        <v>4.0</v>
      </c>
      <c r="R192" s="37">
        <v>2109.0</v>
      </c>
      <c r="S192" s="37">
        <v>0.0</v>
      </c>
      <c r="T192" s="37">
        <v>340.0</v>
      </c>
      <c r="U192" s="37">
        <v>77.0</v>
      </c>
      <c r="V192" s="37">
        <v>72.0</v>
      </c>
      <c r="W192" s="37">
        <v>9.0</v>
      </c>
      <c r="X192" s="37">
        <v>4.0</v>
      </c>
      <c r="Y192" s="37">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5">
        <v>6307.0</v>
      </c>
      <c r="F193" s="36">
        <v>548988.0</v>
      </c>
      <c r="G193" s="36">
        <v>6360.0</v>
      </c>
      <c r="H193" s="36">
        <v>580962.0</v>
      </c>
      <c r="I193" s="35">
        <v>42.0</v>
      </c>
      <c r="J193" s="35">
        <v>66.0</v>
      </c>
      <c r="K193" s="35">
        <v>22322.0</v>
      </c>
      <c r="L193" s="35">
        <v>1462.0</v>
      </c>
      <c r="M193" s="35">
        <v>242898.0</v>
      </c>
      <c r="N193" s="35">
        <v>265220.0</v>
      </c>
      <c r="O193" s="35">
        <v>6.0</v>
      </c>
      <c r="P193" s="37">
        <v>2532.0</v>
      </c>
      <c r="Q193" s="37">
        <v>9.0</v>
      </c>
      <c r="R193" s="37">
        <v>2118.0</v>
      </c>
      <c r="S193" s="37">
        <v>0.0</v>
      </c>
      <c r="T193" s="37">
        <v>340.0</v>
      </c>
      <c r="U193" s="37">
        <v>74.0</v>
      </c>
      <c r="V193" s="37">
        <v>74.0</v>
      </c>
      <c r="W193" s="37">
        <v>8.0</v>
      </c>
      <c r="X193" s="37">
        <v>3.0</v>
      </c>
      <c r="Y193" s="37">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5">
        <v>4325.0</v>
      </c>
      <c r="F194" s="36">
        <v>553313.0</v>
      </c>
      <c r="G194" s="36">
        <v>4413.0</v>
      </c>
      <c r="H194" s="36">
        <v>585375.0</v>
      </c>
      <c r="I194" s="35">
        <v>65.0</v>
      </c>
      <c r="J194" s="35">
        <v>63.0</v>
      </c>
      <c r="K194" s="35">
        <v>22387.0</v>
      </c>
      <c r="L194" s="35">
        <v>1777.0</v>
      </c>
      <c r="M194" s="35">
        <v>244675.0</v>
      </c>
      <c r="N194" s="35">
        <v>267062.0</v>
      </c>
      <c r="O194" s="35">
        <v>4.0</v>
      </c>
      <c r="P194" s="37">
        <v>2536.0</v>
      </c>
      <c r="Q194" s="37">
        <v>8.0</v>
      </c>
      <c r="R194" s="37">
        <v>2126.0</v>
      </c>
      <c r="S194" s="37">
        <v>1.0</v>
      </c>
      <c r="T194" s="37">
        <v>341.0</v>
      </c>
      <c r="U194" s="37">
        <v>69.0</v>
      </c>
      <c r="V194" s="37">
        <v>73.0</v>
      </c>
      <c r="W194" s="37">
        <v>6.0</v>
      </c>
      <c r="X194" s="37">
        <v>3.0</v>
      </c>
      <c r="Y194" s="37">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5">
        <v>3002.0</v>
      </c>
      <c r="F195" s="36">
        <v>556315.0</v>
      </c>
      <c r="G195" s="36">
        <v>3037.0</v>
      </c>
      <c r="H195" s="36">
        <v>588412.0</v>
      </c>
      <c r="I195" s="35">
        <v>26.0</v>
      </c>
      <c r="J195" s="35">
        <v>44.0</v>
      </c>
      <c r="K195" s="35">
        <v>22413.0</v>
      </c>
      <c r="L195" s="35">
        <v>594.0</v>
      </c>
      <c r="M195" s="35">
        <v>245269.0</v>
      </c>
      <c r="N195" s="35">
        <v>267682.0</v>
      </c>
      <c r="O195" s="35">
        <v>11.0</v>
      </c>
      <c r="P195" s="37">
        <v>2547.0</v>
      </c>
      <c r="Q195" s="37">
        <v>3.0</v>
      </c>
      <c r="R195" s="37">
        <v>2129.0</v>
      </c>
      <c r="S195" s="37">
        <v>0.0</v>
      </c>
      <c r="T195" s="37">
        <v>341.0</v>
      </c>
      <c r="U195" s="37">
        <v>77.0</v>
      </c>
      <c r="V195" s="37">
        <v>73.0</v>
      </c>
      <c r="W195" s="37">
        <v>5.0</v>
      </c>
      <c r="X195" s="37">
        <v>3.0</v>
      </c>
      <c r="Y195" s="37">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5">
        <v>6380.0</v>
      </c>
      <c r="F196" s="36">
        <v>562695.0</v>
      </c>
      <c r="G196" s="36">
        <v>6454.0</v>
      </c>
      <c r="H196" s="36">
        <v>594866.0</v>
      </c>
      <c r="I196" s="35">
        <v>66.0</v>
      </c>
      <c r="J196" s="35">
        <v>52.0</v>
      </c>
      <c r="K196" s="35">
        <v>22479.0</v>
      </c>
      <c r="L196" s="35">
        <v>1453.0</v>
      </c>
      <c r="M196" s="35">
        <v>246722.0</v>
      </c>
      <c r="N196" s="35">
        <v>269201.0</v>
      </c>
      <c r="O196" s="35">
        <v>6.0</v>
      </c>
      <c r="P196" s="37">
        <v>2553.0</v>
      </c>
      <c r="Q196" s="37">
        <v>12.0</v>
      </c>
      <c r="R196" s="37">
        <v>2141.0</v>
      </c>
      <c r="S196" s="37">
        <v>1.0</v>
      </c>
      <c r="T196" s="37">
        <v>342.0</v>
      </c>
      <c r="U196" s="37">
        <v>70.0</v>
      </c>
      <c r="V196" s="37">
        <v>72.0</v>
      </c>
      <c r="W196" s="37">
        <v>6.0</v>
      </c>
      <c r="X196" s="37">
        <v>3.0</v>
      </c>
      <c r="Y196" s="37">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5">
        <v>8650.0</v>
      </c>
      <c r="F197" s="36">
        <v>571345.0</v>
      </c>
      <c r="G197" s="36">
        <v>8768.0</v>
      </c>
      <c r="H197" s="36">
        <v>603634.0</v>
      </c>
      <c r="I197" s="35">
        <v>102.0</v>
      </c>
      <c r="J197" s="35">
        <v>65.0</v>
      </c>
      <c r="K197" s="35">
        <v>22581.0</v>
      </c>
      <c r="L197" s="35">
        <v>1965.0</v>
      </c>
      <c r="M197" s="35">
        <v>248687.0</v>
      </c>
      <c r="N197" s="35">
        <v>271268.0</v>
      </c>
      <c r="O197" s="35">
        <v>10.0</v>
      </c>
      <c r="P197" s="37">
        <v>2563.0</v>
      </c>
      <c r="Q197" s="37">
        <v>5.0</v>
      </c>
      <c r="R197" s="37">
        <v>2146.0</v>
      </c>
      <c r="S197" s="37">
        <v>1.0</v>
      </c>
      <c r="T197" s="37">
        <v>343.0</v>
      </c>
      <c r="U197" s="37">
        <v>74.0</v>
      </c>
      <c r="V197" s="37">
        <v>74.0</v>
      </c>
      <c r="W197" s="37">
        <v>9.0</v>
      </c>
      <c r="X197" s="37">
        <v>3.0</v>
      </c>
      <c r="Y197" s="37">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5">
        <v>11334.0</v>
      </c>
      <c r="F198" s="36">
        <v>582679.0</v>
      </c>
      <c r="G198" s="36">
        <v>11498.0</v>
      </c>
      <c r="H198" s="36">
        <v>615132.0</v>
      </c>
      <c r="I198" s="35">
        <v>111.0</v>
      </c>
      <c r="J198" s="35">
        <v>93.0</v>
      </c>
      <c r="K198" s="35">
        <v>22692.0</v>
      </c>
      <c r="L198" s="35">
        <v>2075.0</v>
      </c>
      <c r="M198" s="35">
        <v>250762.0</v>
      </c>
      <c r="N198" s="35">
        <v>273454.0</v>
      </c>
      <c r="O198" s="35">
        <v>9.0</v>
      </c>
      <c r="P198" s="37">
        <v>2572.0</v>
      </c>
      <c r="Q198" s="37">
        <v>8.0</v>
      </c>
      <c r="R198" s="37">
        <v>2154.0</v>
      </c>
      <c r="S198" s="37">
        <v>0.0</v>
      </c>
      <c r="T198" s="37">
        <v>343.0</v>
      </c>
      <c r="U198" s="37">
        <v>75.0</v>
      </c>
      <c r="V198" s="37">
        <v>73.0</v>
      </c>
      <c r="W198" s="37">
        <v>10.0</v>
      </c>
      <c r="X198" s="37">
        <v>3.0</v>
      </c>
      <c r="Y198" s="37">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5">
        <v>9455.0</v>
      </c>
      <c r="F199" s="36">
        <v>592134.0</v>
      </c>
      <c r="G199" s="36">
        <v>9575.0</v>
      </c>
      <c r="H199" s="36">
        <v>624707.0</v>
      </c>
      <c r="I199" s="35">
        <v>95.0</v>
      </c>
      <c r="J199" s="35">
        <v>103.0</v>
      </c>
      <c r="K199" s="35">
        <v>22787.0</v>
      </c>
      <c r="L199" s="35">
        <v>1804.0</v>
      </c>
      <c r="M199" s="35">
        <v>252566.0</v>
      </c>
      <c r="N199" s="35">
        <v>275353.0</v>
      </c>
      <c r="O199" s="35">
        <v>10.0</v>
      </c>
      <c r="P199" s="37">
        <v>2582.0</v>
      </c>
      <c r="Q199" s="37">
        <v>10.0</v>
      </c>
      <c r="R199" s="37">
        <v>2164.0</v>
      </c>
      <c r="S199" s="37">
        <v>0.0</v>
      </c>
      <c r="T199" s="37">
        <v>343.0</v>
      </c>
      <c r="U199" s="37">
        <v>75.0</v>
      </c>
      <c r="V199" s="37">
        <v>75.0</v>
      </c>
      <c r="W199" s="37">
        <v>10.0</v>
      </c>
      <c r="X199" s="37">
        <v>5.0</v>
      </c>
      <c r="Y199" s="37">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5">
        <v>6158.0</v>
      </c>
      <c r="F200" s="36">
        <v>598292.0</v>
      </c>
      <c r="G200" s="36">
        <v>6268.0</v>
      </c>
      <c r="H200" s="36">
        <v>630975.0</v>
      </c>
      <c r="I200" s="35">
        <v>97.0</v>
      </c>
      <c r="J200" s="35">
        <v>101.0</v>
      </c>
      <c r="K200" s="35">
        <v>22884.0</v>
      </c>
      <c r="L200" s="35">
        <v>1369.0</v>
      </c>
      <c r="M200" s="35">
        <v>253935.0</v>
      </c>
      <c r="N200" s="35">
        <v>276819.0</v>
      </c>
      <c r="O200" s="35">
        <v>8.0</v>
      </c>
      <c r="P200" s="37">
        <v>2590.0</v>
      </c>
      <c r="Q200" s="37">
        <v>5.0</v>
      </c>
      <c r="R200" s="37">
        <v>2169.0</v>
      </c>
      <c r="S200" s="37">
        <v>2.0</v>
      </c>
      <c r="T200" s="37">
        <v>345.0</v>
      </c>
      <c r="U200" s="37">
        <v>76.0</v>
      </c>
      <c r="V200" s="37">
        <v>75.0</v>
      </c>
      <c r="W200" s="37">
        <v>9.0</v>
      </c>
      <c r="X200" s="37">
        <v>5.0</v>
      </c>
      <c r="Y200" s="37">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5">
        <v>2717.0</v>
      </c>
      <c r="F201" s="36">
        <v>601009.0</v>
      </c>
      <c r="G201" s="36">
        <v>2775.0</v>
      </c>
      <c r="H201" s="36">
        <v>633750.0</v>
      </c>
      <c r="I201" s="35">
        <v>53.0</v>
      </c>
      <c r="J201" s="35">
        <v>82.0</v>
      </c>
      <c r="K201" s="35">
        <v>22937.0</v>
      </c>
      <c r="L201" s="35">
        <v>801.0</v>
      </c>
      <c r="M201" s="35">
        <v>254736.0</v>
      </c>
      <c r="N201" s="35">
        <v>277673.0</v>
      </c>
      <c r="O201" s="35">
        <v>4.0</v>
      </c>
      <c r="P201" s="37">
        <v>2594.0</v>
      </c>
      <c r="Q201" s="37">
        <v>3.0</v>
      </c>
      <c r="R201" s="37">
        <v>2172.0</v>
      </c>
      <c r="S201" s="37">
        <v>0.0</v>
      </c>
      <c r="T201" s="37">
        <v>345.0</v>
      </c>
      <c r="U201" s="37">
        <v>77.0</v>
      </c>
      <c r="V201" s="37">
        <v>76.0</v>
      </c>
      <c r="W201" s="37">
        <v>10.0</v>
      </c>
      <c r="X201" s="37">
        <v>5.0</v>
      </c>
      <c r="Y201" s="37">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5">
        <v>6434.0</v>
      </c>
      <c r="F202" s="36">
        <v>607443.0</v>
      </c>
      <c r="G202" s="36">
        <v>6538.0</v>
      </c>
      <c r="H202" s="36">
        <v>640288.0</v>
      </c>
      <c r="I202" s="35">
        <v>96.0</v>
      </c>
      <c r="J202" s="35">
        <v>82.0</v>
      </c>
      <c r="K202" s="35">
        <v>23033.0</v>
      </c>
      <c r="L202" s="35">
        <v>1571.0</v>
      </c>
      <c r="M202" s="35">
        <v>256307.0</v>
      </c>
      <c r="N202" s="35">
        <v>279340.0</v>
      </c>
      <c r="O202" s="35">
        <v>6.0</v>
      </c>
      <c r="P202" s="37">
        <v>2600.0</v>
      </c>
      <c r="Q202" s="37">
        <v>3.0</v>
      </c>
      <c r="R202" s="37">
        <v>2175.0</v>
      </c>
      <c r="S202" s="37">
        <v>2.0</v>
      </c>
      <c r="T202" s="37">
        <v>347.0</v>
      </c>
      <c r="U202" s="37">
        <v>78.0</v>
      </c>
      <c r="V202" s="37">
        <v>77.0</v>
      </c>
      <c r="W202" s="37">
        <v>10.0</v>
      </c>
      <c r="X202" s="37">
        <v>5.0</v>
      </c>
      <c r="Y202" s="37">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5">
        <v>8456.0</v>
      </c>
      <c r="F203" s="36">
        <v>615899.0</v>
      </c>
      <c r="G203" s="36">
        <v>8578.0</v>
      </c>
      <c r="H203" s="36">
        <v>648866.0</v>
      </c>
      <c r="I203" s="35">
        <v>123.0</v>
      </c>
      <c r="J203" s="35">
        <v>91.0</v>
      </c>
      <c r="K203" s="35">
        <v>23156.0</v>
      </c>
      <c r="L203" s="35">
        <v>2002.0</v>
      </c>
      <c r="M203" s="35">
        <v>258309.0</v>
      </c>
      <c r="N203" s="35">
        <v>281465.0</v>
      </c>
      <c r="O203" s="35">
        <v>7.0</v>
      </c>
      <c r="P203" s="37">
        <v>2607.0</v>
      </c>
      <c r="Q203" s="37">
        <v>2.0</v>
      </c>
      <c r="R203" s="37">
        <v>2177.0</v>
      </c>
      <c r="S203" s="37">
        <v>1.0</v>
      </c>
      <c r="T203" s="37">
        <v>348.0</v>
      </c>
      <c r="U203" s="37">
        <v>82.0</v>
      </c>
      <c r="V203" s="37">
        <v>79.0</v>
      </c>
      <c r="W203" s="37">
        <v>10.0</v>
      </c>
      <c r="X203" s="37">
        <v>5.0</v>
      </c>
      <c r="Y203" s="37">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5">
        <v>9707.0</v>
      </c>
      <c r="F204" s="36">
        <v>625606.0</v>
      </c>
      <c r="G204" s="36">
        <v>9844.0</v>
      </c>
      <c r="H204" s="36">
        <v>658710.0</v>
      </c>
      <c r="I204" s="35">
        <v>117.0</v>
      </c>
      <c r="J204" s="35">
        <v>112.0</v>
      </c>
      <c r="K204" s="35">
        <v>23273.0</v>
      </c>
      <c r="L204" s="35">
        <v>1808.0</v>
      </c>
      <c r="M204" s="35">
        <v>260117.0</v>
      </c>
      <c r="N204" s="35">
        <v>283390.0</v>
      </c>
      <c r="O204" s="35">
        <v>7.0</v>
      </c>
      <c r="P204" s="37">
        <v>2614.0</v>
      </c>
      <c r="Q204" s="37">
        <v>7.0</v>
      </c>
      <c r="R204" s="37">
        <v>2184.0</v>
      </c>
      <c r="S204" s="37">
        <v>2.0</v>
      </c>
      <c r="T204" s="37">
        <v>350.0</v>
      </c>
      <c r="U204" s="37">
        <v>80.0</v>
      </c>
      <c r="V204" s="37">
        <v>80.0</v>
      </c>
      <c r="W204" s="37">
        <v>9.0</v>
      </c>
      <c r="X204" s="37">
        <v>6.0</v>
      </c>
      <c r="Y204" s="37">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5">
        <v>9228.0</v>
      </c>
      <c r="F205" s="36">
        <v>634834.0</v>
      </c>
      <c r="G205" s="36">
        <v>9353.0</v>
      </c>
      <c r="H205" s="36">
        <v>668063.0</v>
      </c>
      <c r="I205" s="35">
        <v>151.0</v>
      </c>
      <c r="J205" s="35">
        <v>130.0</v>
      </c>
      <c r="K205" s="35">
        <v>23424.0</v>
      </c>
      <c r="L205" s="35">
        <v>1774.0</v>
      </c>
      <c r="M205" s="35">
        <v>261891.0</v>
      </c>
      <c r="N205" s="35">
        <v>285315.0</v>
      </c>
      <c r="O205" s="35">
        <v>7.0</v>
      </c>
      <c r="P205" s="37">
        <v>2621.0</v>
      </c>
      <c r="Q205" s="37">
        <v>15.0</v>
      </c>
      <c r="R205" s="37">
        <v>2199.0</v>
      </c>
      <c r="S205" s="37">
        <v>0.0</v>
      </c>
      <c r="T205" s="37">
        <v>350.0</v>
      </c>
      <c r="U205" s="37">
        <v>72.0</v>
      </c>
      <c r="V205" s="37">
        <v>78.0</v>
      </c>
      <c r="W205" s="37">
        <v>8.0</v>
      </c>
      <c r="X205" s="37">
        <v>4.0</v>
      </c>
      <c r="Y205" s="37">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5">
        <v>10027.0</v>
      </c>
      <c r="F206" s="36">
        <v>644861.0</v>
      </c>
      <c r="G206" s="36">
        <v>10159.0</v>
      </c>
      <c r="H206" s="36">
        <v>678222.0</v>
      </c>
      <c r="I206" s="35">
        <v>131.0</v>
      </c>
      <c r="J206" s="35">
        <v>133.0</v>
      </c>
      <c r="K206" s="35">
        <v>23555.0</v>
      </c>
      <c r="L206" s="35">
        <v>1756.0</v>
      </c>
      <c r="M206" s="35">
        <v>263647.0</v>
      </c>
      <c r="N206" s="35">
        <v>287202.0</v>
      </c>
      <c r="O206" s="35">
        <v>7.0</v>
      </c>
      <c r="P206" s="37">
        <v>2628.0</v>
      </c>
      <c r="Q206" s="37">
        <v>7.0</v>
      </c>
      <c r="R206" s="37">
        <v>2206.0</v>
      </c>
      <c r="S206" s="37">
        <v>1.0</v>
      </c>
      <c r="T206" s="37">
        <v>351.0</v>
      </c>
      <c r="U206" s="37">
        <v>71.0</v>
      </c>
      <c r="V206" s="37">
        <v>74.0</v>
      </c>
      <c r="W206" s="37">
        <v>11.0</v>
      </c>
      <c r="X206" s="37">
        <v>6.0</v>
      </c>
      <c r="Y206" s="37">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5">
        <v>8292.0</v>
      </c>
      <c r="F207" s="36">
        <v>653153.0</v>
      </c>
      <c r="G207" s="36">
        <v>8407.0</v>
      </c>
      <c r="H207" s="36">
        <v>686629.0</v>
      </c>
      <c r="I207" s="35">
        <v>111.0</v>
      </c>
      <c r="J207" s="35">
        <v>131.0</v>
      </c>
      <c r="K207" s="35">
        <v>23666.0</v>
      </c>
      <c r="L207" s="35">
        <v>1569.0</v>
      </c>
      <c r="M207" s="35">
        <v>265216.0</v>
      </c>
      <c r="N207" s="35">
        <v>288882.0</v>
      </c>
      <c r="O207" s="35">
        <v>7.0</v>
      </c>
      <c r="P207" s="37">
        <v>2635.0</v>
      </c>
      <c r="Q207" s="37">
        <v>3.0</v>
      </c>
      <c r="R207" s="37">
        <v>2209.0</v>
      </c>
      <c r="S207" s="37">
        <v>0.0</v>
      </c>
      <c r="T207" s="37">
        <v>351.0</v>
      </c>
      <c r="U207" s="37">
        <v>75.0</v>
      </c>
      <c r="V207" s="37">
        <v>73.0</v>
      </c>
      <c r="W207" s="37">
        <v>10.0</v>
      </c>
      <c r="X207" s="37">
        <v>6.0</v>
      </c>
      <c r="Y207" s="37">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5">
        <v>3676.0</v>
      </c>
      <c r="F208" s="36">
        <v>656829.0</v>
      </c>
      <c r="G208" s="36">
        <v>3736.0</v>
      </c>
      <c r="H208" s="36">
        <v>690365.0</v>
      </c>
      <c r="I208" s="35">
        <v>49.0</v>
      </c>
      <c r="J208" s="35">
        <v>97.0</v>
      </c>
      <c r="K208" s="35">
        <v>23715.0</v>
      </c>
      <c r="L208" s="35">
        <v>1212.0</v>
      </c>
      <c r="M208" s="35">
        <v>266428.0</v>
      </c>
      <c r="N208" s="35">
        <v>290143.0</v>
      </c>
      <c r="O208" s="35">
        <v>7.0</v>
      </c>
      <c r="P208" s="37">
        <v>2642.0</v>
      </c>
      <c r="Q208" s="37">
        <v>6.0</v>
      </c>
      <c r="R208" s="37">
        <v>2215.0</v>
      </c>
      <c r="S208" s="37">
        <v>2.0</v>
      </c>
      <c r="T208" s="37">
        <v>353.0</v>
      </c>
      <c r="U208" s="37">
        <v>74.0</v>
      </c>
      <c r="V208" s="37">
        <v>73.0</v>
      </c>
      <c r="W208" s="37">
        <v>9.0</v>
      </c>
      <c r="X208" s="37">
        <v>8.0</v>
      </c>
      <c r="Y208" s="37">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5">
        <v>7007.0</v>
      </c>
      <c r="F209" s="36">
        <v>663836.0</v>
      </c>
      <c r="G209" s="36">
        <v>7109.0</v>
      </c>
      <c r="H209" s="36">
        <v>697474.0</v>
      </c>
      <c r="I209" s="35">
        <v>95.0</v>
      </c>
      <c r="J209" s="35">
        <v>85.0</v>
      </c>
      <c r="K209" s="35">
        <v>23810.0</v>
      </c>
      <c r="L209" s="35">
        <v>2264.0</v>
      </c>
      <c r="M209" s="35">
        <v>268692.0</v>
      </c>
      <c r="N209" s="35">
        <v>292502.0</v>
      </c>
      <c r="O209" s="35">
        <v>12.0</v>
      </c>
      <c r="P209" s="37">
        <v>2654.0</v>
      </c>
      <c r="Q209" s="37">
        <v>3.0</v>
      </c>
      <c r="R209" s="37">
        <v>2218.0</v>
      </c>
      <c r="S209" s="37">
        <v>2.0</v>
      </c>
      <c r="T209" s="37">
        <v>355.0</v>
      </c>
      <c r="U209" s="37">
        <v>81.0</v>
      </c>
      <c r="V209" s="37">
        <v>77.0</v>
      </c>
      <c r="W209" s="37">
        <v>8.0</v>
      </c>
      <c r="X209" s="37">
        <v>6.0</v>
      </c>
      <c r="Y209" s="37">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5">
        <v>9275.0</v>
      </c>
      <c r="F210" s="36">
        <v>673111.0</v>
      </c>
      <c r="G210" s="36">
        <v>9429.0</v>
      </c>
      <c r="H210" s="36">
        <v>706903.0</v>
      </c>
      <c r="I210" s="35">
        <v>123.0</v>
      </c>
      <c r="J210" s="35">
        <v>89.0</v>
      </c>
      <c r="K210" s="35">
        <v>23933.0</v>
      </c>
      <c r="L210" s="35">
        <v>2006.0</v>
      </c>
      <c r="M210" s="35">
        <v>270698.0</v>
      </c>
      <c r="N210" s="35">
        <v>294631.0</v>
      </c>
      <c r="O210" s="35">
        <v>12.0</v>
      </c>
      <c r="P210" s="37">
        <v>2666.0</v>
      </c>
      <c r="Q210" s="37">
        <v>3.0</v>
      </c>
      <c r="R210" s="37">
        <v>2221.0</v>
      </c>
      <c r="S210" s="37">
        <v>1.0</v>
      </c>
      <c r="T210" s="37">
        <v>356.0</v>
      </c>
      <c r="U210" s="37">
        <v>89.0</v>
      </c>
      <c r="V210" s="37">
        <v>81.0</v>
      </c>
      <c r="W210" s="37">
        <v>7.0</v>
      </c>
      <c r="X210" s="37">
        <v>5.0</v>
      </c>
      <c r="Y210" s="37">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5">
        <v>10637.0</v>
      </c>
      <c r="F211" s="36">
        <v>683748.0</v>
      </c>
      <c r="G211" s="36">
        <v>10773.0</v>
      </c>
      <c r="H211" s="36">
        <v>717676.0</v>
      </c>
      <c r="I211" s="35">
        <v>128.0</v>
      </c>
      <c r="J211" s="35">
        <v>115.0</v>
      </c>
      <c r="K211" s="35">
        <v>24061.0</v>
      </c>
      <c r="L211" s="35">
        <v>2038.0</v>
      </c>
      <c r="M211" s="35">
        <v>272736.0</v>
      </c>
      <c r="N211" s="35">
        <v>296797.0</v>
      </c>
      <c r="O211" s="35">
        <v>13.0</v>
      </c>
      <c r="P211" s="37">
        <v>2679.0</v>
      </c>
      <c r="Q211" s="37">
        <v>7.0</v>
      </c>
      <c r="R211" s="37">
        <v>2228.0</v>
      </c>
      <c r="S211" s="37">
        <v>0.0</v>
      </c>
      <c r="T211" s="37">
        <v>356.0</v>
      </c>
      <c r="U211" s="37">
        <v>95.0</v>
      </c>
      <c r="V211" s="37">
        <v>88.0</v>
      </c>
      <c r="W211" s="37">
        <v>6.0</v>
      </c>
      <c r="X211" s="37">
        <v>5.0</v>
      </c>
      <c r="Y211" s="37">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5">
        <v>12468.0</v>
      </c>
      <c r="F212" s="36">
        <v>696216.0</v>
      </c>
      <c r="G212" s="36">
        <v>12588.0</v>
      </c>
      <c r="H212" s="36">
        <v>730264.0</v>
      </c>
      <c r="I212" s="35">
        <v>117.0</v>
      </c>
      <c r="J212" s="35">
        <v>123.0</v>
      </c>
      <c r="K212" s="35">
        <v>24178.0</v>
      </c>
      <c r="L212" s="35">
        <v>2890.0</v>
      </c>
      <c r="M212" s="35">
        <v>275626.0</v>
      </c>
      <c r="N212" s="35">
        <v>299804.0</v>
      </c>
      <c r="O212" s="35">
        <v>7.0</v>
      </c>
      <c r="P212" s="37">
        <v>2686.0</v>
      </c>
      <c r="Q212" s="37">
        <v>8.0</v>
      </c>
      <c r="R212" s="37">
        <v>2236.0</v>
      </c>
      <c r="S212" s="37">
        <v>1.0</v>
      </c>
      <c r="T212" s="37">
        <v>357.0</v>
      </c>
      <c r="U212" s="37">
        <v>93.0</v>
      </c>
      <c r="V212" s="37">
        <v>92.0</v>
      </c>
      <c r="W212" s="37">
        <v>7.0</v>
      </c>
      <c r="X212" s="37">
        <v>5.0</v>
      </c>
      <c r="Y212" s="37">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5">
        <v>10546.0</v>
      </c>
      <c r="F213" s="36">
        <v>706762.0</v>
      </c>
      <c r="G213" s="36">
        <v>10696.0</v>
      </c>
      <c r="H213" s="36">
        <v>740960.0</v>
      </c>
      <c r="I213" s="35">
        <v>143.0</v>
      </c>
      <c r="J213" s="35">
        <v>129.0</v>
      </c>
      <c r="K213" s="35">
        <v>24321.0</v>
      </c>
      <c r="L213" s="35">
        <v>2747.0</v>
      </c>
      <c r="M213" s="35">
        <v>278373.0</v>
      </c>
      <c r="N213" s="35">
        <v>302694.0</v>
      </c>
      <c r="O213" s="35">
        <v>9.0</v>
      </c>
      <c r="P213" s="37">
        <v>2695.0</v>
      </c>
      <c r="Q213" s="37">
        <v>10.0</v>
      </c>
      <c r="R213" s="37">
        <v>2246.0</v>
      </c>
      <c r="S213" s="37">
        <v>0.0</v>
      </c>
      <c r="T213" s="37">
        <v>357.0</v>
      </c>
      <c r="U213" s="37">
        <v>92.0</v>
      </c>
      <c r="V213" s="37">
        <v>93.0</v>
      </c>
      <c r="W213" s="37">
        <v>6.0</v>
      </c>
      <c r="X213" s="37">
        <v>5.0</v>
      </c>
      <c r="Y213" s="37">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5">
        <v>10556.0</v>
      </c>
      <c r="F214" s="36">
        <v>717318.0</v>
      </c>
      <c r="G214" s="36">
        <v>10703.0</v>
      </c>
      <c r="H214" s="36">
        <v>751663.0</v>
      </c>
      <c r="I214" s="35">
        <v>120.0</v>
      </c>
      <c r="J214" s="35">
        <v>127.0</v>
      </c>
      <c r="K214" s="35">
        <v>24441.0</v>
      </c>
      <c r="L214" s="35">
        <v>2278.0</v>
      </c>
      <c r="M214" s="35">
        <v>280651.0</v>
      </c>
      <c r="N214" s="35">
        <v>305092.0</v>
      </c>
      <c r="O214" s="35">
        <v>12.0</v>
      </c>
      <c r="P214" s="37">
        <v>2707.0</v>
      </c>
      <c r="Q214" s="37">
        <v>8.0</v>
      </c>
      <c r="R214" s="37">
        <v>2254.0</v>
      </c>
      <c r="S214" s="37">
        <v>1.0</v>
      </c>
      <c r="T214" s="37">
        <v>358.0</v>
      </c>
      <c r="U214" s="37">
        <v>95.0</v>
      </c>
      <c r="V214" s="37">
        <v>93.0</v>
      </c>
      <c r="W214" s="37">
        <v>6.0</v>
      </c>
      <c r="X214" s="37">
        <v>5.0</v>
      </c>
      <c r="Y214" s="37">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5">
        <v>2764.0</v>
      </c>
      <c r="F215" s="36">
        <v>720082.0</v>
      </c>
      <c r="G215" s="36">
        <v>2807.0</v>
      </c>
      <c r="H215" s="36">
        <v>754470.0</v>
      </c>
      <c r="I215" s="35">
        <v>34.0</v>
      </c>
      <c r="J215" s="35">
        <v>99.0</v>
      </c>
      <c r="K215" s="35">
        <v>24475.0</v>
      </c>
      <c r="L215" s="35">
        <v>786.0</v>
      </c>
      <c r="M215" s="35">
        <v>281437.0</v>
      </c>
      <c r="N215" s="35">
        <v>305912.0</v>
      </c>
      <c r="O215" s="35">
        <v>7.0</v>
      </c>
      <c r="P215" s="37">
        <v>2714.0</v>
      </c>
      <c r="Q215" s="37">
        <v>5.0</v>
      </c>
      <c r="R215" s="37">
        <v>2259.0</v>
      </c>
      <c r="S215" s="37">
        <v>0.0</v>
      </c>
      <c r="T215" s="37">
        <v>358.0</v>
      </c>
      <c r="U215" s="37">
        <v>97.0</v>
      </c>
      <c r="V215" s="37">
        <v>95.0</v>
      </c>
      <c r="W215" s="37">
        <v>9.0</v>
      </c>
      <c r="X215" s="37">
        <v>5.0</v>
      </c>
      <c r="Y215" s="37">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5">
        <v>7294.0</v>
      </c>
      <c r="F216" s="36">
        <v>727376.0</v>
      </c>
      <c r="G216" s="36">
        <v>7450.0</v>
      </c>
      <c r="H216" s="36">
        <v>761920.0</v>
      </c>
      <c r="I216" s="35">
        <v>137.0</v>
      </c>
      <c r="J216" s="35">
        <v>97.0</v>
      </c>
      <c r="K216" s="35">
        <v>24612.0</v>
      </c>
      <c r="L216" s="35">
        <v>2105.0</v>
      </c>
      <c r="M216" s="35">
        <v>283542.0</v>
      </c>
      <c r="N216" s="35">
        <v>308154.0</v>
      </c>
      <c r="O216" s="35">
        <v>7.0</v>
      </c>
      <c r="P216" s="37">
        <v>2721.0</v>
      </c>
      <c r="Q216" s="37">
        <v>7.0</v>
      </c>
      <c r="R216" s="37">
        <v>2266.0</v>
      </c>
      <c r="S216" s="37">
        <v>2.0</v>
      </c>
      <c r="T216" s="37">
        <v>360.0</v>
      </c>
      <c r="U216" s="37">
        <v>95.0</v>
      </c>
      <c r="V216" s="37">
        <v>96.0</v>
      </c>
      <c r="W216" s="37">
        <v>7.0</v>
      </c>
      <c r="X216" s="37">
        <v>5.0</v>
      </c>
      <c r="Y216" s="37">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5">
        <v>11034.0</v>
      </c>
      <c r="F217" s="36">
        <v>738410.0</v>
      </c>
      <c r="G217" s="36">
        <v>11237.0</v>
      </c>
      <c r="H217" s="36">
        <v>773157.0</v>
      </c>
      <c r="I217" s="35">
        <v>185.0</v>
      </c>
      <c r="J217" s="35">
        <v>119.0</v>
      </c>
      <c r="K217" s="35">
        <v>24797.0</v>
      </c>
      <c r="L217" s="35">
        <v>2578.0</v>
      </c>
      <c r="M217" s="35">
        <v>286120.0</v>
      </c>
      <c r="N217" s="35">
        <v>310917.0</v>
      </c>
      <c r="O217" s="35">
        <v>12.0</v>
      </c>
      <c r="P217" s="37">
        <v>2733.0</v>
      </c>
      <c r="Q217" s="37">
        <v>18.0</v>
      </c>
      <c r="R217" s="37">
        <v>2284.0</v>
      </c>
      <c r="S217" s="37">
        <v>1.0</v>
      </c>
      <c r="T217" s="37">
        <v>361.0</v>
      </c>
      <c r="U217" s="37">
        <v>88.0</v>
      </c>
      <c r="V217" s="37">
        <v>93.0</v>
      </c>
      <c r="W217" s="37">
        <v>6.0</v>
      </c>
      <c r="X217" s="37">
        <v>6.0</v>
      </c>
      <c r="Y217" s="37">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5">
        <v>12218.0</v>
      </c>
      <c r="F218" s="36">
        <v>750628.0</v>
      </c>
      <c r="G218" s="36">
        <v>12441.0</v>
      </c>
      <c r="H218" s="36">
        <v>785598.0</v>
      </c>
      <c r="I218" s="35">
        <v>189.0</v>
      </c>
      <c r="J218" s="35">
        <v>170.0</v>
      </c>
      <c r="K218" s="35">
        <v>24986.0</v>
      </c>
      <c r="L218" s="35">
        <v>2370.0</v>
      </c>
      <c r="M218" s="35">
        <v>288490.0</v>
      </c>
      <c r="N218" s="35">
        <v>313476.0</v>
      </c>
      <c r="O218" s="35">
        <v>6.0</v>
      </c>
      <c r="P218" s="37">
        <v>2739.0</v>
      </c>
      <c r="Q218" s="37">
        <v>6.0</v>
      </c>
      <c r="R218" s="37">
        <v>2290.0</v>
      </c>
      <c r="S218" s="37">
        <v>0.0</v>
      </c>
      <c r="T218" s="37">
        <v>361.0</v>
      </c>
      <c r="U218" s="37">
        <v>88.0</v>
      </c>
      <c r="V218" s="37">
        <v>90.0</v>
      </c>
      <c r="W218" s="37">
        <v>6.0</v>
      </c>
      <c r="X218" s="37">
        <v>6.0</v>
      </c>
      <c r="Y218" s="37">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5">
        <v>12492.0</v>
      </c>
      <c r="F219" s="36">
        <v>763120.0</v>
      </c>
      <c r="G219" s="36">
        <v>12676.0</v>
      </c>
      <c r="H219" s="36">
        <v>798274.0</v>
      </c>
      <c r="I219" s="35">
        <v>166.0</v>
      </c>
      <c r="J219" s="35">
        <v>180.0</v>
      </c>
      <c r="K219" s="35">
        <v>25152.0</v>
      </c>
      <c r="L219" s="35">
        <v>2192.0</v>
      </c>
      <c r="M219" s="35">
        <v>290682.0</v>
      </c>
      <c r="N219" s="35">
        <v>315834.0</v>
      </c>
      <c r="O219" s="35">
        <v>17.0</v>
      </c>
      <c r="P219" s="37">
        <v>2756.0</v>
      </c>
      <c r="Q219" s="37">
        <v>13.0</v>
      </c>
      <c r="R219" s="37">
        <v>2303.0</v>
      </c>
      <c r="S219" s="37">
        <v>1.0</v>
      </c>
      <c r="T219" s="37">
        <v>362.0</v>
      </c>
      <c r="U219" s="37">
        <v>91.0</v>
      </c>
      <c r="V219" s="37">
        <v>89.0</v>
      </c>
      <c r="W219" s="37">
        <v>6.0</v>
      </c>
      <c r="X219" s="37">
        <v>4.0</v>
      </c>
      <c r="Y219" s="37">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5">
        <v>12149.0</v>
      </c>
      <c r="F220" s="36">
        <v>775269.0</v>
      </c>
      <c r="G220" s="36">
        <v>12358.0</v>
      </c>
      <c r="H220" s="36">
        <v>810632.0</v>
      </c>
      <c r="I220" s="35">
        <v>183.0</v>
      </c>
      <c r="J220" s="35">
        <v>179.0</v>
      </c>
      <c r="K220" s="35">
        <v>25335.0</v>
      </c>
      <c r="L220" s="35">
        <v>2293.0</v>
      </c>
      <c r="M220" s="35">
        <v>292975.0</v>
      </c>
      <c r="N220" s="35">
        <v>318310.0</v>
      </c>
      <c r="O220" s="35">
        <v>14.0</v>
      </c>
      <c r="P220" s="37">
        <v>2770.0</v>
      </c>
      <c r="Q220" s="37">
        <v>13.0</v>
      </c>
      <c r="R220" s="37">
        <v>2316.0</v>
      </c>
      <c r="S220" s="37">
        <v>1.0</v>
      </c>
      <c r="T220" s="37">
        <v>363.0</v>
      </c>
      <c r="U220" s="37">
        <v>91.0</v>
      </c>
      <c r="V220" s="37">
        <v>90.0</v>
      </c>
      <c r="W220" s="37">
        <v>8.0</v>
      </c>
      <c r="X220" s="37">
        <v>5.0</v>
      </c>
      <c r="Y220" s="37">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5">
        <v>9304.0</v>
      </c>
      <c r="F221" s="36">
        <v>784573.0</v>
      </c>
      <c r="G221" s="36">
        <v>9461.0</v>
      </c>
      <c r="H221" s="36">
        <v>820093.0</v>
      </c>
      <c r="I221" s="35">
        <v>131.0</v>
      </c>
      <c r="J221" s="35">
        <v>160.0</v>
      </c>
      <c r="K221" s="35">
        <v>25466.0</v>
      </c>
      <c r="L221" s="35">
        <v>1862.0</v>
      </c>
      <c r="M221" s="35">
        <v>294837.0</v>
      </c>
      <c r="N221" s="35">
        <v>320303.0</v>
      </c>
      <c r="O221" s="35">
        <v>8.0</v>
      </c>
      <c r="P221" s="37">
        <v>2778.0</v>
      </c>
      <c r="Q221" s="37">
        <v>8.0</v>
      </c>
      <c r="R221" s="37">
        <v>2324.0</v>
      </c>
      <c r="S221" s="37">
        <v>2.0</v>
      </c>
      <c r="T221" s="37">
        <v>365.0</v>
      </c>
      <c r="U221" s="37">
        <v>89.0</v>
      </c>
      <c r="V221" s="37">
        <v>90.0</v>
      </c>
      <c r="W221" s="37">
        <v>9.0</v>
      </c>
      <c r="X221" s="37">
        <v>4.0</v>
      </c>
      <c r="Y221" s="37">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5">
        <v>2369.0</v>
      </c>
      <c r="F222" s="36">
        <v>786942.0</v>
      </c>
      <c r="G222" s="36">
        <v>2450.0</v>
      </c>
      <c r="H222" s="36">
        <v>822543.0</v>
      </c>
      <c r="I222" s="35">
        <v>77.0</v>
      </c>
      <c r="J222" s="35">
        <v>130.0</v>
      </c>
      <c r="K222" s="35">
        <v>25543.0</v>
      </c>
      <c r="L222" s="35">
        <v>875.0</v>
      </c>
      <c r="M222" s="35">
        <v>295712.0</v>
      </c>
      <c r="N222" s="35">
        <v>321255.0</v>
      </c>
      <c r="O222" s="35">
        <v>11.0</v>
      </c>
      <c r="P222" s="37">
        <v>2789.0</v>
      </c>
      <c r="Q222" s="37">
        <v>9.0</v>
      </c>
      <c r="R222" s="37">
        <v>2333.0</v>
      </c>
      <c r="S222" s="37">
        <v>1.0</v>
      </c>
      <c r="T222" s="37">
        <v>366.0</v>
      </c>
      <c r="U222" s="37">
        <v>90.0</v>
      </c>
      <c r="V222" s="37">
        <v>90.0</v>
      </c>
      <c r="W222" s="37">
        <v>8.0</v>
      </c>
      <c r="X222" s="37">
        <v>5.0</v>
      </c>
      <c r="Y222" s="37">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5">
        <v>8963.0</v>
      </c>
      <c r="F223" s="36">
        <v>795905.0</v>
      </c>
      <c r="G223" s="36">
        <v>9138.0</v>
      </c>
      <c r="H223" s="36">
        <v>831681.0</v>
      </c>
      <c r="I223" s="35">
        <v>160.0</v>
      </c>
      <c r="J223" s="35">
        <v>123.0</v>
      </c>
      <c r="K223" s="35">
        <v>25703.0</v>
      </c>
      <c r="L223" s="35">
        <v>2807.0</v>
      </c>
      <c r="M223" s="35">
        <v>298519.0</v>
      </c>
      <c r="N223" s="35">
        <v>324222.0</v>
      </c>
      <c r="O223" s="35">
        <v>29.0</v>
      </c>
      <c r="P223" s="37">
        <v>2818.0</v>
      </c>
      <c r="Q223" s="37">
        <v>9.0</v>
      </c>
      <c r="R223" s="37">
        <v>2342.0</v>
      </c>
      <c r="S223" s="37">
        <v>2.0</v>
      </c>
      <c r="T223" s="37">
        <v>368.0</v>
      </c>
      <c r="U223" s="37">
        <v>108.0</v>
      </c>
      <c r="V223" s="37">
        <v>96.0</v>
      </c>
      <c r="W223" s="37">
        <v>9.0</v>
      </c>
      <c r="X223" s="37">
        <v>6.0</v>
      </c>
      <c r="Y223" s="37">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5">
        <v>11190.0</v>
      </c>
      <c r="F224" s="36">
        <v>807095.0</v>
      </c>
      <c r="G224" s="36">
        <v>11379.0</v>
      </c>
      <c r="H224" s="36">
        <v>843060.0</v>
      </c>
      <c r="I224" s="35">
        <v>187.0</v>
      </c>
      <c r="J224" s="35">
        <v>141.0</v>
      </c>
      <c r="K224" s="35">
        <v>25890.0</v>
      </c>
      <c r="L224" s="35">
        <v>2658.0</v>
      </c>
      <c r="M224" s="35">
        <v>301177.0</v>
      </c>
      <c r="N224" s="35">
        <v>327067.0</v>
      </c>
      <c r="O224" s="35">
        <v>11.0</v>
      </c>
      <c r="P224" s="37">
        <v>2829.0</v>
      </c>
      <c r="Q224" s="37">
        <v>4.0</v>
      </c>
      <c r="R224" s="37">
        <v>2346.0</v>
      </c>
      <c r="S224" s="37">
        <v>0.0</v>
      </c>
      <c r="T224" s="37">
        <v>368.0</v>
      </c>
      <c r="U224" s="37">
        <v>115.0</v>
      </c>
      <c r="V224" s="37">
        <v>104.0</v>
      </c>
      <c r="W224" s="37">
        <v>11.0</v>
      </c>
      <c r="X224" s="37">
        <v>7.0</v>
      </c>
      <c r="Y224" s="37">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5">
        <v>12443.0</v>
      </c>
      <c r="F225" s="36">
        <v>819538.0</v>
      </c>
      <c r="G225" s="36">
        <v>12687.0</v>
      </c>
      <c r="H225" s="36">
        <v>855747.0</v>
      </c>
      <c r="I225" s="35">
        <v>243.0</v>
      </c>
      <c r="J225" s="35">
        <v>197.0</v>
      </c>
      <c r="K225" s="35">
        <v>26133.0</v>
      </c>
      <c r="L225" s="35">
        <v>3242.0</v>
      </c>
      <c r="M225" s="35">
        <v>304419.0</v>
      </c>
      <c r="N225" s="35">
        <v>330552.0</v>
      </c>
      <c r="O225" s="35">
        <v>13.0</v>
      </c>
      <c r="P225" s="37">
        <v>2842.0</v>
      </c>
      <c r="Q225" s="37">
        <v>14.0</v>
      </c>
      <c r="R225" s="37">
        <v>2360.0</v>
      </c>
      <c r="S225" s="37">
        <v>2.0</v>
      </c>
      <c r="T225" s="37">
        <v>370.0</v>
      </c>
      <c r="U225" s="37">
        <v>112.0</v>
      </c>
      <c r="V225" s="37">
        <v>112.0</v>
      </c>
      <c r="W225" s="37">
        <v>9.0</v>
      </c>
      <c r="X225" s="37">
        <v>7.0</v>
      </c>
      <c r="Y225" s="37">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5">
        <v>15222.0</v>
      </c>
      <c r="F226" s="36">
        <v>834760.0</v>
      </c>
      <c r="G226" s="36">
        <v>15505.0</v>
      </c>
      <c r="H226" s="36">
        <v>871252.0</v>
      </c>
      <c r="I226" s="35">
        <v>275.0</v>
      </c>
      <c r="J226" s="35">
        <v>235.0</v>
      </c>
      <c r="K226" s="35">
        <v>26408.0</v>
      </c>
      <c r="L226" s="35">
        <v>3843.0</v>
      </c>
      <c r="M226" s="35">
        <v>308262.0</v>
      </c>
      <c r="N226" s="35">
        <v>334670.0</v>
      </c>
      <c r="O226" s="35">
        <v>17.0</v>
      </c>
      <c r="P226" s="37">
        <v>2859.0</v>
      </c>
      <c r="Q226" s="37">
        <v>13.0</v>
      </c>
      <c r="R226" s="37">
        <v>2373.0</v>
      </c>
      <c r="S226" s="37">
        <v>2.0</v>
      </c>
      <c r="T226" s="37">
        <v>372.0</v>
      </c>
      <c r="U226" s="37">
        <v>114.0</v>
      </c>
      <c r="V226" s="37">
        <v>114.0</v>
      </c>
      <c r="W226" s="37">
        <v>7.0</v>
      </c>
      <c r="X226" s="37">
        <v>5.0</v>
      </c>
      <c r="Y226" s="37">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5">
        <v>13729.0</v>
      </c>
      <c r="F227" s="36">
        <v>848489.0</v>
      </c>
      <c r="G227" s="36">
        <v>13960.0</v>
      </c>
      <c r="H227" s="36">
        <v>885212.0</v>
      </c>
      <c r="I227" s="35">
        <v>200.0</v>
      </c>
      <c r="J227" s="35">
        <v>239.0</v>
      </c>
      <c r="K227" s="35">
        <v>26608.0</v>
      </c>
      <c r="L227" s="35">
        <v>3848.0</v>
      </c>
      <c r="M227" s="35">
        <v>312110.0</v>
      </c>
      <c r="N227" s="35">
        <v>338718.0</v>
      </c>
      <c r="O227" s="35">
        <v>21.0</v>
      </c>
      <c r="P227" s="37">
        <v>2880.0</v>
      </c>
      <c r="Q227" s="37">
        <v>12.0</v>
      </c>
      <c r="R227" s="37">
        <v>2385.0</v>
      </c>
      <c r="S227" s="37">
        <v>0.0</v>
      </c>
      <c r="T227" s="37">
        <v>372.0</v>
      </c>
      <c r="U227" s="37">
        <v>123.0</v>
      </c>
      <c r="V227" s="37">
        <v>116.0</v>
      </c>
      <c r="W227" s="37">
        <v>10.0</v>
      </c>
      <c r="X227" s="37">
        <v>7.0</v>
      </c>
      <c r="Y227" s="37">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5">
        <v>13829.0</v>
      </c>
      <c r="F228" s="36">
        <v>862318.0</v>
      </c>
      <c r="G228" s="36">
        <v>14061.0</v>
      </c>
      <c r="H228" s="36">
        <v>899273.0</v>
      </c>
      <c r="I228" s="35">
        <v>192.0</v>
      </c>
      <c r="J228" s="35">
        <v>222.0</v>
      </c>
      <c r="K228" s="35">
        <v>26800.0</v>
      </c>
      <c r="L228" s="35">
        <v>3465.0</v>
      </c>
      <c r="M228" s="35">
        <v>315575.0</v>
      </c>
      <c r="N228" s="35">
        <v>342375.0</v>
      </c>
      <c r="O228" s="35">
        <v>18.0</v>
      </c>
      <c r="P228" s="37">
        <v>2898.0</v>
      </c>
      <c r="Q228" s="37">
        <v>9.0</v>
      </c>
      <c r="R228" s="37">
        <v>2394.0</v>
      </c>
      <c r="S228" s="37">
        <v>1.0</v>
      </c>
      <c r="T228" s="37">
        <v>373.0</v>
      </c>
      <c r="U228" s="37">
        <v>131.0</v>
      </c>
      <c r="V228" s="37">
        <v>123.0</v>
      </c>
      <c r="W228" s="37">
        <v>13.0</v>
      </c>
      <c r="X228" s="37">
        <v>7.0</v>
      </c>
      <c r="Y228" s="37">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5">
        <v>3264.0</v>
      </c>
      <c r="F229" s="36">
        <v>865582.0</v>
      </c>
      <c r="G229" s="36">
        <v>3364.0</v>
      </c>
      <c r="H229" s="36">
        <v>902637.0</v>
      </c>
      <c r="I229" s="35">
        <v>88.0</v>
      </c>
      <c r="J229" s="35">
        <v>160.0</v>
      </c>
      <c r="K229" s="35">
        <v>26888.0</v>
      </c>
      <c r="L229" s="35">
        <v>1081.0</v>
      </c>
      <c r="M229" s="35">
        <v>316656.0</v>
      </c>
      <c r="N229" s="35">
        <v>343544.0</v>
      </c>
      <c r="O229" s="35">
        <v>11.0</v>
      </c>
      <c r="P229" s="37">
        <v>2909.0</v>
      </c>
      <c r="Q229" s="37">
        <v>8.0</v>
      </c>
      <c r="R229" s="37">
        <v>2402.0</v>
      </c>
      <c r="S229" s="37">
        <v>1.0</v>
      </c>
      <c r="T229" s="37">
        <v>374.0</v>
      </c>
      <c r="U229" s="37">
        <v>133.0</v>
      </c>
      <c r="V229" s="37">
        <v>129.0</v>
      </c>
      <c r="W229" s="37">
        <v>14.0</v>
      </c>
      <c r="X229" s="37">
        <v>5.0</v>
      </c>
      <c r="Y229" s="37">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5">
        <v>6420.0</v>
      </c>
      <c r="F230" s="36">
        <v>872002.0</v>
      </c>
      <c r="G230" s="36">
        <v>6590.0</v>
      </c>
      <c r="H230" s="36">
        <v>909227.0</v>
      </c>
      <c r="I230" s="35">
        <v>157.0</v>
      </c>
      <c r="J230" s="35">
        <v>146.0</v>
      </c>
      <c r="K230" s="35">
        <v>27045.0</v>
      </c>
      <c r="L230" s="35">
        <v>1588.0</v>
      </c>
      <c r="M230" s="35">
        <v>318244.0</v>
      </c>
      <c r="N230" s="35">
        <v>345289.0</v>
      </c>
      <c r="O230" s="35">
        <v>19.0</v>
      </c>
      <c r="P230" s="37">
        <v>2928.0</v>
      </c>
      <c r="Q230" s="37">
        <v>15.0</v>
      </c>
      <c r="R230" s="37">
        <v>2417.0</v>
      </c>
      <c r="S230" s="37">
        <v>2.0</v>
      </c>
      <c r="T230" s="37">
        <v>376.0</v>
      </c>
      <c r="U230" s="37">
        <v>135.0</v>
      </c>
      <c r="V230" s="37">
        <v>133.0</v>
      </c>
      <c r="W230" s="37">
        <v>14.0</v>
      </c>
      <c r="X230" s="37">
        <v>5.0</v>
      </c>
      <c r="Y230" s="37">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5">
        <v>8518.0</v>
      </c>
      <c r="F231" s="36">
        <v>880520.0</v>
      </c>
      <c r="G231" s="36">
        <v>8748.0</v>
      </c>
      <c r="H231" s="36">
        <v>917975.0</v>
      </c>
      <c r="I231" s="35">
        <v>213.0</v>
      </c>
      <c r="J231" s="35">
        <v>153.0</v>
      </c>
      <c r="K231" s="35">
        <v>27258.0</v>
      </c>
      <c r="L231" s="35">
        <v>2149.0</v>
      </c>
      <c r="M231" s="35">
        <v>320393.0</v>
      </c>
      <c r="N231" s="35">
        <v>347651.0</v>
      </c>
      <c r="O231" s="35">
        <v>16.0</v>
      </c>
      <c r="P231" s="37">
        <v>2944.0</v>
      </c>
      <c r="Q231" s="37">
        <v>13.0</v>
      </c>
      <c r="R231" s="37">
        <v>2430.0</v>
      </c>
      <c r="S231" s="37">
        <v>4.0</v>
      </c>
      <c r="T231" s="37">
        <v>380.0</v>
      </c>
      <c r="U231" s="37">
        <v>134.0</v>
      </c>
      <c r="V231" s="37">
        <v>134.0</v>
      </c>
      <c r="W231" s="37">
        <v>13.0</v>
      </c>
      <c r="X231" s="37">
        <v>5.0</v>
      </c>
      <c r="Y231" s="37">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5">
        <v>15033.0</v>
      </c>
      <c r="F232" s="36">
        <v>895553.0</v>
      </c>
      <c r="G232" s="36">
        <v>15384.0</v>
      </c>
      <c r="H232" s="36">
        <v>933359.0</v>
      </c>
      <c r="I232" s="35">
        <v>305.0</v>
      </c>
      <c r="J232" s="35">
        <v>225.0</v>
      </c>
      <c r="K232" s="35">
        <v>27563.0</v>
      </c>
      <c r="L232" s="35">
        <v>3707.0</v>
      </c>
      <c r="M232" s="35">
        <v>324100.0</v>
      </c>
      <c r="N232" s="35">
        <v>351663.0</v>
      </c>
      <c r="O232" s="35">
        <v>17.0</v>
      </c>
      <c r="P232" s="37">
        <v>2961.0</v>
      </c>
      <c r="Q232" s="37">
        <v>7.0</v>
      </c>
      <c r="R232" s="37">
        <v>2437.0</v>
      </c>
      <c r="S232" s="37">
        <v>0.0</v>
      </c>
      <c r="T232" s="37">
        <v>380.0</v>
      </c>
      <c r="U232" s="37">
        <v>144.0</v>
      </c>
      <c r="V232" s="37">
        <v>138.0</v>
      </c>
      <c r="W232" s="37">
        <v>15.0</v>
      </c>
      <c r="X232" s="37">
        <v>5.0</v>
      </c>
      <c r="Y232" s="37">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5">
        <v>14627.0</v>
      </c>
      <c r="F233" s="36">
        <v>910180.0</v>
      </c>
      <c r="G233" s="36">
        <v>14903.0</v>
      </c>
      <c r="H233" s="36">
        <v>948262.0</v>
      </c>
      <c r="I233" s="35">
        <v>252.0</v>
      </c>
      <c r="J233" s="35">
        <v>257.0</v>
      </c>
      <c r="K233" s="35">
        <v>27815.0</v>
      </c>
      <c r="L233" s="35">
        <v>3299.0</v>
      </c>
      <c r="M233" s="35">
        <v>327399.0</v>
      </c>
      <c r="N233" s="35">
        <v>355214.0</v>
      </c>
      <c r="O233" s="35">
        <v>11.0</v>
      </c>
      <c r="P233" s="37">
        <v>2972.0</v>
      </c>
      <c r="Q233" s="37">
        <v>15.0</v>
      </c>
      <c r="R233" s="37">
        <v>2452.0</v>
      </c>
      <c r="S233" s="37">
        <v>1.0</v>
      </c>
      <c r="T233" s="37">
        <v>381.0</v>
      </c>
      <c r="U233" s="37">
        <v>139.0</v>
      </c>
      <c r="V233" s="37">
        <v>139.0</v>
      </c>
      <c r="W233" s="37">
        <v>13.0</v>
      </c>
      <c r="X233" s="37">
        <v>5.0</v>
      </c>
      <c r="Y233" s="37">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5">
        <v>15008.0</v>
      </c>
      <c r="F234" s="36">
        <v>925188.0</v>
      </c>
      <c r="G234" s="36">
        <v>15299.0</v>
      </c>
      <c r="H234" s="36">
        <v>963561.0</v>
      </c>
      <c r="I234" s="35">
        <v>276.0</v>
      </c>
      <c r="J234" s="35">
        <v>278.0</v>
      </c>
      <c r="K234" s="35">
        <v>28091.0</v>
      </c>
      <c r="L234" s="35">
        <v>3098.0</v>
      </c>
      <c r="M234" s="35">
        <v>330497.0</v>
      </c>
      <c r="N234" s="35">
        <v>358588.0</v>
      </c>
      <c r="O234" s="35">
        <v>13.0</v>
      </c>
      <c r="P234" s="37">
        <v>2985.0</v>
      </c>
      <c r="Q234" s="37">
        <v>18.0</v>
      </c>
      <c r="R234" s="37">
        <v>2470.0</v>
      </c>
      <c r="S234" s="37">
        <v>1.0</v>
      </c>
      <c r="T234" s="37">
        <v>382.0</v>
      </c>
      <c r="U234" s="37">
        <v>133.0</v>
      </c>
      <c r="V234" s="37">
        <v>139.0</v>
      </c>
      <c r="W234" s="37">
        <v>13.0</v>
      </c>
      <c r="X234" s="37">
        <v>4.0</v>
      </c>
      <c r="Y234" s="37">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5">
        <v>14062.0</v>
      </c>
      <c r="F235" s="36">
        <v>939250.0</v>
      </c>
      <c r="G235" s="36">
        <v>14425.0</v>
      </c>
      <c r="H235" s="36">
        <v>977986.0</v>
      </c>
      <c r="I235" s="35">
        <v>308.0</v>
      </c>
      <c r="J235" s="35">
        <v>279.0</v>
      </c>
      <c r="K235" s="35">
        <v>28399.0</v>
      </c>
      <c r="L235" s="35">
        <v>2983.0</v>
      </c>
      <c r="M235" s="35">
        <v>333480.0</v>
      </c>
      <c r="N235" s="35">
        <v>361879.0</v>
      </c>
      <c r="O235" s="35">
        <v>19.0</v>
      </c>
      <c r="P235" s="37">
        <v>3004.0</v>
      </c>
      <c r="Q235" s="37">
        <v>11.0</v>
      </c>
      <c r="R235" s="37">
        <v>2481.0</v>
      </c>
      <c r="S235" s="37">
        <v>1.0</v>
      </c>
      <c r="T235" s="37">
        <v>383.0</v>
      </c>
      <c r="U235" s="37">
        <v>140.0</v>
      </c>
      <c r="V235" s="37">
        <v>137.0</v>
      </c>
      <c r="W235" s="37">
        <v>17.0</v>
      </c>
      <c r="X235" s="37">
        <v>4.0</v>
      </c>
      <c r="Y235" s="37">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5">
        <v>4039.0</v>
      </c>
      <c r="F236" s="36">
        <v>943289.0</v>
      </c>
      <c r="G236" s="36">
        <v>4194.0</v>
      </c>
      <c r="H236" s="36">
        <v>982180.0</v>
      </c>
      <c r="I236" s="35">
        <v>125.0</v>
      </c>
      <c r="J236" s="35">
        <v>236.0</v>
      </c>
      <c r="K236" s="35">
        <v>28524.0</v>
      </c>
      <c r="L236" s="35">
        <v>1205.0</v>
      </c>
      <c r="M236" s="35">
        <v>334685.0</v>
      </c>
      <c r="N236" s="35">
        <v>363209.0</v>
      </c>
      <c r="O236" s="35">
        <v>18.0</v>
      </c>
      <c r="P236" s="37">
        <v>3022.0</v>
      </c>
      <c r="Q236" s="37">
        <v>11.0</v>
      </c>
      <c r="R236" s="37">
        <v>2492.0</v>
      </c>
      <c r="S236" s="37">
        <v>0.0</v>
      </c>
      <c r="T236" s="37">
        <v>383.0</v>
      </c>
      <c r="U236" s="37">
        <v>147.0</v>
      </c>
      <c r="V236" s="37">
        <v>140.0</v>
      </c>
      <c r="W236" s="37">
        <v>17.0</v>
      </c>
      <c r="X236" s="37">
        <v>6.0</v>
      </c>
      <c r="Y236" s="37">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5">
        <v>8493.0</v>
      </c>
      <c r="F237" s="36">
        <v>951782.0</v>
      </c>
      <c r="G237" s="36">
        <v>8881.0</v>
      </c>
      <c r="H237" s="36">
        <v>991061.0</v>
      </c>
      <c r="I237" s="35">
        <v>318.0</v>
      </c>
      <c r="J237" s="35">
        <v>250.0</v>
      </c>
      <c r="K237" s="35">
        <v>28842.0</v>
      </c>
      <c r="L237" s="35">
        <v>2387.0</v>
      </c>
      <c r="M237" s="35">
        <v>337072.0</v>
      </c>
      <c r="N237" s="35">
        <v>365914.0</v>
      </c>
      <c r="O237" s="35">
        <v>20.0</v>
      </c>
      <c r="P237" s="37">
        <v>3042.0</v>
      </c>
      <c r="Q237" s="37">
        <v>21.0</v>
      </c>
      <c r="R237" s="37">
        <v>2513.0</v>
      </c>
      <c r="S237" s="37">
        <v>2.0</v>
      </c>
      <c r="T237" s="37">
        <v>385.0</v>
      </c>
      <c r="U237" s="37">
        <v>144.0</v>
      </c>
      <c r="V237" s="37">
        <v>144.0</v>
      </c>
      <c r="W237" s="37">
        <v>15.0</v>
      </c>
      <c r="X237" s="37">
        <v>6.0</v>
      </c>
      <c r="Y237" s="37">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5">
        <v>13246.0</v>
      </c>
      <c r="F238" s="36">
        <v>965028.0</v>
      </c>
      <c r="G238" s="36">
        <v>13686.0</v>
      </c>
      <c r="H238" s="36">
        <v>1004747.0</v>
      </c>
      <c r="I238" s="35">
        <v>383.0</v>
      </c>
      <c r="J238" s="35">
        <v>275.0</v>
      </c>
      <c r="K238" s="35">
        <v>29225.0</v>
      </c>
      <c r="L238" s="35">
        <v>2783.0</v>
      </c>
      <c r="M238" s="35">
        <v>339855.0</v>
      </c>
      <c r="N238" s="35">
        <v>369080.0</v>
      </c>
      <c r="O238" s="35">
        <v>22.0</v>
      </c>
      <c r="P238" s="37">
        <v>3064.0</v>
      </c>
      <c r="Q238" s="37">
        <v>16.0</v>
      </c>
      <c r="R238" s="37">
        <v>2529.0</v>
      </c>
      <c r="S238" s="37">
        <v>0.0</v>
      </c>
      <c r="T238" s="37">
        <v>385.0</v>
      </c>
      <c r="U238" s="37">
        <v>150.0</v>
      </c>
      <c r="V238" s="37">
        <v>147.0</v>
      </c>
      <c r="W238" s="37">
        <v>14.0</v>
      </c>
      <c r="X238" s="37">
        <v>8.0</v>
      </c>
      <c r="Y238" s="37">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5">
        <v>17462.0</v>
      </c>
      <c r="F239" s="36">
        <v>982490.0</v>
      </c>
      <c r="G239" s="36">
        <v>18014.0</v>
      </c>
      <c r="H239" s="36">
        <v>1022761.0</v>
      </c>
      <c r="I239" s="35">
        <v>469.0</v>
      </c>
      <c r="J239" s="35">
        <v>390.0</v>
      </c>
      <c r="K239" s="35">
        <v>29694.0</v>
      </c>
      <c r="L239" s="35">
        <v>3211.0</v>
      </c>
      <c r="M239" s="35">
        <v>343066.0</v>
      </c>
      <c r="N239" s="35">
        <v>372760.0</v>
      </c>
      <c r="O239" s="35">
        <v>23.0</v>
      </c>
      <c r="P239" s="37">
        <v>3087.0</v>
      </c>
      <c r="Q239" s="37">
        <v>8.0</v>
      </c>
      <c r="R239" s="37">
        <v>2537.0</v>
      </c>
      <c r="S239" s="37">
        <v>2.0</v>
      </c>
      <c r="T239" s="37">
        <v>387.0</v>
      </c>
      <c r="U239" s="37">
        <v>163.0</v>
      </c>
      <c r="V239" s="37">
        <v>152.0</v>
      </c>
      <c r="W239" s="37">
        <v>15.0</v>
      </c>
      <c r="X239" s="37">
        <v>9.0</v>
      </c>
      <c r="Y239" s="37">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5">
        <v>15867.0</v>
      </c>
      <c r="F240" s="36">
        <v>998357.0</v>
      </c>
      <c r="G240" s="36">
        <v>16409.0</v>
      </c>
      <c r="H240" s="36">
        <v>1039170.0</v>
      </c>
      <c r="I240" s="35">
        <v>485.0</v>
      </c>
      <c r="J240" s="35">
        <v>446.0</v>
      </c>
      <c r="K240" s="35">
        <v>30179.0</v>
      </c>
      <c r="L240" s="35">
        <v>2946.0</v>
      </c>
      <c r="M240" s="35">
        <v>346012.0</v>
      </c>
      <c r="N240" s="35">
        <v>376191.0</v>
      </c>
      <c r="O240" s="35">
        <v>24.0</v>
      </c>
      <c r="P240" s="37">
        <v>3111.0</v>
      </c>
      <c r="Q240" s="37">
        <v>20.0</v>
      </c>
      <c r="R240" s="37">
        <v>2557.0</v>
      </c>
      <c r="S240" s="37">
        <v>3.0</v>
      </c>
      <c r="T240" s="37">
        <v>390.0</v>
      </c>
      <c r="U240" s="37">
        <v>164.0</v>
      </c>
      <c r="V240" s="37">
        <v>159.0</v>
      </c>
      <c r="W240" s="37">
        <v>14.0</v>
      </c>
      <c r="X240" s="37">
        <v>9.0</v>
      </c>
      <c r="Y240" s="37">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5">
        <v>16638.0</v>
      </c>
      <c r="F241" s="36">
        <v>1014995.0</v>
      </c>
      <c r="G241" s="36">
        <v>17155.0</v>
      </c>
      <c r="H241" s="36">
        <v>1056325.0</v>
      </c>
      <c r="I241" s="35">
        <v>460.0</v>
      </c>
      <c r="J241" s="35">
        <v>471.0</v>
      </c>
      <c r="K241" s="35">
        <v>30639.0</v>
      </c>
      <c r="L241" s="35">
        <v>2623.0</v>
      </c>
      <c r="M241" s="35">
        <v>348635.0</v>
      </c>
      <c r="N241" s="35">
        <v>379274.0</v>
      </c>
      <c r="O241" s="35">
        <v>22.0</v>
      </c>
      <c r="P241" s="37">
        <v>3133.0</v>
      </c>
      <c r="Q241" s="37">
        <v>22.0</v>
      </c>
      <c r="R241" s="37">
        <v>2579.0</v>
      </c>
      <c r="S241" s="37">
        <v>1.0</v>
      </c>
      <c r="T241" s="37">
        <v>391.0</v>
      </c>
      <c r="U241" s="37">
        <v>163.0</v>
      </c>
      <c r="V241" s="37">
        <v>163.0</v>
      </c>
      <c r="W241" s="37">
        <v>15.0</v>
      </c>
      <c r="X241" s="37">
        <v>9.0</v>
      </c>
      <c r="Y241" s="37">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5">
        <v>10254.0</v>
      </c>
      <c r="F242" s="36">
        <v>1025249.0</v>
      </c>
      <c r="G242" s="36">
        <v>10615.0</v>
      </c>
      <c r="H242" s="36">
        <v>1066940.0</v>
      </c>
      <c r="I242" s="35">
        <v>336.0</v>
      </c>
      <c r="J242" s="35">
        <v>427.0</v>
      </c>
      <c r="K242" s="35">
        <v>30975.0</v>
      </c>
      <c r="L242" s="35">
        <v>2088.0</v>
      </c>
      <c r="M242" s="35">
        <v>350723.0</v>
      </c>
      <c r="N242" s="35">
        <v>381698.0</v>
      </c>
      <c r="O242" s="35">
        <v>17.0</v>
      </c>
      <c r="P242" s="37">
        <v>3150.0</v>
      </c>
      <c r="Q242" s="37">
        <v>11.0</v>
      </c>
      <c r="R242" s="37">
        <v>2590.0</v>
      </c>
      <c r="S242" s="37">
        <v>0.0</v>
      </c>
      <c r="T242" s="37">
        <v>391.0</v>
      </c>
      <c r="U242" s="37">
        <v>169.0</v>
      </c>
      <c r="V242" s="37">
        <v>165.0</v>
      </c>
      <c r="W242" s="37">
        <v>14.0</v>
      </c>
      <c r="X242" s="37">
        <v>8.0</v>
      </c>
      <c r="Y242" s="37">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5">
        <v>4765.0</v>
      </c>
      <c r="F243" s="36">
        <v>1030014.0</v>
      </c>
      <c r="G243" s="36">
        <v>5001.0</v>
      </c>
      <c r="H243" s="36">
        <v>1071941.0</v>
      </c>
      <c r="I243" s="35">
        <v>211.0</v>
      </c>
      <c r="J243" s="35">
        <v>336.0</v>
      </c>
      <c r="K243" s="35">
        <v>31186.0</v>
      </c>
      <c r="L243" s="35">
        <v>1341.0</v>
      </c>
      <c r="M243" s="35">
        <v>352064.0</v>
      </c>
      <c r="N243" s="35">
        <v>383250.0</v>
      </c>
      <c r="O243" s="35">
        <v>16.0</v>
      </c>
      <c r="P243" s="37">
        <v>3166.0</v>
      </c>
      <c r="Q243" s="37">
        <v>15.0</v>
      </c>
      <c r="R243" s="37">
        <v>2605.0</v>
      </c>
      <c r="S243" s="37">
        <v>1.0</v>
      </c>
      <c r="T243" s="37">
        <v>392.0</v>
      </c>
      <c r="U243" s="37">
        <v>169.0</v>
      </c>
      <c r="V243" s="37">
        <v>167.0</v>
      </c>
      <c r="W243" s="37">
        <v>15.0</v>
      </c>
      <c r="X243" s="37">
        <v>8.0</v>
      </c>
      <c r="Y243" s="37">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5">
        <v>9173.0</v>
      </c>
      <c r="F244" s="36">
        <v>1039187.0</v>
      </c>
      <c r="G244" s="36">
        <v>9629.0</v>
      </c>
      <c r="H244" s="36">
        <v>1081570.0</v>
      </c>
      <c r="I244" s="35">
        <v>401.0</v>
      </c>
      <c r="J244" s="35">
        <v>316.0</v>
      </c>
      <c r="K244" s="35">
        <v>31587.0</v>
      </c>
      <c r="L244" s="35">
        <v>2758.0</v>
      </c>
      <c r="M244" s="35">
        <v>354822.0</v>
      </c>
      <c r="N244" s="35">
        <v>386409.0</v>
      </c>
      <c r="O244" s="35">
        <v>28.0</v>
      </c>
      <c r="P244" s="37">
        <v>3194.0</v>
      </c>
      <c r="Q244" s="37">
        <v>15.0</v>
      </c>
      <c r="R244" s="37">
        <v>2620.0</v>
      </c>
      <c r="S244" s="37">
        <v>2.0</v>
      </c>
      <c r="T244" s="37">
        <v>394.0</v>
      </c>
      <c r="U244" s="37">
        <v>180.0</v>
      </c>
      <c r="V244" s="37">
        <v>173.0</v>
      </c>
      <c r="W244" s="37">
        <v>18.0</v>
      </c>
      <c r="X244" s="37">
        <v>8.0</v>
      </c>
      <c r="Y244" s="37">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5">
        <v>13996.0</v>
      </c>
      <c r="F245" s="36">
        <v>1053183.0</v>
      </c>
      <c r="G245" s="36">
        <v>14518.0</v>
      </c>
      <c r="H245" s="36">
        <v>1096088.0</v>
      </c>
      <c r="I245" s="35">
        <v>455.0</v>
      </c>
      <c r="J245" s="35">
        <v>356.0</v>
      </c>
      <c r="K245" s="35">
        <v>32042.0</v>
      </c>
      <c r="L245" s="35">
        <v>2220.0</v>
      </c>
      <c r="M245" s="35">
        <v>357042.0</v>
      </c>
      <c r="N245" s="35">
        <v>389084.0</v>
      </c>
      <c r="O245" s="35">
        <v>28.0</v>
      </c>
      <c r="P245" s="37">
        <v>3222.0</v>
      </c>
      <c r="Q245" s="37">
        <v>14.0</v>
      </c>
      <c r="R245" s="37">
        <v>2634.0</v>
      </c>
      <c r="S245" s="37">
        <v>2.0</v>
      </c>
      <c r="T245" s="37">
        <v>396.0</v>
      </c>
      <c r="U245" s="37">
        <v>192.0</v>
      </c>
      <c r="V245" s="37">
        <v>180.0</v>
      </c>
      <c r="W245" s="37">
        <v>18.0</v>
      </c>
      <c r="X245" s="37">
        <v>9.0</v>
      </c>
      <c r="Y245" s="37">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5">
        <v>15228.0</v>
      </c>
      <c r="F246" s="36">
        <v>1068411.0</v>
      </c>
      <c r="G246" s="36">
        <v>15697.0</v>
      </c>
      <c r="H246" s="36">
        <v>1111785.0</v>
      </c>
      <c r="I246" s="35">
        <v>410.0</v>
      </c>
      <c r="J246" s="35">
        <v>422.0</v>
      </c>
      <c r="K246" s="35">
        <v>32452.0</v>
      </c>
      <c r="L246" s="35">
        <v>2494.0</v>
      </c>
      <c r="M246" s="35">
        <v>359536.0</v>
      </c>
      <c r="N246" s="35">
        <v>391988.0</v>
      </c>
      <c r="O246" s="35">
        <v>24.0</v>
      </c>
      <c r="P246" s="37">
        <v>3246.0</v>
      </c>
      <c r="Q246" s="37">
        <v>25.0</v>
      </c>
      <c r="R246" s="37">
        <v>2659.0</v>
      </c>
      <c r="S246" s="37">
        <v>1.0</v>
      </c>
      <c r="T246" s="37">
        <v>397.0</v>
      </c>
      <c r="U246" s="37">
        <v>190.0</v>
      </c>
      <c r="V246" s="37">
        <v>187.0</v>
      </c>
      <c r="W246" s="37">
        <v>17.0</v>
      </c>
      <c r="X246" s="37">
        <v>9.0</v>
      </c>
      <c r="Y246" s="37">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5">
        <v>16262.0</v>
      </c>
      <c r="F247" s="36">
        <v>1084673.0</v>
      </c>
      <c r="G247" s="36">
        <v>16874.0</v>
      </c>
      <c r="H247" s="36">
        <v>1128659.0</v>
      </c>
      <c r="I247" s="35">
        <v>527.0</v>
      </c>
      <c r="J247" s="35">
        <v>464.0</v>
      </c>
      <c r="K247" s="35">
        <v>32979.0</v>
      </c>
      <c r="L247" s="35">
        <v>2926.0</v>
      </c>
      <c r="M247" s="35">
        <v>362462.0</v>
      </c>
      <c r="N247" s="35">
        <v>395441.0</v>
      </c>
      <c r="O247" s="35">
        <v>20.0</v>
      </c>
      <c r="P247" s="37">
        <v>3266.0</v>
      </c>
      <c r="Q247" s="37">
        <v>22.0</v>
      </c>
      <c r="R247" s="37">
        <v>2681.0</v>
      </c>
      <c r="S247" s="37">
        <v>3.0</v>
      </c>
      <c r="T247" s="37">
        <v>400.0</v>
      </c>
      <c r="U247" s="37">
        <v>185.0</v>
      </c>
      <c r="V247" s="37">
        <v>189.0</v>
      </c>
      <c r="W247" s="37">
        <v>19.0</v>
      </c>
      <c r="X247" s="37">
        <v>11.0</v>
      </c>
      <c r="Y247" s="37">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5">
        <v>14866.0</v>
      </c>
      <c r="F248" s="36">
        <v>1099539.0</v>
      </c>
      <c r="G248" s="36">
        <v>15431.0</v>
      </c>
      <c r="H248" s="36">
        <v>1144090.0</v>
      </c>
      <c r="I248" s="35">
        <v>471.0</v>
      </c>
      <c r="J248" s="35">
        <v>469.0</v>
      </c>
      <c r="K248" s="35">
        <v>33450.0</v>
      </c>
      <c r="L248" s="35">
        <v>2740.0</v>
      </c>
      <c r="M248" s="35">
        <v>365202.0</v>
      </c>
      <c r="N248" s="35">
        <v>398652.0</v>
      </c>
      <c r="O248" s="35">
        <v>21.0</v>
      </c>
      <c r="P248" s="37">
        <v>3287.0</v>
      </c>
      <c r="Q248" s="37">
        <v>21.0</v>
      </c>
      <c r="R248" s="37">
        <v>2702.0</v>
      </c>
      <c r="S248" s="37">
        <v>5.0</v>
      </c>
      <c r="T248" s="37">
        <v>405.0</v>
      </c>
      <c r="U248" s="37">
        <v>180.0</v>
      </c>
      <c r="V248" s="37">
        <v>185.0</v>
      </c>
      <c r="W248" s="37">
        <v>19.0</v>
      </c>
      <c r="X248" s="37">
        <v>9.0</v>
      </c>
      <c r="Y248" s="37">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5">
        <v>11821.0</v>
      </c>
      <c r="F249" s="36">
        <v>1111360.0</v>
      </c>
      <c r="G249" s="36">
        <v>12423.0</v>
      </c>
      <c r="H249" s="36">
        <v>1156513.0</v>
      </c>
      <c r="I249" s="35">
        <v>486.0</v>
      </c>
      <c r="J249" s="35">
        <v>495.0</v>
      </c>
      <c r="K249" s="35">
        <v>33936.0</v>
      </c>
      <c r="L249" s="35">
        <v>2255.0</v>
      </c>
      <c r="M249" s="35">
        <v>367457.0</v>
      </c>
      <c r="N249" s="35">
        <v>401393.0</v>
      </c>
      <c r="O249" s="35">
        <v>32.0</v>
      </c>
      <c r="P249" s="37">
        <v>3319.0</v>
      </c>
      <c r="Q249" s="37">
        <v>13.0</v>
      </c>
      <c r="R249" s="37">
        <v>2715.0</v>
      </c>
      <c r="S249" s="37">
        <v>1.0</v>
      </c>
      <c r="T249" s="37">
        <v>406.0</v>
      </c>
      <c r="U249" s="37">
        <v>198.0</v>
      </c>
      <c r="V249" s="37">
        <v>188.0</v>
      </c>
      <c r="W249" s="37">
        <v>23.0</v>
      </c>
      <c r="X249" s="37">
        <v>10.0</v>
      </c>
      <c r="Y249" s="37">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5">
        <v>5092.0</v>
      </c>
      <c r="F250" s="36">
        <v>1116452.0</v>
      </c>
      <c r="G250" s="36">
        <v>5422.0</v>
      </c>
      <c r="H250" s="36">
        <v>1161935.0</v>
      </c>
      <c r="I250" s="35">
        <v>275.0</v>
      </c>
      <c r="J250" s="35">
        <v>411.0</v>
      </c>
      <c r="K250" s="35">
        <v>34211.0</v>
      </c>
      <c r="L250" s="35">
        <v>1167.0</v>
      </c>
      <c r="M250" s="35">
        <v>368624.0</v>
      </c>
      <c r="N250" s="35">
        <v>402835.0</v>
      </c>
      <c r="O250" s="35">
        <v>22.0</v>
      </c>
      <c r="P250" s="37">
        <v>3341.0</v>
      </c>
      <c r="Q250" s="37">
        <v>15.0</v>
      </c>
      <c r="R250" s="37">
        <v>2730.0</v>
      </c>
      <c r="S250" s="37">
        <v>1.0</v>
      </c>
      <c r="T250" s="37">
        <v>407.0</v>
      </c>
      <c r="U250" s="37">
        <v>204.0</v>
      </c>
      <c r="V250" s="37">
        <v>194.0</v>
      </c>
      <c r="W250" s="37">
        <v>27.0</v>
      </c>
      <c r="X250" s="37">
        <v>13.0</v>
      </c>
      <c r="Y250" s="37">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5">
        <v>9935.0</v>
      </c>
      <c r="F251" s="36">
        <v>1126387.0</v>
      </c>
      <c r="G251" s="36">
        <v>10460.0</v>
      </c>
      <c r="H251" s="36">
        <v>1172395.0</v>
      </c>
      <c r="I251" s="35">
        <v>456.0</v>
      </c>
      <c r="J251" s="35">
        <v>406.0</v>
      </c>
      <c r="K251" s="35">
        <v>34667.0</v>
      </c>
      <c r="L251" s="35">
        <v>2744.0</v>
      </c>
      <c r="M251" s="35">
        <v>371368.0</v>
      </c>
      <c r="N251" s="35">
        <v>406035.0</v>
      </c>
      <c r="O251" s="35">
        <v>38.0</v>
      </c>
      <c r="P251" s="37">
        <v>3379.0</v>
      </c>
      <c r="Q251" s="37">
        <v>27.0</v>
      </c>
      <c r="R251" s="37">
        <v>2757.0</v>
      </c>
      <c r="S251" s="37">
        <v>3.0</v>
      </c>
      <c r="T251" s="37">
        <v>410.0</v>
      </c>
      <c r="U251" s="37">
        <v>212.0</v>
      </c>
      <c r="V251" s="37">
        <v>205.0</v>
      </c>
      <c r="W251" s="37">
        <v>25.0</v>
      </c>
      <c r="X251" s="37">
        <v>13.0</v>
      </c>
      <c r="Y251" s="37">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5">
        <v>13041.0</v>
      </c>
      <c r="F252" s="36">
        <v>1139428.0</v>
      </c>
      <c r="G252" s="36">
        <v>13642.0</v>
      </c>
      <c r="H252" s="36">
        <v>1186037.0</v>
      </c>
      <c r="I252" s="35">
        <v>529.0</v>
      </c>
      <c r="J252" s="35">
        <v>420.0</v>
      </c>
      <c r="K252" s="35">
        <v>35196.0</v>
      </c>
      <c r="L252" s="35">
        <v>2323.0</v>
      </c>
      <c r="M252" s="35">
        <v>373691.0</v>
      </c>
      <c r="N252" s="35">
        <v>408887.0</v>
      </c>
      <c r="O252" s="35">
        <v>33.0</v>
      </c>
      <c r="P252" s="37">
        <v>3412.0</v>
      </c>
      <c r="Q252" s="37">
        <v>25.0</v>
      </c>
      <c r="R252" s="37">
        <v>2782.0</v>
      </c>
      <c r="S252" s="37">
        <v>1.0</v>
      </c>
      <c r="T252" s="37">
        <v>411.0</v>
      </c>
      <c r="U252" s="37">
        <v>219.0</v>
      </c>
      <c r="V252" s="37">
        <v>212.0</v>
      </c>
      <c r="W252" s="37">
        <v>25.0</v>
      </c>
      <c r="X252" s="37">
        <v>13.0</v>
      </c>
      <c r="Y252" s="37">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5">
        <v>16106.0</v>
      </c>
      <c r="F253" s="36">
        <v>1155534.0</v>
      </c>
      <c r="G253" s="36">
        <v>16795.0</v>
      </c>
      <c r="H253" s="36">
        <v>1202832.0</v>
      </c>
      <c r="I253" s="35">
        <v>639.0</v>
      </c>
      <c r="J253" s="35">
        <v>541.0</v>
      </c>
      <c r="K253" s="35">
        <v>35835.0</v>
      </c>
      <c r="L253" s="35">
        <v>2720.0</v>
      </c>
      <c r="M253" s="35">
        <v>376411.0</v>
      </c>
      <c r="N253" s="35">
        <v>412246.0</v>
      </c>
      <c r="O253" s="35">
        <v>32.0</v>
      </c>
      <c r="P253" s="37">
        <v>3444.0</v>
      </c>
      <c r="Q253" s="37">
        <v>25.0</v>
      </c>
      <c r="R253" s="37">
        <v>2807.0</v>
      </c>
      <c r="S253" s="37">
        <v>2.0</v>
      </c>
      <c r="T253" s="37">
        <v>413.0</v>
      </c>
      <c r="U253" s="37">
        <v>224.0</v>
      </c>
      <c r="V253" s="37">
        <v>218.0</v>
      </c>
      <c r="W253" s="37">
        <v>26.0</v>
      </c>
      <c r="X253" s="37">
        <v>12.0</v>
      </c>
      <c r="Y253" s="37">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5">
        <v>16597.0</v>
      </c>
      <c r="F254" s="36">
        <v>1172131.0</v>
      </c>
      <c r="G254" s="36">
        <v>17365.0</v>
      </c>
      <c r="H254" s="36">
        <v>1220197.0</v>
      </c>
      <c r="I254" s="35">
        <v>682.0</v>
      </c>
      <c r="J254" s="35">
        <v>617.0</v>
      </c>
      <c r="K254" s="35">
        <v>36517.0</v>
      </c>
      <c r="L254" s="35">
        <v>2644.0</v>
      </c>
      <c r="M254" s="35">
        <v>379055.0</v>
      </c>
      <c r="N254" s="35">
        <v>415572.0</v>
      </c>
      <c r="O254" s="35">
        <v>46.0</v>
      </c>
      <c r="P254" s="37">
        <v>3490.0</v>
      </c>
      <c r="Q254" s="37">
        <v>35.0</v>
      </c>
      <c r="R254" s="37">
        <v>2842.0</v>
      </c>
      <c r="S254" s="37">
        <v>1.0</v>
      </c>
      <c r="T254" s="37">
        <v>414.0</v>
      </c>
      <c r="U254" s="37">
        <v>234.0</v>
      </c>
      <c r="V254" s="37">
        <v>226.0</v>
      </c>
      <c r="W254" s="37">
        <v>25.0</v>
      </c>
      <c r="X254" s="37">
        <v>14.0</v>
      </c>
      <c r="Y254" s="37">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5">
        <v>16029.0</v>
      </c>
      <c r="F255" s="36">
        <v>1188160.0</v>
      </c>
      <c r="G255" s="36">
        <v>16803.0</v>
      </c>
      <c r="H255" s="36">
        <v>1237000.0</v>
      </c>
      <c r="I255" s="35">
        <v>692.0</v>
      </c>
      <c r="J255" s="35">
        <v>671.0</v>
      </c>
      <c r="K255" s="35">
        <v>37209.0</v>
      </c>
      <c r="L255" s="35">
        <v>2829.0</v>
      </c>
      <c r="M255" s="35">
        <v>381884.0</v>
      </c>
      <c r="N255" s="35">
        <v>419093.0</v>
      </c>
      <c r="O255" s="35">
        <v>43.0</v>
      </c>
      <c r="P255" s="37">
        <v>3533.0</v>
      </c>
      <c r="Q255" s="37">
        <v>31.0</v>
      </c>
      <c r="R255" s="37">
        <v>2873.0</v>
      </c>
      <c r="S255" s="37">
        <v>1.0</v>
      </c>
      <c r="T255" s="37">
        <v>415.0</v>
      </c>
      <c r="U255" s="37">
        <v>245.0</v>
      </c>
      <c r="V255" s="37">
        <v>234.0</v>
      </c>
      <c r="W255" s="37">
        <v>29.0</v>
      </c>
      <c r="X255" s="37">
        <v>17.0</v>
      </c>
      <c r="Y255" s="37">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5">
        <v>13652.0</v>
      </c>
      <c r="F256" s="36">
        <v>1201812.0</v>
      </c>
      <c r="G256" s="36">
        <v>14255.0</v>
      </c>
      <c r="H256" s="36">
        <v>1251255.0</v>
      </c>
      <c r="I256" s="35">
        <v>575.0</v>
      </c>
      <c r="J256" s="35">
        <v>650.0</v>
      </c>
      <c r="K256" s="35">
        <v>37784.0</v>
      </c>
      <c r="L256" s="35">
        <v>2293.0</v>
      </c>
      <c r="M256" s="35">
        <v>384177.0</v>
      </c>
      <c r="N256" s="35">
        <v>421961.0</v>
      </c>
      <c r="O256" s="35">
        <v>34.0</v>
      </c>
      <c r="P256" s="37">
        <v>3567.0</v>
      </c>
      <c r="Q256" s="37">
        <v>25.0</v>
      </c>
      <c r="R256" s="37">
        <v>2898.0</v>
      </c>
      <c r="S256" s="37">
        <v>1.0</v>
      </c>
      <c r="T256" s="37">
        <v>416.0</v>
      </c>
      <c r="U256" s="37">
        <v>253.0</v>
      </c>
      <c r="V256" s="37">
        <v>244.0</v>
      </c>
      <c r="W256" s="37">
        <v>32.0</v>
      </c>
      <c r="X256" s="37">
        <v>18.0</v>
      </c>
      <c r="Y256" s="37">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5">
        <v>4168.0</v>
      </c>
      <c r="F257" s="36">
        <v>1205980.0</v>
      </c>
      <c r="G257" s="36">
        <v>4505.0</v>
      </c>
      <c r="H257" s="36">
        <v>1255760.0</v>
      </c>
      <c r="I257" s="35">
        <v>326.0</v>
      </c>
      <c r="J257" s="35">
        <v>531.0</v>
      </c>
      <c r="K257" s="35">
        <v>38110.0</v>
      </c>
      <c r="L257" s="35">
        <v>1197.0</v>
      </c>
      <c r="M257" s="35">
        <v>385374.0</v>
      </c>
      <c r="N257" s="35">
        <v>423484.0</v>
      </c>
      <c r="O257" s="35">
        <v>33.0</v>
      </c>
      <c r="P257" s="37">
        <v>3600.0</v>
      </c>
      <c r="Q257" s="37">
        <v>26.0</v>
      </c>
      <c r="R257" s="37">
        <v>2924.0</v>
      </c>
      <c r="S257" s="37">
        <v>1.0</v>
      </c>
      <c r="T257" s="37">
        <v>417.0</v>
      </c>
      <c r="U257" s="37">
        <v>259.0</v>
      </c>
      <c r="V257" s="37">
        <v>252.0</v>
      </c>
      <c r="W257" s="37">
        <v>31.0</v>
      </c>
      <c r="X257" s="37">
        <v>19.0</v>
      </c>
      <c r="Y257" s="37">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5">
        <v>9063.0</v>
      </c>
      <c r="F258" s="36">
        <v>1215043.0</v>
      </c>
      <c r="G258" s="36">
        <v>9872.0</v>
      </c>
      <c r="H258" s="36">
        <v>1265632.0</v>
      </c>
      <c r="I258" s="35">
        <v>763.0</v>
      </c>
      <c r="J258" s="35">
        <v>555.0</v>
      </c>
      <c r="K258" s="35">
        <v>38873.0</v>
      </c>
      <c r="L258" s="35">
        <v>2161.0</v>
      </c>
      <c r="M258" s="35">
        <v>387535.0</v>
      </c>
      <c r="N258" s="35">
        <v>426408.0</v>
      </c>
      <c r="O258" s="35">
        <v>39.0</v>
      </c>
      <c r="P258" s="37">
        <v>3639.0</v>
      </c>
      <c r="Q258" s="37">
        <v>33.0</v>
      </c>
      <c r="R258" s="37">
        <v>2957.0</v>
      </c>
      <c r="S258" s="37">
        <v>2.0</v>
      </c>
      <c r="T258" s="37">
        <v>419.0</v>
      </c>
      <c r="U258" s="37">
        <v>263.0</v>
      </c>
      <c r="V258" s="37">
        <v>258.0</v>
      </c>
      <c r="W258" s="37">
        <v>29.0</v>
      </c>
      <c r="X258" s="37">
        <v>18.0</v>
      </c>
      <c r="Y258" s="37">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5">
        <v>12983.0</v>
      </c>
      <c r="F259" s="36">
        <v>1228026.0</v>
      </c>
      <c r="G259" s="36">
        <v>14041.0</v>
      </c>
      <c r="H259" s="36">
        <v>1279673.0</v>
      </c>
      <c r="I259" s="35">
        <v>980.0</v>
      </c>
      <c r="J259" s="35">
        <v>690.0</v>
      </c>
      <c r="K259" s="35">
        <v>39853.0</v>
      </c>
      <c r="L259" s="35">
        <v>2677.0</v>
      </c>
      <c r="M259" s="35">
        <v>390212.0</v>
      </c>
      <c r="N259" s="35">
        <v>430065.0</v>
      </c>
      <c r="O259" s="35">
        <v>44.0</v>
      </c>
      <c r="P259" s="37">
        <v>3683.0</v>
      </c>
      <c r="Q259" s="37">
        <v>35.0</v>
      </c>
      <c r="R259" s="37">
        <v>2992.0</v>
      </c>
      <c r="S259" s="37">
        <v>0.0</v>
      </c>
      <c r="T259" s="37">
        <v>419.0</v>
      </c>
      <c r="U259" s="37">
        <v>272.0</v>
      </c>
      <c r="V259" s="37">
        <v>265.0</v>
      </c>
      <c r="W259" s="37">
        <v>32.0</v>
      </c>
      <c r="X259" s="37">
        <v>18.0</v>
      </c>
      <c r="Y259" s="37">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5">
        <v>19821.0</v>
      </c>
      <c r="F260" s="36">
        <v>1247847.0</v>
      </c>
      <c r="G260" s="36">
        <v>20917.0</v>
      </c>
      <c r="H260" s="36">
        <v>1300590.0</v>
      </c>
      <c r="I260" s="35">
        <v>1004.0</v>
      </c>
      <c r="J260" s="35">
        <v>916.0</v>
      </c>
      <c r="K260" s="35">
        <v>40857.0</v>
      </c>
      <c r="L260" s="35">
        <v>2485.0</v>
      </c>
      <c r="M260" s="35">
        <v>392697.0</v>
      </c>
      <c r="N260" s="35">
        <v>433554.0</v>
      </c>
      <c r="O260" s="35">
        <v>41.0</v>
      </c>
      <c r="P260" s="37">
        <v>3724.0</v>
      </c>
      <c r="Q260" s="37">
        <v>24.0</v>
      </c>
      <c r="R260" s="37">
        <v>3016.0</v>
      </c>
      <c r="S260" s="37">
        <v>5.0</v>
      </c>
      <c r="T260" s="37">
        <v>424.0</v>
      </c>
      <c r="U260" s="37">
        <v>284.0</v>
      </c>
      <c r="V260" s="37">
        <v>273.0</v>
      </c>
      <c r="W260" s="37">
        <v>31.0</v>
      </c>
      <c r="X260" s="37">
        <v>15.0</v>
      </c>
      <c r="Y260" s="37">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5">
        <v>13917.0</v>
      </c>
      <c r="F261" s="36">
        <v>1261764.0</v>
      </c>
      <c r="G261" s="36">
        <v>14815.0</v>
      </c>
      <c r="H261" s="36">
        <v>1315405.0</v>
      </c>
      <c r="I261" s="35">
        <v>812.0</v>
      </c>
      <c r="J261" s="35">
        <v>932.0</v>
      </c>
      <c r="K261" s="35">
        <v>41669.0</v>
      </c>
      <c r="L261" s="35">
        <v>2058.0</v>
      </c>
      <c r="M261" s="35">
        <v>394755.0</v>
      </c>
      <c r="N261" s="35">
        <v>436424.0</v>
      </c>
      <c r="O261" s="35">
        <v>39.0</v>
      </c>
      <c r="P261" s="37">
        <v>3763.0</v>
      </c>
      <c r="Q261" s="37">
        <v>31.0</v>
      </c>
      <c r="R261" s="37">
        <v>3047.0</v>
      </c>
      <c r="S261" s="37">
        <v>3.0</v>
      </c>
      <c r="T261" s="37">
        <v>427.0</v>
      </c>
      <c r="U261" s="37">
        <v>289.0</v>
      </c>
      <c r="V261" s="37">
        <v>282.0</v>
      </c>
      <c r="W261" s="37">
        <v>29.0</v>
      </c>
      <c r="X261" s="37">
        <v>15.0</v>
      </c>
      <c r="Y261" s="37">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5">
        <v>16393.0</v>
      </c>
      <c r="F262" s="36">
        <v>1278157.0</v>
      </c>
      <c r="G262" s="36">
        <v>17583.0</v>
      </c>
      <c r="H262" s="36">
        <v>1332988.0</v>
      </c>
      <c r="I262" s="35">
        <v>1113.0</v>
      </c>
      <c r="J262" s="35">
        <v>976.0</v>
      </c>
      <c r="K262" s="35">
        <v>42782.0</v>
      </c>
      <c r="L262" s="35">
        <v>2881.0</v>
      </c>
      <c r="M262" s="35">
        <v>397636.0</v>
      </c>
      <c r="N262" s="35">
        <v>440418.0</v>
      </c>
      <c r="O262" s="35">
        <v>41.0</v>
      </c>
      <c r="P262" s="37">
        <v>3804.0</v>
      </c>
      <c r="Q262" s="37">
        <v>31.0</v>
      </c>
      <c r="R262" s="37">
        <v>3078.0</v>
      </c>
      <c r="S262" s="37">
        <v>0.0</v>
      </c>
      <c r="T262" s="37">
        <v>427.0</v>
      </c>
      <c r="U262" s="37">
        <v>299.0</v>
      </c>
      <c r="V262" s="37">
        <v>291.0</v>
      </c>
      <c r="W262" s="37">
        <v>28.0</v>
      </c>
      <c r="X262" s="37">
        <v>15.0</v>
      </c>
      <c r="Y262" s="37">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5">
        <v>13527.0</v>
      </c>
      <c r="F263" s="36">
        <v>1291684.0</v>
      </c>
      <c r="G263" s="36">
        <v>14329.0</v>
      </c>
      <c r="H263" s="36">
        <v>1347317.0</v>
      </c>
      <c r="I263" s="35">
        <v>738.0</v>
      </c>
      <c r="J263" s="35">
        <v>888.0</v>
      </c>
      <c r="K263" s="35">
        <v>43520.0</v>
      </c>
      <c r="L263" s="35">
        <v>2308.0</v>
      </c>
      <c r="M263" s="35">
        <v>399944.0</v>
      </c>
      <c r="N263" s="35">
        <v>443464.0</v>
      </c>
      <c r="O263" s="35">
        <v>41.0</v>
      </c>
      <c r="P263" s="37">
        <v>3845.0</v>
      </c>
      <c r="Q263" s="37">
        <v>25.0</v>
      </c>
      <c r="R263" s="37">
        <v>3103.0</v>
      </c>
      <c r="S263" s="37">
        <v>5.0</v>
      </c>
      <c r="T263" s="37">
        <v>432.0</v>
      </c>
      <c r="U263" s="37">
        <v>310.0</v>
      </c>
      <c r="V263" s="37">
        <v>299.0</v>
      </c>
      <c r="W263" s="37">
        <v>26.0</v>
      </c>
      <c r="X263" s="37">
        <v>13.0</v>
      </c>
      <c r="Y263" s="37">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5">
        <v>6178.0</v>
      </c>
      <c r="F264" s="36">
        <v>1297862.0</v>
      </c>
      <c r="G264" s="36">
        <v>6762.0</v>
      </c>
      <c r="H264" s="36">
        <v>1354079.0</v>
      </c>
      <c r="I264" s="35">
        <v>499.0</v>
      </c>
      <c r="J264" s="35">
        <v>783.0</v>
      </c>
      <c r="K264" s="35">
        <v>44019.0</v>
      </c>
      <c r="L264" s="35">
        <v>1337.0</v>
      </c>
      <c r="M264" s="35">
        <v>401281.0</v>
      </c>
      <c r="N264" s="35">
        <v>445300.0</v>
      </c>
      <c r="O264" s="35">
        <v>47.0</v>
      </c>
      <c r="P264" s="37">
        <v>3892.0</v>
      </c>
      <c r="Q264" s="37">
        <v>20.0</v>
      </c>
      <c r="R264" s="37">
        <v>3123.0</v>
      </c>
      <c r="S264" s="37">
        <v>5.0</v>
      </c>
      <c r="T264" s="37">
        <v>437.0</v>
      </c>
      <c r="U264" s="37">
        <v>332.0</v>
      </c>
      <c r="V264" s="37">
        <v>314.0</v>
      </c>
      <c r="W264" s="37">
        <v>29.0</v>
      </c>
      <c r="X264" s="37">
        <v>11.0</v>
      </c>
      <c r="Y264" s="37">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5">
        <v>9650.0</v>
      </c>
      <c r="F265" s="36">
        <v>1307512.0</v>
      </c>
      <c r="G265" s="36">
        <v>10398.0</v>
      </c>
      <c r="H265" s="36">
        <v>1364477.0</v>
      </c>
      <c r="I265" s="35">
        <v>672.0</v>
      </c>
      <c r="J265" s="35">
        <v>636.0</v>
      </c>
      <c r="K265" s="35">
        <v>44691.0</v>
      </c>
      <c r="L265" s="35">
        <v>2484.0</v>
      </c>
      <c r="M265" s="35">
        <v>403765.0</v>
      </c>
      <c r="N265" s="35">
        <v>448456.0</v>
      </c>
      <c r="O265" s="35">
        <v>56.0</v>
      </c>
      <c r="P265" s="37">
        <v>3948.0</v>
      </c>
      <c r="Q265" s="37">
        <v>39.0</v>
      </c>
      <c r="R265" s="37">
        <v>3162.0</v>
      </c>
      <c r="S265" s="37">
        <v>3.0</v>
      </c>
      <c r="T265" s="37">
        <v>440.0</v>
      </c>
      <c r="U265" s="37">
        <v>346.0</v>
      </c>
      <c r="V265" s="37">
        <v>329.0</v>
      </c>
      <c r="W265" s="37">
        <v>27.0</v>
      </c>
      <c r="X265" s="37">
        <v>13.0</v>
      </c>
      <c r="Y265" s="37">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5">
        <v>18179.0</v>
      </c>
      <c r="F266" s="36">
        <v>1325691.0</v>
      </c>
      <c r="G266" s="36">
        <v>19748.0</v>
      </c>
      <c r="H266" s="36">
        <v>1384225.0</v>
      </c>
      <c r="I266" s="35">
        <v>1400.0</v>
      </c>
      <c r="J266" s="35">
        <v>857.0</v>
      </c>
      <c r="K266" s="35">
        <v>46091.0</v>
      </c>
      <c r="L266" s="35">
        <v>3858.0</v>
      </c>
      <c r="M266" s="35">
        <v>407623.0</v>
      </c>
      <c r="N266" s="35">
        <v>453714.0</v>
      </c>
      <c r="O266" s="35">
        <v>58.0</v>
      </c>
      <c r="P266" s="37">
        <v>4006.0</v>
      </c>
      <c r="Q266" s="37">
        <v>44.0</v>
      </c>
      <c r="R266" s="37">
        <v>3206.0</v>
      </c>
      <c r="S266" s="37">
        <v>2.0</v>
      </c>
      <c r="T266" s="37">
        <v>442.0</v>
      </c>
      <c r="U266" s="37">
        <v>358.0</v>
      </c>
      <c r="V266" s="37">
        <v>345.0</v>
      </c>
      <c r="W266" s="37">
        <v>31.0</v>
      </c>
      <c r="X266" s="37">
        <v>13.0</v>
      </c>
      <c r="Y266" s="37">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5">
        <v>16079.0</v>
      </c>
      <c r="F267" s="36">
        <v>1341770.0</v>
      </c>
      <c r="G267" s="36">
        <v>17225.0</v>
      </c>
      <c r="H267" s="36">
        <v>1401450.0</v>
      </c>
      <c r="I267" s="35">
        <v>1022.0</v>
      </c>
      <c r="J267" s="35">
        <v>1031.0</v>
      </c>
      <c r="K267" s="35">
        <v>47113.0</v>
      </c>
      <c r="L267" s="35">
        <v>3009.0</v>
      </c>
      <c r="M267" s="35">
        <v>410632.0</v>
      </c>
      <c r="N267" s="35">
        <v>457745.0</v>
      </c>
      <c r="O267" s="35">
        <v>39.0</v>
      </c>
      <c r="P267" s="37">
        <v>4045.0</v>
      </c>
      <c r="Q267" s="37">
        <v>38.0</v>
      </c>
      <c r="R267" s="37">
        <v>3244.0</v>
      </c>
      <c r="S267" s="37">
        <v>5.0</v>
      </c>
      <c r="T267" s="37">
        <v>447.0</v>
      </c>
      <c r="U267" s="37">
        <v>354.0</v>
      </c>
      <c r="V267" s="37">
        <v>353.0</v>
      </c>
      <c r="W267" s="37">
        <v>30.0</v>
      </c>
      <c r="X267" s="37">
        <v>15.0</v>
      </c>
      <c r="Y267" s="37">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5">
        <v>13186.0</v>
      </c>
      <c r="F268" s="36">
        <v>1354956.0</v>
      </c>
      <c r="G268" s="36">
        <v>14325.0</v>
      </c>
      <c r="H268" s="36">
        <v>1415775.0</v>
      </c>
      <c r="I268" s="35">
        <v>1034.0</v>
      </c>
      <c r="J268" s="35">
        <v>1152.0</v>
      </c>
      <c r="K268" s="35">
        <v>48147.0</v>
      </c>
      <c r="L268" s="35">
        <v>3167.0</v>
      </c>
      <c r="M268" s="35">
        <v>413799.0</v>
      </c>
      <c r="N268" s="35">
        <v>461946.0</v>
      </c>
      <c r="O268" s="35">
        <v>47.0</v>
      </c>
      <c r="P268" s="37">
        <v>4092.0</v>
      </c>
      <c r="Q268" s="37">
        <v>42.0</v>
      </c>
      <c r="R268" s="37">
        <v>3286.0</v>
      </c>
      <c r="S268" s="37">
        <v>4.0</v>
      </c>
      <c r="T268" s="37">
        <v>451.0</v>
      </c>
      <c r="U268" s="37">
        <v>355.0</v>
      </c>
      <c r="V268" s="37">
        <v>356.0</v>
      </c>
      <c r="W268" s="37">
        <v>31.0</v>
      </c>
      <c r="X268" s="37">
        <v>18.0</v>
      </c>
      <c r="Y268" s="37">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5">
        <v>22228.0</v>
      </c>
      <c r="F269" s="36">
        <v>1377184.0</v>
      </c>
      <c r="G269" s="36">
        <v>23691.0</v>
      </c>
      <c r="H269" s="36">
        <v>1439466.0</v>
      </c>
      <c r="I269" s="35">
        <v>1307.0</v>
      </c>
      <c r="J269" s="35">
        <v>1121.0</v>
      </c>
      <c r="K269" s="35">
        <v>49454.0</v>
      </c>
      <c r="L269" s="35">
        <v>4069.0</v>
      </c>
      <c r="M269" s="35">
        <v>417868.0</v>
      </c>
      <c r="N269" s="35">
        <v>467322.0</v>
      </c>
      <c r="O269" s="35">
        <v>48.0</v>
      </c>
      <c r="P269" s="37">
        <v>4140.0</v>
      </c>
      <c r="Q269" s="37">
        <v>47.0</v>
      </c>
      <c r="R269" s="37">
        <v>3333.0</v>
      </c>
      <c r="S269" s="37">
        <v>3.0</v>
      </c>
      <c r="T269" s="37">
        <v>454.0</v>
      </c>
      <c r="U269" s="37">
        <v>353.0</v>
      </c>
      <c r="V269" s="37">
        <v>354.0</v>
      </c>
      <c r="W269" s="37">
        <v>34.0</v>
      </c>
      <c r="X269" s="37">
        <v>14.0</v>
      </c>
      <c r="Y269" s="37">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5">
        <v>17381.0</v>
      </c>
      <c r="F270" s="36">
        <v>1394565.0</v>
      </c>
      <c r="G270" s="36">
        <v>18234.0</v>
      </c>
      <c r="H270" s="36">
        <v>1457700.0</v>
      </c>
      <c r="I270" s="35">
        <v>755.0</v>
      </c>
      <c r="J270" s="35">
        <v>1032.0</v>
      </c>
      <c r="K270" s="35">
        <v>50209.0</v>
      </c>
      <c r="L270" s="35">
        <v>2956.0</v>
      </c>
      <c r="M270" s="35">
        <v>420824.0</v>
      </c>
      <c r="N270" s="35">
        <v>471033.0</v>
      </c>
      <c r="O270" s="35">
        <v>42.0</v>
      </c>
      <c r="P270" s="37">
        <v>4182.0</v>
      </c>
      <c r="Q270" s="37">
        <v>33.0</v>
      </c>
      <c r="R270" s="37">
        <v>3366.0</v>
      </c>
      <c r="S270" s="37">
        <v>5.0</v>
      </c>
      <c r="T270" s="37">
        <v>459.0</v>
      </c>
      <c r="U270" s="37">
        <v>357.0</v>
      </c>
      <c r="V270" s="37">
        <v>355.0</v>
      </c>
      <c r="W270" s="37">
        <v>36.0</v>
      </c>
      <c r="X270" s="37">
        <v>14.0</v>
      </c>
      <c r="Y270" s="37">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5">
        <v>7525.0</v>
      </c>
      <c r="F271" s="36">
        <v>1402090.0</v>
      </c>
      <c r="G271" s="36">
        <v>8098.0</v>
      </c>
      <c r="H271" s="36">
        <v>1465798.0</v>
      </c>
      <c r="I271" s="35">
        <v>485.0</v>
      </c>
      <c r="J271" s="35">
        <v>849.0</v>
      </c>
      <c r="K271" s="35">
        <v>50694.0</v>
      </c>
      <c r="L271" s="35">
        <v>1700.0</v>
      </c>
      <c r="M271" s="35">
        <v>422524.0</v>
      </c>
      <c r="N271" s="35">
        <v>473218.0</v>
      </c>
      <c r="O271" s="35">
        <v>64.0</v>
      </c>
      <c r="P271" s="37">
        <v>4246.0</v>
      </c>
      <c r="Q271" s="37">
        <v>27.0</v>
      </c>
      <c r="R271" s="37">
        <v>3393.0</v>
      </c>
      <c r="S271" s="37">
        <v>4.0</v>
      </c>
      <c r="T271" s="37">
        <v>463.0</v>
      </c>
      <c r="U271" s="37">
        <v>390.0</v>
      </c>
      <c r="V271" s="37">
        <v>367.0</v>
      </c>
      <c r="W271" s="37">
        <v>34.0</v>
      </c>
      <c r="X271" s="37">
        <v>15.0</v>
      </c>
      <c r="Y271" s="37">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5">
        <v>11036.0</v>
      </c>
      <c r="F272" s="36">
        <v>1413126.0</v>
      </c>
      <c r="G272" s="36">
        <v>12034.0</v>
      </c>
      <c r="H272" s="36">
        <v>1477832.0</v>
      </c>
      <c r="I272" s="35">
        <v>891.0</v>
      </c>
      <c r="J272" s="35">
        <v>710.0</v>
      </c>
      <c r="K272" s="35">
        <v>51585.0</v>
      </c>
      <c r="L272" s="35">
        <v>3202.0</v>
      </c>
      <c r="M272" s="35">
        <v>425726.0</v>
      </c>
      <c r="N272" s="35">
        <v>477311.0</v>
      </c>
      <c r="O272" s="35">
        <v>74.0</v>
      </c>
      <c r="P272" s="37">
        <v>4320.0</v>
      </c>
      <c r="Q272" s="37">
        <v>39.0</v>
      </c>
      <c r="R272" s="37">
        <v>3432.0</v>
      </c>
      <c r="S272" s="37">
        <v>0.0</v>
      </c>
      <c r="T272" s="37">
        <v>463.0</v>
      </c>
      <c r="U272" s="37">
        <v>425.0</v>
      </c>
      <c r="V272" s="37">
        <v>391.0</v>
      </c>
      <c r="W272" s="37">
        <v>41.0</v>
      </c>
      <c r="X272" s="37">
        <v>18.0</v>
      </c>
      <c r="Y272" s="37">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5">
        <v>14580.0</v>
      </c>
      <c r="F273" s="36">
        <v>1427706.0</v>
      </c>
      <c r="G273" s="36">
        <v>15634.0</v>
      </c>
      <c r="H273" s="36">
        <v>1493466.0</v>
      </c>
      <c r="I273" s="35">
        <v>943.0</v>
      </c>
      <c r="J273" s="35">
        <v>773.0</v>
      </c>
      <c r="K273" s="35">
        <v>52528.0</v>
      </c>
      <c r="L273" s="35">
        <v>2584.0</v>
      </c>
      <c r="M273" s="35">
        <v>428310.0</v>
      </c>
      <c r="N273" s="35">
        <v>480838.0</v>
      </c>
      <c r="O273" s="35">
        <v>46.0</v>
      </c>
      <c r="P273" s="37">
        <v>4366.0</v>
      </c>
      <c r="Q273" s="37">
        <v>59.0</v>
      </c>
      <c r="R273" s="37">
        <v>3491.0</v>
      </c>
      <c r="S273" s="37">
        <v>6.0</v>
      </c>
      <c r="T273" s="37">
        <v>469.0</v>
      </c>
      <c r="U273" s="37">
        <v>406.0</v>
      </c>
      <c r="V273" s="37">
        <v>407.0</v>
      </c>
      <c r="W273" s="37">
        <v>43.0</v>
      </c>
      <c r="X273" s="37">
        <v>22.0</v>
      </c>
      <c r="Y273" s="37">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5">
        <v>18806.0</v>
      </c>
      <c r="F274" s="36">
        <v>1446512.0</v>
      </c>
      <c r="G274" s="36">
        <v>20075.0</v>
      </c>
      <c r="H274" s="36">
        <v>1513541.0</v>
      </c>
      <c r="I274" s="35">
        <v>1184.0</v>
      </c>
      <c r="J274" s="35">
        <v>1006.0</v>
      </c>
      <c r="K274" s="35">
        <v>53712.0</v>
      </c>
      <c r="L274" s="35">
        <v>3236.0</v>
      </c>
      <c r="M274" s="35">
        <v>431546.0</v>
      </c>
      <c r="N274" s="35">
        <v>485258.0</v>
      </c>
      <c r="O274" s="35">
        <v>59.0</v>
      </c>
      <c r="P274" s="37">
        <v>4425.0</v>
      </c>
      <c r="Q274" s="37">
        <v>59.0</v>
      </c>
      <c r="R274" s="37">
        <v>3550.0</v>
      </c>
      <c r="S274" s="37">
        <v>4.0</v>
      </c>
      <c r="T274" s="37">
        <v>473.0</v>
      </c>
      <c r="U274" s="37">
        <v>402.0</v>
      </c>
      <c r="V274" s="37">
        <v>411.0</v>
      </c>
      <c r="W274" s="37">
        <v>44.0</v>
      </c>
      <c r="X274" s="37">
        <v>26.0</v>
      </c>
      <c r="Y274" s="37">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5">
        <v>6489.0</v>
      </c>
      <c r="F275" s="36">
        <v>1453001.0</v>
      </c>
      <c r="G275" s="36">
        <v>7042.0</v>
      </c>
      <c r="H275" s="36">
        <v>1520583.0</v>
      </c>
      <c r="I275" s="35">
        <v>476.0</v>
      </c>
      <c r="J275" s="35">
        <v>868.0</v>
      </c>
      <c r="K275" s="35">
        <v>54188.0</v>
      </c>
      <c r="L275" s="35">
        <v>1435.0</v>
      </c>
      <c r="M275" s="35">
        <v>432981.0</v>
      </c>
      <c r="N275" s="35">
        <v>487169.0</v>
      </c>
      <c r="O275" s="35">
        <v>51.0</v>
      </c>
      <c r="P275" s="37">
        <v>4476.0</v>
      </c>
      <c r="Q275" s="37">
        <v>35.0</v>
      </c>
      <c r="R275" s="37">
        <v>3585.0</v>
      </c>
      <c r="S275" s="37">
        <v>4.0</v>
      </c>
      <c r="T275" s="37">
        <v>477.0</v>
      </c>
      <c r="U275" s="37">
        <v>414.0</v>
      </c>
      <c r="V275" s="37">
        <v>407.0</v>
      </c>
      <c r="W275" s="37">
        <v>47.0</v>
      </c>
      <c r="X275" s="37">
        <v>25.0</v>
      </c>
      <c r="Y275" s="37">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5">
        <v>9725.0</v>
      </c>
      <c r="F276" s="36">
        <v>1462726.0</v>
      </c>
      <c r="G276" s="36">
        <v>10769.0</v>
      </c>
      <c r="H276" s="36">
        <v>1531352.0</v>
      </c>
      <c r="I276" s="35">
        <v>974.0</v>
      </c>
      <c r="J276" s="35">
        <v>878.0</v>
      </c>
      <c r="K276" s="35">
        <v>55162.0</v>
      </c>
      <c r="L276" s="35">
        <v>2384.0</v>
      </c>
      <c r="M276" s="35">
        <v>435365.0</v>
      </c>
      <c r="N276" s="35">
        <v>490527.0</v>
      </c>
      <c r="O276" s="35">
        <v>52.0</v>
      </c>
      <c r="P276" s="37">
        <v>4528.0</v>
      </c>
      <c r="Q276" s="37">
        <v>47.0</v>
      </c>
      <c r="R276" s="37">
        <v>3632.0</v>
      </c>
      <c r="S276" s="37">
        <v>7.0</v>
      </c>
      <c r="T276" s="37">
        <v>484.0</v>
      </c>
      <c r="U276" s="37">
        <v>412.0</v>
      </c>
      <c r="V276" s="37">
        <v>409.0</v>
      </c>
      <c r="W276" s="37">
        <v>48.0</v>
      </c>
      <c r="X276" s="37">
        <v>22.0</v>
      </c>
      <c r="Y276" s="37">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5">
        <v>11963.0</v>
      </c>
      <c r="F277" s="36">
        <v>1474689.0</v>
      </c>
      <c r="G277" s="36">
        <v>13155.0</v>
      </c>
      <c r="H277" s="36">
        <v>1544507.0</v>
      </c>
      <c r="I277" s="35">
        <v>1098.0</v>
      </c>
      <c r="J277" s="35">
        <v>849.0</v>
      </c>
      <c r="K277" s="35">
        <v>56260.0</v>
      </c>
      <c r="L277" s="35">
        <v>2667.0</v>
      </c>
      <c r="M277" s="35">
        <v>438032.0</v>
      </c>
      <c r="N277" s="35">
        <v>494292.0</v>
      </c>
      <c r="O277" s="35">
        <v>64.0</v>
      </c>
      <c r="P277" s="37">
        <v>4592.0</v>
      </c>
      <c r="Q277" s="37">
        <v>39.0</v>
      </c>
      <c r="R277" s="37">
        <v>3671.0</v>
      </c>
      <c r="S277" s="37">
        <v>0.0</v>
      </c>
      <c r="T277" s="37">
        <v>484.0</v>
      </c>
      <c r="U277" s="37">
        <v>437.0</v>
      </c>
      <c r="V277" s="37">
        <v>421.0</v>
      </c>
      <c r="W277" s="37">
        <v>49.0</v>
      </c>
      <c r="X277" s="37">
        <v>22.0</v>
      </c>
      <c r="Y277" s="37">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5">
        <v>6935.0</v>
      </c>
      <c r="F278" s="36">
        <v>1481624.0</v>
      </c>
      <c r="G278" s="36">
        <v>7763.0</v>
      </c>
      <c r="H278" s="36">
        <v>1552270.0</v>
      </c>
      <c r="I278" s="35">
        <v>756.0</v>
      </c>
      <c r="J278" s="35">
        <v>943.0</v>
      </c>
      <c r="K278" s="35">
        <v>57016.0</v>
      </c>
      <c r="L278" s="35">
        <v>2202.0</v>
      </c>
      <c r="M278" s="35">
        <v>440234.0</v>
      </c>
      <c r="N278" s="35">
        <v>497250.0</v>
      </c>
      <c r="O278" s="35">
        <v>62.0</v>
      </c>
      <c r="P278" s="37">
        <v>4654.0</v>
      </c>
      <c r="Q278" s="37">
        <v>35.0</v>
      </c>
      <c r="R278" s="37">
        <v>3706.0</v>
      </c>
      <c r="S278" s="37">
        <v>3.0</v>
      </c>
      <c r="T278" s="37">
        <v>487.0</v>
      </c>
      <c r="U278" s="37">
        <v>461.0</v>
      </c>
      <c r="V278" s="37">
        <v>437.0</v>
      </c>
      <c r="W278" s="37">
        <v>50.0</v>
      </c>
      <c r="X278" s="37">
        <v>24.0</v>
      </c>
      <c r="Y278" s="37">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5">
        <v>9934.0</v>
      </c>
      <c r="F279" s="36">
        <v>1491558.0</v>
      </c>
      <c r="G279" s="36">
        <v>11228.0</v>
      </c>
      <c r="H279" s="36">
        <v>1563498.0</v>
      </c>
      <c r="I279" s="35">
        <v>1169.0</v>
      </c>
      <c r="J279" s="35">
        <v>1008.0</v>
      </c>
      <c r="K279" s="35">
        <v>58185.0</v>
      </c>
      <c r="L279" s="35">
        <v>2646.0</v>
      </c>
      <c r="M279" s="35">
        <v>442880.0</v>
      </c>
      <c r="N279" s="35">
        <v>501065.0</v>
      </c>
      <c r="O279" s="35">
        <v>66.0</v>
      </c>
      <c r="P279" s="37">
        <v>4720.0</v>
      </c>
      <c r="Q279" s="37">
        <v>58.0</v>
      </c>
      <c r="R279" s="37">
        <v>3764.0</v>
      </c>
      <c r="S279" s="37">
        <v>2.0</v>
      </c>
      <c r="T279" s="37">
        <v>489.0</v>
      </c>
      <c r="U279" s="37">
        <v>467.0</v>
      </c>
      <c r="V279" s="37">
        <v>455.0</v>
      </c>
      <c r="W279" s="37">
        <v>53.0</v>
      </c>
      <c r="X279" s="37">
        <v>30.0</v>
      </c>
      <c r="Y279" s="37">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5">
        <v>14023.0</v>
      </c>
      <c r="F280" s="36">
        <v>1505581.0</v>
      </c>
      <c r="G280" s="36">
        <v>15590.0</v>
      </c>
      <c r="H280" s="36">
        <v>1579088.0</v>
      </c>
      <c r="I280" s="35">
        <v>1428.0</v>
      </c>
      <c r="J280" s="35">
        <v>1118.0</v>
      </c>
      <c r="K280" s="35">
        <v>59613.0</v>
      </c>
      <c r="L280" s="35">
        <v>3223.0</v>
      </c>
      <c r="M280" s="35">
        <v>446103.0</v>
      </c>
      <c r="N280" s="35">
        <v>505716.0</v>
      </c>
      <c r="O280" s="35">
        <v>62.0</v>
      </c>
      <c r="P280" s="37">
        <v>4782.0</v>
      </c>
      <c r="Q280" s="37">
        <v>55.0</v>
      </c>
      <c r="R280" s="37">
        <v>3819.0</v>
      </c>
      <c r="S280" s="37">
        <v>4.0</v>
      </c>
      <c r="T280" s="37">
        <v>493.0</v>
      </c>
      <c r="U280" s="37">
        <v>470.0</v>
      </c>
      <c r="V280" s="37">
        <v>466.0</v>
      </c>
      <c r="W280" s="37">
        <v>52.0</v>
      </c>
      <c r="X280" s="37">
        <v>31.0</v>
      </c>
      <c r="Y280" s="37">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5">
        <v>15522.0</v>
      </c>
      <c r="F281" s="36">
        <v>1521103.0</v>
      </c>
      <c r="G281" s="36">
        <v>17094.0</v>
      </c>
      <c r="H281" s="36">
        <v>1596182.0</v>
      </c>
      <c r="I281" s="35">
        <v>1449.0</v>
      </c>
      <c r="J281" s="35">
        <v>1349.0</v>
      </c>
      <c r="K281" s="35">
        <v>61062.0</v>
      </c>
      <c r="L281" s="35">
        <v>3056.0</v>
      </c>
      <c r="M281" s="35">
        <v>449159.0</v>
      </c>
      <c r="N281" s="35">
        <v>510221.0</v>
      </c>
      <c r="O281" s="35">
        <v>55.0</v>
      </c>
      <c r="P281" s="37">
        <v>4837.0</v>
      </c>
      <c r="Q281" s="37">
        <v>51.0</v>
      </c>
      <c r="R281" s="37">
        <v>3870.0</v>
      </c>
      <c r="S281" s="37">
        <v>7.0</v>
      </c>
      <c r="T281" s="37">
        <v>500.0</v>
      </c>
      <c r="U281" s="37">
        <v>467.0</v>
      </c>
      <c r="V281" s="37">
        <v>468.0</v>
      </c>
      <c r="W281" s="37">
        <v>53.0</v>
      </c>
      <c r="X281" s="37">
        <v>30.0</v>
      </c>
      <c r="Y281" s="37">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5">
        <v>14625.0</v>
      </c>
      <c r="F282" s="36">
        <v>1535728.0</v>
      </c>
      <c r="G282" s="36">
        <v>16401.0</v>
      </c>
      <c r="H282" s="36">
        <v>1612583.0</v>
      </c>
      <c r="I282" s="35">
        <v>1637.0</v>
      </c>
      <c r="J282" s="35">
        <v>1505.0</v>
      </c>
      <c r="K282" s="35">
        <v>62699.0</v>
      </c>
      <c r="L282" s="35">
        <v>3130.0</v>
      </c>
      <c r="M282" s="35">
        <v>452289.0</v>
      </c>
      <c r="N282" s="35">
        <v>514988.0</v>
      </c>
      <c r="O282" s="35">
        <v>64.0</v>
      </c>
      <c r="P282" s="37">
        <v>4901.0</v>
      </c>
      <c r="Q282" s="37">
        <v>76.0</v>
      </c>
      <c r="R282" s="37">
        <v>3946.0</v>
      </c>
      <c r="S282" s="37">
        <v>5.0</v>
      </c>
      <c r="T282" s="37">
        <v>505.0</v>
      </c>
      <c r="U282" s="37">
        <v>450.0</v>
      </c>
      <c r="V282" s="37">
        <v>462.0</v>
      </c>
      <c r="W282" s="37">
        <v>49.0</v>
      </c>
      <c r="X282" s="37">
        <v>31.0</v>
      </c>
      <c r="Y282" s="37">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5">
        <v>16510.0</v>
      </c>
      <c r="F283" s="36">
        <v>1552238.0</v>
      </c>
      <c r="G283" s="36">
        <v>18166.0</v>
      </c>
      <c r="H283" s="36">
        <v>1630749.0</v>
      </c>
      <c r="I283" s="35">
        <v>1527.0</v>
      </c>
      <c r="J283" s="35">
        <v>1538.0</v>
      </c>
      <c r="K283" s="35">
        <v>64226.0</v>
      </c>
      <c r="L283" s="35">
        <v>3571.0</v>
      </c>
      <c r="M283" s="35">
        <v>455860.0</v>
      </c>
      <c r="N283" s="35">
        <v>520086.0</v>
      </c>
      <c r="O283" s="35">
        <v>70.0</v>
      </c>
      <c r="P283" s="37">
        <v>4971.0</v>
      </c>
      <c r="Q283" s="37">
        <v>48.0</v>
      </c>
      <c r="R283" s="37">
        <v>3994.0</v>
      </c>
      <c r="S283" s="37">
        <v>7.0</v>
      </c>
      <c r="T283" s="37">
        <v>512.0</v>
      </c>
      <c r="U283" s="37">
        <v>465.0</v>
      </c>
      <c r="V283" s="37">
        <v>461.0</v>
      </c>
      <c r="W283" s="37">
        <v>46.0</v>
      </c>
      <c r="X283" s="37">
        <v>29.0</v>
      </c>
      <c r="Y283" s="37">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5">
        <v>12613.0</v>
      </c>
      <c r="F284" s="36">
        <v>1564851.0</v>
      </c>
      <c r="G284" s="36">
        <v>13813.0</v>
      </c>
      <c r="H284" s="36">
        <v>1644562.0</v>
      </c>
      <c r="I284" s="35">
        <v>1074.0</v>
      </c>
      <c r="J284" s="35">
        <v>1413.0</v>
      </c>
      <c r="K284" s="35">
        <v>65300.0</v>
      </c>
      <c r="L284" s="35">
        <v>2741.0</v>
      </c>
      <c r="M284" s="35">
        <v>458601.0</v>
      </c>
      <c r="N284" s="35">
        <v>523901.0</v>
      </c>
      <c r="O284" s="35">
        <v>68.0</v>
      </c>
      <c r="P284" s="37">
        <v>5039.0</v>
      </c>
      <c r="Q284" s="37">
        <v>39.0</v>
      </c>
      <c r="R284" s="37">
        <v>4033.0</v>
      </c>
      <c r="S284" s="37">
        <v>4.0</v>
      </c>
      <c r="T284" s="37">
        <v>516.0</v>
      </c>
      <c r="U284" s="37">
        <v>490.0</v>
      </c>
      <c r="V284" s="37">
        <v>468.0</v>
      </c>
      <c r="W284" s="37">
        <v>48.0</v>
      </c>
      <c r="X284" s="37">
        <v>29.0</v>
      </c>
      <c r="Y284" s="37">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5">
        <v>7849.0</v>
      </c>
      <c r="F285" s="36">
        <v>1572700.0</v>
      </c>
      <c r="G285" s="36">
        <v>8976.0</v>
      </c>
      <c r="H285" s="36">
        <v>1653538.0</v>
      </c>
      <c r="I285" s="35">
        <v>980.0</v>
      </c>
      <c r="J285" s="35">
        <v>1194.0</v>
      </c>
      <c r="K285" s="35">
        <v>66280.0</v>
      </c>
      <c r="L285" s="35">
        <v>2328.0</v>
      </c>
      <c r="M285" s="35">
        <v>460929.0</v>
      </c>
      <c r="N285" s="35">
        <v>527209.0</v>
      </c>
      <c r="O285" s="35">
        <v>61.0</v>
      </c>
      <c r="P285" s="37">
        <v>5100.0</v>
      </c>
      <c r="Q285" s="37">
        <v>45.0</v>
      </c>
      <c r="R285" s="37">
        <v>4078.0</v>
      </c>
      <c r="S285" s="37">
        <v>10.0</v>
      </c>
      <c r="T285" s="37">
        <v>526.0</v>
      </c>
      <c r="U285" s="37">
        <v>496.0</v>
      </c>
      <c r="V285" s="37">
        <v>484.0</v>
      </c>
      <c r="W285" s="37">
        <v>49.0</v>
      </c>
      <c r="X285" s="37">
        <v>25.0</v>
      </c>
      <c r="Y285" s="37">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5">
        <v>10704.0</v>
      </c>
      <c r="F286" s="36">
        <v>1583404.0</v>
      </c>
      <c r="G286" s="36">
        <v>12101.0</v>
      </c>
      <c r="H286" s="36">
        <v>1665639.0</v>
      </c>
      <c r="I286" s="35">
        <v>1257.0</v>
      </c>
      <c r="J286" s="35">
        <v>1104.0</v>
      </c>
      <c r="K286" s="35">
        <v>67537.0</v>
      </c>
      <c r="L286" s="35">
        <v>3169.0</v>
      </c>
      <c r="M286" s="35">
        <v>464098.0</v>
      </c>
      <c r="N286" s="35">
        <v>531635.0</v>
      </c>
      <c r="O286" s="35">
        <v>71.0</v>
      </c>
      <c r="P286" s="37">
        <v>5171.0</v>
      </c>
      <c r="Q286" s="37">
        <v>54.0</v>
      </c>
      <c r="R286" s="37">
        <v>4132.0</v>
      </c>
      <c r="S286" s="37">
        <v>6.0</v>
      </c>
      <c r="T286" s="37">
        <v>532.0</v>
      </c>
      <c r="U286" s="37">
        <v>507.0</v>
      </c>
      <c r="V286" s="37">
        <v>498.0</v>
      </c>
      <c r="W286" s="37">
        <v>47.0</v>
      </c>
      <c r="X286" s="37">
        <v>25.0</v>
      </c>
      <c r="Y286" s="37">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5">
        <v>15324.0</v>
      </c>
      <c r="F287" s="36">
        <v>1598728.0</v>
      </c>
      <c r="G287" s="36">
        <v>16790.0</v>
      </c>
      <c r="H287" s="36">
        <v>1682429.0</v>
      </c>
      <c r="I287" s="35">
        <v>1320.0</v>
      </c>
      <c r="J287" s="35">
        <v>1186.0</v>
      </c>
      <c r="K287" s="35">
        <v>68857.0</v>
      </c>
      <c r="L287" s="35">
        <v>3387.0</v>
      </c>
      <c r="M287" s="35">
        <v>467485.0</v>
      </c>
      <c r="N287" s="35">
        <v>536342.0</v>
      </c>
      <c r="O287" s="35">
        <v>61.0</v>
      </c>
      <c r="P287" s="37">
        <v>5232.0</v>
      </c>
      <c r="Q287" s="37">
        <v>59.0</v>
      </c>
      <c r="R287" s="37">
        <v>4191.0</v>
      </c>
      <c r="S287" s="37">
        <v>5.0</v>
      </c>
      <c r="T287" s="37">
        <v>537.0</v>
      </c>
      <c r="U287" s="37">
        <v>504.0</v>
      </c>
      <c r="V287" s="37">
        <v>502.0</v>
      </c>
      <c r="W287" s="37">
        <v>52.0</v>
      </c>
      <c r="X287" s="37">
        <v>29.0</v>
      </c>
      <c r="Y287" s="37">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5">
        <v>16357.0</v>
      </c>
      <c r="F288" s="36">
        <v>1615085.0</v>
      </c>
      <c r="G288" s="36">
        <v>17857.0</v>
      </c>
      <c r="H288" s="36">
        <v>1700286.0</v>
      </c>
      <c r="I288" s="35">
        <v>1343.0</v>
      </c>
      <c r="J288" s="35">
        <v>1307.0</v>
      </c>
      <c r="K288" s="35">
        <v>70200.0</v>
      </c>
      <c r="L288" s="35">
        <v>3048.0</v>
      </c>
      <c r="M288" s="35">
        <v>470533.0</v>
      </c>
      <c r="N288" s="35">
        <v>540733.0</v>
      </c>
      <c r="O288" s="35">
        <v>58.0</v>
      </c>
      <c r="P288" s="37">
        <v>5290.0</v>
      </c>
      <c r="Q288" s="37">
        <v>62.0</v>
      </c>
      <c r="R288" s="37">
        <v>4253.0</v>
      </c>
      <c r="S288" s="37">
        <v>9.0</v>
      </c>
      <c r="T288" s="37">
        <v>546.0</v>
      </c>
      <c r="U288" s="37">
        <v>491.0</v>
      </c>
      <c r="V288" s="37">
        <v>501.0</v>
      </c>
      <c r="W288" s="37">
        <v>49.0</v>
      </c>
      <c r="X288" s="37">
        <v>31.0</v>
      </c>
      <c r="Y288" s="37">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5">
        <v>17282.0</v>
      </c>
      <c r="F289" s="36">
        <v>1632367.0</v>
      </c>
      <c r="G289" s="36">
        <v>18757.0</v>
      </c>
      <c r="H289" s="36">
        <v>1719043.0</v>
      </c>
      <c r="I289" s="35">
        <v>1255.0</v>
      </c>
      <c r="J289" s="35">
        <v>1306.0</v>
      </c>
      <c r="K289" s="35">
        <v>71455.0</v>
      </c>
      <c r="L289" s="35">
        <v>3879.0</v>
      </c>
      <c r="M289" s="35">
        <v>474412.0</v>
      </c>
      <c r="N289" s="35">
        <v>545867.0</v>
      </c>
      <c r="O289" s="35">
        <v>63.0</v>
      </c>
      <c r="P289" s="37">
        <v>5353.0</v>
      </c>
      <c r="Q289" s="37">
        <v>57.0</v>
      </c>
      <c r="R289" s="37">
        <v>4310.0</v>
      </c>
      <c r="S289" s="37">
        <v>7.0</v>
      </c>
      <c r="T289" s="37">
        <v>553.0</v>
      </c>
      <c r="U289" s="37">
        <v>490.0</v>
      </c>
      <c r="V289" s="37">
        <v>495.0</v>
      </c>
      <c r="W289" s="37">
        <v>56.0</v>
      </c>
      <c r="X289" s="37">
        <v>30.0</v>
      </c>
      <c r="Y289" s="37">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5">
        <v>17392.0</v>
      </c>
      <c r="F290" s="36">
        <v>1649759.0</v>
      </c>
      <c r="G290" s="36">
        <v>18882.0</v>
      </c>
      <c r="H290" s="36">
        <v>1737925.0</v>
      </c>
      <c r="I290" s="35">
        <v>1295.0</v>
      </c>
      <c r="J290" s="35">
        <v>1298.0</v>
      </c>
      <c r="K290" s="35">
        <v>72750.0</v>
      </c>
      <c r="L290" s="35">
        <v>3433.0</v>
      </c>
      <c r="M290" s="35">
        <v>477845.0</v>
      </c>
      <c r="N290" s="35">
        <v>550595.0</v>
      </c>
      <c r="O290" s="35">
        <v>69.0</v>
      </c>
      <c r="P290" s="37">
        <v>5422.0</v>
      </c>
      <c r="Q290" s="37">
        <v>81.0</v>
      </c>
      <c r="R290" s="37">
        <v>4391.0</v>
      </c>
      <c r="S290" s="37">
        <v>7.0</v>
      </c>
      <c r="T290" s="37">
        <v>560.0</v>
      </c>
      <c r="U290" s="37">
        <v>471.0</v>
      </c>
      <c r="V290" s="37">
        <v>484.0</v>
      </c>
      <c r="W290" s="37">
        <v>62.0</v>
      </c>
      <c r="X290" s="37">
        <v>33.0</v>
      </c>
      <c r="Y290" s="37">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5">
        <v>13074.0</v>
      </c>
      <c r="F291" s="36">
        <v>1662833.0</v>
      </c>
      <c r="G291" s="36">
        <v>14197.0</v>
      </c>
      <c r="H291" s="36">
        <v>1752122.0</v>
      </c>
      <c r="I291" s="35">
        <v>933.0</v>
      </c>
      <c r="J291" s="35">
        <v>1161.0</v>
      </c>
      <c r="K291" s="35">
        <v>73683.0</v>
      </c>
      <c r="L291" s="35">
        <v>2934.0</v>
      </c>
      <c r="M291" s="35">
        <v>480779.0</v>
      </c>
      <c r="N291" s="35">
        <v>554462.0</v>
      </c>
      <c r="O291" s="35">
        <v>65.0</v>
      </c>
      <c r="P291" s="37">
        <v>5487.0</v>
      </c>
      <c r="Q291" s="37">
        <v>54.0</v>
      </c>
      <c r="R291" s="37">
        <v>4445.0</v>
      </c>
      <c r="S291" s="37">
        <v>9.0</v>
      </c>
      <c r="T291" s="37">
        <v>569.0</v>
      </c>
      <c r="U291" s="37">
        <v>473.0</v>
      </c>
      <c r="V291" s="37">
        <v>478.0</v>
      </c>
      <c r="W291" s="37">
        <v>55.0</v>
      </c>
      <c r="X291" s="37">
        <v>32.0</v>
      </c>
      <c r="Y291" s="37">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5">
        <v>7159.0</v>
      </c>
      <c r="F292" s="36">
        <v>1669992.0</v>
      </c>
      <c r="G292" s="36">
        <v>7832.0</v>
      </c>
      <c r="H292" s="36">
        <v>1759954.0</v>
      </c>
      <c r="I292" s="35">
        <v>555.0</v>
      </c>
      <c r="J292" s="35">
        <v>928.0</v>
      </c>
      <c r="K292" s="35">
        <v>74238.0</v>
      </c>
      <c r="L292" s="35">
        <v>1909.0</v>
      </c>
      <c r="M292" s="35">
        <v>482688.0</v>
      </c>
      <c r="N292" s="35">
        <v>556926.0</v>
      </c>
      <c r="O292" s="35">
        <v>74.0</v>
      </c>
      <c r="P292" s="37">
        <v>5561.0</v>
      </c>
      <c r="Q292" s="37">
        <v>40.0</v>
      </c>
      <c r="R292" s="37">
        <v>4485.0</v>
      </c>
      <c r="S292" s="37">
        <v>13.0</v>
      </c>
      <c r="T292" s="37">
        <v>582.0</v>
      </c>
      <c r="U292" s="37">
        <v>494.0</v>
      </c>
      <c r="V292" s="37">
        <v>479.0</v>
      </c>
      <c r="W292" s="37">
        <v>56.0</v>
      </c>
      <c r="X292" s="37">
        <v>30.0</v>
      </c>
      <c r="Y292" s="37">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5">
        <v>11247.0</v>
      </c>
      <c r="F293" s="36">
        <v>1681239.0</v>
      </c>
      <c r="G293" s="36">
        <v>12565.0</v>
      </c>
      <c r="H293" s="36">
        <v>1772519.0</v>
      </c>
      <c r="I293" s="35">
        <v>1140.0</v>
      </c>
      <c r="J293" s="35">
        <v>876.0</v>
      </c>
      <c r="K293" s="35">
        <v>75378.0</v>
      </c>
      <c r="L293" s="35">
        <v>3242.0</v>
      </c>
      <c r="M293" s="35">
        <v>485930.0</v>
      </c>
      <c r="N293" s="35">
        <v>561308.0</v>
      </c>
      <c r="O293" s="35">
        <v>85.0</v>
      </c>
      <c r="P293" s="37">
        <v>5646.0</v>
      </c>
      <c r="Q293" s="37">
        <v>63.0</v>
      </c>
      <c r="R293" s="37">
        <v>4548.0</v>
      </c>
      <c r="S293" s="37">
        <v>10.0</v>
      </c>
      <c r="T293" s="37">
        <v>592.0</v>
      </c>
      <c r="U293" s="37">
        <v>506.0</v>
      </c>
      <c r="V293" s="37">
        <v>491.0</v>
      </c>
      <c r="W293" s="37">
        <v>66.0</v>
      </c>
      <c r="X293" s="37">
        <v>32.0</v>
      </c>
      <c r="Y293" s="37">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5">
        <v>15133.0</v>
      </c>
      <c r="F294" s="36">
        <v>1696372.0</v>
      </c>
      <c r="G294" s="36">
        <v>16403.0</v>
      </c>
      <c r="H294" s="36">
        <v>1788922.0</v>
      </c>
      <c r="I294" s="35">
        <v>1059.0</v>
      </c>
      <c r="J294" s="35">
        <v>918.0</v>
      </c>
      <c r="K294" s="35">
        <v>76437.0</v>
      </c>
      <c r="L294" s="35">
        <v>2955.0</v>
      </c>
      <c r="M294" s="35">
        <v>488885.0</v>
      </c>
      <c r="N294" s="35">
        <v>565322.0</v>
      </c>
      <c r="O294" s="35">
        <v>71.0</v>
      </c>
      <c r="P294" s="37">
        <v>5717.0</v>
      </c>
      <c r="Q294" s="37">
        <v>56.0</v>
      </c>
      <c r="R294" s="37">
        <v>4604.0</v>
      </c>
      <c r="S294" s="37">
        <v>5.0</v>
      </c>
      <c r="T294" s="37">
        <v>597.0</v>
      </c>
      <c r="U294" s="37">
        <v>516.0</v>
      </c>
      <c r="V294" s="37">
        <v>505.0</v>
      </c>
      <c r="W294" s="37">
        <v>63.0</v>
      </c>
      <c r="X294" s="37">
        <v>32.0</v>
      </c>
      <c r="Y294" s="37">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5">
        <v>19138.0</v>
      </c>
      <c r="F295" s="36">
        <v>1715510.0</v>
      </c>
      <c r="G295" s="36">
        <v>20419.0</v>
      </c>
      <c r="H295" s="36">
        <v>1809341.0</v>
      </c>
      <c r="I295" s="35">
        <v>1076.0</v>
      </c>
      <c r="J295" s="35">
        <v>1092.0</v>
      </c>
      <c r="K295" s="35">
        <v>77513.0</v>
      </c>
      <c r="L295" s="35">
        <v>3545.0</v>
      </c>
      <c r="M295" s="35">
        <v>492430.0</v>
      </c>
      <c r="N295" s="35">
        <v>569943.0</v>
      </c>
      <c r="O295" s="35">
        <v>58.0</v>
      </c>
      <c r="P295" s="37">
        <v>5775.0</v>
      </c>
      <c r="Q295" s="37">
        <v>73.0</v>
      </c>
      <c r="R295" s="37">
        <v>4677.0</v>
      </c>
      <c r="S295" s="37">
        <v>11.0</v>
      </c>
      <c r="T295" s="37">
        <v>608.0</v>
      </c>
      <c r="U295" s="37">
        <v>490.0</v>
      </c>
      <c r="V295" s="37">
        <v>504.0</v>
      </c>
      <c r="W295" s="37">
        <v>62.0</v>
      </c>
      <c r="X295" s="37">
        <v>34.0</v>
      </c>
      <c r="Y295" s="37">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5">
        <v>8773.0</v>
      </c>
      <c r="F296" s="36">
        <v>1724283.0</v>
      </c>
      <c r="G296" s="36">
        <v>9256.0</v>
      </c>
      <c r="H296" s="36">
        <v>1818597.0</v>
      </c>
      <c r="I296" s="35">
        <v>431.0</v>
      </c>
      <c r="J296" s="35">
        <v>855.0</v>
      </c>
      <c r="K296" s="35">
        <v>77944.0</v>
      </c>
      <c r="L296" s="35">
        <v>1206.0</v>
      </c>
      <c r="M296" s="35">
        <v>493636.0</v>
      </c>
      <c r="N296" s="35">
        <v>571580.0</v>
      </c>
      <c r="O296" s="35">
        <v>46.0</v>
      </c>
      <c r="P296" s="37">
        <v>5821.0</v>
      </c>
      <c r="Q296" s="37">
        <v>54.0</v>
      </c>
      <c r="R296" s="37">
        <v>4731.0</v>
      </c>
      <c r="S296" s="37">
        <v>8.0</v>
      </c>
      <c r="T296" s="37">
        <v>616.0</v>
      </c>
      <c r="U296" s="37">
        <v>474.0</v>
      </c>
      <c r="V296" s="37">
        <v>493.0</v>
      </c>
      <c r="W296" s="37">
        <v>61.0</v>
      </c>
      <c r="X296" s="37">
        <v>34.0</v>
      </c>
      <c r="Y296" s="37">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5">
        <v>13649.0</v>
      </c>
      <c r="F297" s="36">
        <v>1737932.0</v>
      </c>
      <c r="G297" s="36">
        <v>14763.0</v>
      </c>
      <c r="H297" s="36">
        <v>1833360.0</v>
      </c>
      <c r="I297" s="35">
        <v>936.0</v>
      </c>
      <c r="J297" s="35">
        <v>814.0</v>
      </c>
      <c r="K297" s="35">
        <v>78880.0</v>
      </c>
      <c r="L297" s="35">
        <v>2702.0</v>
      </c>
      <c r="M297" s="35">
        <v>496338.0</v>
      </c>
      <c r="N297" s="35">
        <v>575218.0</v>
      </c>
      <c r="O297" s="35">
        <v>56.0</v>
      </c>
      <c r="P297" s="37">
        <v>5877.0</v>
      </c>
      <c r="Q297" s="37">
        <v>66.0</v>
      </c>
      <c r="R297" s="37">
        <v>4797.0</v>
      </c>
      <c r="S297" s="37">
        <v>11.0</v>
      </c>
      <c r="T297" s="37">
        <v>627.0</v>
      </c>
      <c r="U297" s="37">
        <v>453.0</v>
      </c>
      <c r="V297" s="37">
        <v>472.0</v>
      </c>
      <c r="W297" s="37">
        <v>61.0</v>
      </c>
      <c r="X297" s="37">
        <v>35.0</v>
      </c>
      <c r="Y297" s="37">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5">
        <v>16377.0</v>
      </c>
      <c r="F298" s="36">
        <v>1754309.0</v>
      </c>
      <c r="G298" s="36">
        <v>17694.0</v>
      </c>
      <c r="H298" s="36">
        <v>1851054.0</v>
      </c>
      <c r="I298" s="35">
        <v>1082.0</v>
      </c>
      <c r="J298" s="35">
        <v>816.0</v>
      </c>
      <c r="K298" s="35">
        <v>79962.0</v>
      </c>
      <c r="L298" s="35">
        <v>2983.0</v>
      </c>
      <c r="M298" s="35">
        <v>499321.0</v>
      </c>
      <c r="N298" s="35">
        <v>579283.0</v>
      </c>
      <c r="O298" s="35">
        <v>60.0</v>
      </c>
      <c r="P298" s="37">
        <v>5937.0</v>
      </c>
      <c r="Q298" s="37">
        <v>41.0</v>
      </c>
      <c r="R298" s="37">
        <v>4838.0</v>
      </c>
      <c r="S298" s="37">
        <v>9.0</v>
      </c>
      <c r="T298" s="37">
        <v>636.0</v>
      </c>
      <c r="U298" s="37">
        <v>463.0</v>
      </c>
      <c r="V298" s="37">
        <v>463.0</v>
      </c>
      <c r="W298" s="37">
        <v>62.0</v>
      </c>
      <c r="X298" s="37">
        <v>40.0</v>
      </c>
      <c r="Y298" s="37">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5">
        <v>6826.0</v>
      </c>
      <c r="F299" s="36">
        <v>1761135.0</v>
      </c>
      <c r="G299" s="36">
        <v>7363.0</v>
      </c>
      <c r="H299" s="36">
        <v>1858417.0</v>
      </c>
      <c r="I299" s="35">
        <v>439.0</v>
      </c>
      <c r="J299" s="35">
        <v>819.0</v>
      </c>
      <c r="K299" s="35">
        <v>80401.0</v>
      </c>
      <c r="L299" s="35">
        <v>1610.0</v>
      </c>
      <c r="M299" s="35">
        <v>500931.0</v>
      </c>
      <c r="N299" s="35">
        <v>581332.0</v>
      </c>
      <c r="O299" s="35">
        <v>59.0</v>
      </c>
      <c r="P299" s="37">
        <v>5996.0</v>
      </c>
      <c r="Q299" s="37">
        <v>41.0</v>
      </c>
      <c r="R299" s="37">
        <v>4879.0</v>
      </c>
      <c r="S299" s="37">
        <v>8.0</v>
      </c>
      <c r="T299" s="37">
        <v>644.0</v>
      </c>
      <c r="U299" s="37">
        <v>473.0</v>
      </c>
      <c r="V299" s="37">
        <v>463.0</v>
      </c>
      <c r="W299" s="37">
        <v>64.0</v>
      </c>
      <c r="X299" s="37">
        <v>43.0</v>
      </c>
      <c r="Y299" s="37">
        <v>14.0</v>
      </c>
      <c r="Z299" s="35">
        <v>1769.0</v>
      </c>
      <c r="AA299" s="29">
        <v>803.0</v>
      </c>
      <c r="AB299" s="29">
        <v>0.0</v>
      </c>
      <c r="AC299" s="29">
        <v>803.0</v>
      </c>
      <c r="AD299" s="29">
        <v>4957.0</v>
      </c>
      <c r="AE299" s="29">
        <v>803.0</v>
      </c>
      <c r="AF299" s="29">
        <v>4957.0</v>
      </c>
      <c r="AG299" s="29">
        <v>0.0</v>
      </c>
      <c r="AH299" s="29">
        <v>0.0</v>
      </c>
    </row>
    <row r="300" ht="14.25" customHeight="1">
      <c r="A300" s="34">
        <v>44186.0</v>
      </c>
      <c r="B300" s="35">
        <v>1108.0</v>
      </c>
      <c r="C300" s="35">
        <v>987.0</v>
      </c>
      <c r="D300" s="35">
        <v>98390.0</v>
      </c>
      <c r="E300" s="35">
        <v>12163.0</v>
      </c>
      <c r="F300" s="36">
        <v>1773298.0</v>
      </c>
      <c r="G300" s="36">
        <v>13271.0</v>
      </c>
      <c r="H300" s="36">
        <v>1871688.0</v>
      </c>
      <c r="I300" s="35">
        <v>932.0</v>
      </c>
      <c r="J300" s="35">
        <v>818.0</v>
      </c>
      <c r="K300" s="35">
        <v>81333.0</v>
      </c>
      <c r="L300" s="35">
        <v>3465.0</v>
      </c>
      <c r="M300" s="35">
        <v>504396.0</v>
      </c>
      <c r="N300" s="35">
        <v>585729.0</v>
      </c>
      <c r="O300" s="35">
        <v>73.0</v>
      </c>
      <c r="P300" s="37">
        <v>6069.0</v>
      </c>
      <c r="Q300" s="37">
        <v>52.0</v>
      </c>
      <c r="R300" s="37">
        <v>4931.0</v>
      </c>
      <c r="S300" s="37">
        <v>7.0</v>
      </c>
      <c r="T300" s="37">
        <v>651.0</v>
      </c>
      <c r="U300" s="37">
        <v>487.0</v>
      </c>
      <c r="V300" s="37">
        <v>474.0</v>
      </c>
      <c r="W300" s="37">
        <v>58.0</v>
      </c>
      <c r="X300" s="37">
        <v>40.0</v>
      </c>
      <c r="Y300" s="37">
        <v>11.0</v>
      </c>
      <c r="Z300" s="35">
        <v>1780.0</v>
      </c>
      <c r="AA300" s="29">
        <v>1763.0</v>
      </c>
      <c r="AB300" s="29">
        <v>0.0</v>
      </c>
      <c r="AC300" s="29">
        <v>1763.0</v>
      </c>
      <c r="AD300" s="29">
        <v>6720.0</v>
      </c>
      <c r="AE300" s="29">
        <v>1763.0</v>
      </c>
      <c r="AF300" s="29">
        <v>6720.0</v>
      </c>
      <c r="AG300" s="29">
        <v>0.0</v>
      </c>
      <c r="AH300" s="29">
        <v>0.0</v>
      </c>
    </row>
    <row r="301" ht="14.25" customHeight="1">
      <c r="A301" s="34">
        <v>44187.0</v>
      </c>
      <c r="B301" s="35">
        <v>1079.0</v>
      </c>
      <c r="C301" s="35">
        <v>908.0</v>
      </c>
      <c r="D301" s="35">
        <v>99469.0</v>
      </c>
      <c r="E301" s="35">
        <v>16605.0</v>
      </c>
      <c r="F301" s="36">
        <v>1789903.0</v>
      </c>
      <c r="G301" s="36">
        <v>17684.0</v>
      </c>
      <c r="H301" s="36">
        <v>1889372.0</v>
      </c>
      <c r="I301" s="35">
        <v>928.0</v>
      </c>
      <c r="J301" s="35">
        <v>766.0</v>
      </c>
      <c r="K301" s="35">
        <v>82261.0</v>
      </c>
      <c r="L301" s="35">
        <v>3307.0</v>
      </c>
      <c r="M301" s="35">
        <v>507703.0</v>
      </c>
      <c r="N301" s="35">
        <v>589964.0</v>
      </c>
      <c r="O301" s="35">
        <v>51.0</v>
      </c>
      <c r="P301" s="37">
        <v>6120.0</v>
      </c>
      <c r="Q301" s="37">
        <v>78.0</v>
      </c>
      <c r="R301" s="37">
        <v>5009.0</v>
      </c>
      <c r="S301" s="37">
        <v>10.0</v>
      </c>
      <c r="T301" s="37">
        <v>661.0</v>
      </c>
      <c r="U301" s="37">
        <v>450.0</v>
      </c>
      <c r="V301" s="37">
        <v>470.0</v>
      </c>
      <c r="W301" s="37">
        <v>58.0</v>
      </c>
      <c r="X301" s="37">
        <v>40.0</v>
      </c>
      <c r="Y301" s="37">
        <v>18.0</v>
      </c>
      <c r="Z301" s="35">
        <v>1798.0</v>
      </c>
      <c r="AA301" s="29">
        <v>1526.0</v>
      </c>
      <c r="AB301" s="29">
        <v>0.0</v>
      </c>
      <c r="AC301" s="29">
        <v>1526.0</v>
      </c>
      <c r="AD301" s="29">
        <v>8246.0</v>
      </c>
      <c r="AE301" s="29">
        <v>1526.0</v>
      </c>
      <c r="AF301" s="29">
        <v>8246.0</v>
      </c>
      <c r="AG301" s="29">
        <v>0.0</v>
      </c>
      <c r="AH301" s="29">
        <v>0.0</v>
      </c>
    </row>
    <row r="302" ht="14.25" customHeight="1">
      <c r="A302" s="34">
        <v>44188.0</v>
      </c>
      <c r="B302" s="35">
        <v>1092.0</v>
      </c>
      <c r="C302" s="35">
        <v>1093.0</v>
      </c>
      <c r="D302" s="35">
        <v>100561.0</v>
      </c>
      <c r="E302" s="35">
        <v>19917.0</v>
      </c>
      <c r="F302" s="36">
        <v>1809820.0</v>
      </c>
      <c r="G302" s="36">
        <v>21009.0</v>
      </c>
      <c r="H302" s="36">
        <v>1910381.0</v>
      </c>
      <c r="I302" s="35">
        <v>953.0</v>
      </c>
      <c r="J302" s="35">
        <v>938.0</v>
      </c>
      <c r="K302" s="35">
        <v>83214.0</v>
      </c>
      <c r="L302" s="35">
        <v>3690.0</v>
      </c>
      <c r="M302" s="35">
        <v>511393.0</v>
      </c>
      <c r="N302" s="35">
        <v>594607.0</v>
      </c>
      <c r="O302" s="35">
        <v>61.0</v>
      </c>
      <c r="P302" s="37">
        <v>6181.0</v>
      </c>
      <c r="Q302" s="37">
        <v>63.0</v>
      </c>
      <c r="R302" s="37">
        <v>5072.0</v>
      </c>
      <c r="S302" s="37">
        <v>5.0</v>
      </c>
      <c r="T302" s="37">
        <v>666.0</v>
      </c>
      <c r="U302" s="37">
        <v>443.0</v>
      </c>
      <c r="V302" s="37">
        <v>460.0</v>
      </c>
      <c r="W302" s="37">
        <v>64.0</v>
      </c>
      <c r="X302" s="37">
        <v>41.0</v>
      </c>
      <c r="Y302" s="37">
        <v>10.0</v>
      </c>
      <c r="Z302" s="35">
        <v>1808.0</v>
      </c>
      <c r="AA302" s="29">
        <v>1581.0</v>
      </c>
      <c r="AB302" s="29">
        <v>0.0</v>
      </c>
      <c r="AC302" s="29">
        <v>1581.0</v>
      </c>
      <c r="AD302" s="29">
        <v>9827.0</v>
      </c>
      <c r="AE302" s="29">
        <v>1581.0</v>
      </c>
      <c r="AF302" s="29">
        <v>9827.0</v>
      </c>
      <c r="AG302" s="29">
        <v>0.0</v>
      </c>
      <c r="AH302" s="29">
        <v>0.0</v>
      </c>
    </row>
    <row r="303" ht="14.25" customHeight="1">
      <c r="A303" s="34">
        <v>44189.0</v>
      </c>
      <c r="B303" s="35">
        <v>1076.0</v>
      </c>
      <c r="C303" s="35">
        <v>1082.0</v>
      </c>
      <c r="D303" s="35">
        <v>101637.0</v>
      </c>
      <c r="E303" s="35">
        <v>17039.0</v>
      </c>
      <c r="F303" s="36">
        <v>1826859.0</v>
      </c>
      <c r="G303" s="36">
        <v>18115.0</v>
      </c>
      <c r="H303" s="36">
        <v>1928496.0</v>
      </c>
      <c r="I303" s="35">
        <v>892.0</v>
      </c>
      <c r="J303" s="35">
        <v>924.0</v>
      </c>
      <c r="K303" s="35">
        <v>84106.0</v>
      </c>
      <c r="L303" s="35">
        <v>3353.0</v>
      </c>
      <c r="M303" s="35">
        <v>514746.0</v>
      </c>
      <c r="N303" s="35">
        <v>598852.0</v>
      </c>
      <c r="O303" s="35">
        <v>52.0</v>
      </c>
      <c r="P303" s="37">
        <v>6233.0</v>
      </c>
      <c r="Q303" s="37">
        <v>56.0</v>
      </c>
      <c r="R303" s="37">
        <v>5128.0</v>
      </c>
      <c r="S303" s="37">
        <v>6.0</v>
      </c>
      <c r="T303" s="37">
        <v>672.0</v>
      </c>
      <c r="U303" s="37">
        <v>433.0</v>
      </c>
      <c r="V303" s="37">
        <v>442.0</v>
      </c>
      <c r="W303" s="37">
        <v>67.0</v>
      </c>
      <c r="X303" s="37">
        <v>44.0</v>
      </c>
      <c r="Y303" s="37">
        <v>17.0</v>
      </c>
      <c r="Z303" s="35">
        <v>1825.0</v>
      </c>
      <c r="AA303" s="29">
        <v>639.0</v>
      </c>
      <c r="AB303" s="29">
        <v>0.0</v>
      </c>
      <c r="AC303" s="29">
        <v>639.0</v>
      </c>
      <c r="AD303" s="29">
        <v>10466.0</v>
      </c>
      <c r="AE303" s="29">
        <v>639.0</v>
      </c>
      <c r="AF303" s="29">
        <v>10466.0</v>
      </c>
      <c r="AG303" s="29">
        <v>0.0</v>
      </c>
      <c r="AH303" s="29">
        <v>0.0</v>
      </c>
    </row>
    <row r="304" ht="14.25" customHeight="1">
      <c r="A304" s="34">
        <v>44190.0</v>
      </c>
      <c r="B304" s="35">
        <v>306.0</v>
      </c>
      <c r="C304" s="35">
        <v>825.0</v>
      </c>
      <c r="D304" s="35">
        <v>101943.0</v>
      </c>
      <c r="E304" s="35">
        <v>3396.0</v>
      </c>
      <c r="F304" s="36">
        <v>1830255.0</v>
      </c>
      <c r="G304" s="36">
        <v>3702.0</v>
      </c>
      <c r="H304" s="36">
        <v>1932198.0</v>
      </c>
      <c r="I304" s="35">
        <v>244.0</v>
      </c>
      <c r="J304" s="35">
        <v>696.0</v>
      </c>
      <c r="K304" s="35">
        <v>84350.0</v>
      </c>
      <c r="L304" s="35">
        <v>625.0</v>
      </c>
      <c r="M304" s="35">
        <v>515371.0</v>
      </c>
      <c r="N304" s="35">
        <v>599721.0</v>
      </c>
      <c r="O304" s="35">
        <v>51.0</v>
      </c>
      <c r="P304" s="37">
        <v>6284.0</v>
      </c>
      <c r="Q304" s="37">
        <v>26.0</v>
      </c>
      <c r="R304" s="37">
        <v>5154.0</v>
      </c>
      <c r="S304" s="37">
        <v>13.0</v>
      </c>
      <c r="T304" s="37">
        <v>685.0</v>
      </c>
      <c r="U304" s="37">
        <v>445.0</v>
      </c>
      <c r="V304" s="37">
        <v>440.0</v>
      </c>
      <c r="W304" s="37">
        <v>64.0</v>
      </c>
      <c r="X304" s="37">
        <v>45.0</v>
      </c>
      <c r="Y304" s="37">
        <v>21.0</v>
      </c>
      <c r="Z304" s="35">
        <v>1846.0</v>
      </c>
      <c r="AA304" s="29">
        <v>1.0</v>
      </c>
      <c r="AB304" s="29">
        <v>0.0</v>
      </c>
      <c r="AC304" s="29">
        <v>1.0</v>
      </c>
      <c r="AD304" s="29">
        <v>10467.0</v>
      </c>
      <c r="AE304" s="29">
        <v>1.0</v>
      </c>
      <c r="AF304" s="29">
        <v>10467.0</v>
      </c>
      <c r="AG304" s="29">
        <v>0.0</v>
      </c>
      <c r="AH304" s="29">
        <v>0.0</v>
      </c>
    </row>
    <row r="305" ht="14.25" customHeight="1">
      <c r="A305" s="34">
        <v>44191.0</v>
      </c>
      <c r="B305" s="35">
        <v>945.0</v>
      </c>
      <c r="C305" s="35">
        <v>776.0</v>
      </c>
      <c r="D305" s="35">
        <v>102888.0</v>
      </c>
      <c r="E305" s="35">
        <v>10663.0</v>
      </c>
      <c r="F305" s="36">
        <v>1840918.0</v>
      </c>
      <c r="G305" s="36">
        <v>11608.0</v>
      </c>
      <c r="H305" s="36">
        <v>1943806.0</v>
      </c>
      <c r="I305" s="35">
        <v>815.0</v>
      </c>
      <c r="J305" s="35">
        <v>650.0</v>
      </c>
      <c r="K305" s="35">
        <v>85165.0</v>
      </c>
      <c r="L305" s="35">
        <v>2161.0</v>
      </c>
      <c r="M305" s="35">
        <v>517532.0</v>
      </c>
      <c r="N305" s="35">
        <v>602697.0</v>
      </c>
      <c r="O305" s="35">
        <v>57.0</v>
      </c>
      <c r="P305" s="37">
        <v>6341.0</v>
      </c>
      <c r="Q305" s="37">
        <v>40.0</v>
      </c>
      <c r="R305" s="37">
        <v>5194.0</v>
      </c>
      <c r="S305" s="37">
        <v>5.0</v>
      </c>
      <c r="T305" s="37">
        <v>690.0</v>
      </c>
      <c r="U305" s="37">
        <v>457.0</v>
      </c>
      <c r="V305" s="37">
        <v>445.0</v>
      </c>
      <c r="W305" s="37">
        <v>67.0</v>
      </c>
      <c r="X305" s="37">
        <v>54.0</v>
      </c>
      <c r="Y305" s="37">
        <v>11.0</v>
      </c>
      <c r="Z305" s="35">
        <v>1857.0</v>
      </c>
      <c r="AA305" s="29">
        <v>973.0</v>
      </c>
      <c r="AB305" s="29">
        <v>0.0</v>
      </c>
      <c r="AC305" s="29">
        <v>973.0</v>
      </c>
      <c r="AD305" s="29">
        <v>11440.0</v>
      </c>
      <c r="AE305" s="29">
        <v>973.0</v>
      </c>
      <c r="AF305" s="29">
        <v>11440.0</v>
      </c>
      <c r="AG305" s="29">
        <v>0.0</v>
      </c>
      <c r="AH305" s="29">
        <v>0.0</v>
      </c>
    </row>
    <row r="306" ht="14.25" customHeight="1">
      <c r="A306" s="34">
        <v>44192.0</v>
      </c>
      <c r="B306" s="35">
        <v>791.0</v>
      </c>
      <c r="C306" s="35">
        <v>681.0</v>
      </c>
      <c r="D306" s="35">
        <v>103679.0</v>
      </c>
      <c r="E306" s="35">
        <v>7566.0</v>
      </c>
      <c r="F306" s="36">
        <v>1848484.0</v>
      </c>
      <c r="G306" s="36">
        <v>8357.0</v>
      </c>
      <c r="H306" s="36">
        <v>1952163.0</v>
      </c>
      <c r="I306" s="35">
        <v>689.0</v>
      </c>
      <c r="J306" s="35">
        <v>583.0</v>
      </c>
      <c r="K306" s="35">
        <v>85854.0</v>
      </c>
      <c r="L306" s="35">
        <v>1899.0</v>
      </c>
      <c r="M306" s="35">
        <v>519431.0</v>
      </c>
      <c r="N306" s="35">
        <v>605285.0</v>
      </c>
      <c r="O306" s="35">
        <v>45.0</v>
      </c>
      <c r="P306" s="37">
        <v>6386.0</v>
      </c>
      <c r="Q306" s="37">
        <v>22.0</v>
      </c>
      <c r="R306" s="37">
        <v>5216.0</v>
      </c>
      <c r="S306" s="37">
        <v>8.0</v>
      </c>
      <c r="T306" s="37">
        <v>698.0</v>
      </c>
      <c r="U306" s="37">
        <v>472.0</v>
      </c>
      <c r="V306" s="37">
        <v>458.0</v>
      </c>
      <c r="W306" s="37">
        <v>68.0</v>
      </c>
      <c r="X306" s="37">
        <v>51.0</v>
      </c>
      <c r="Y306" s="37">
        <v>13.0</v>
      </c>
      <c r="Z306" s="35">
        <v>1870.0</v>
      </c>
      <c r="AA306" s="29">
        <v>835.0</v>
      </c>
      <c r="AB306" s="29">
        <v>0.0</v>
      </c>
      <c r="AC306" s="29">
        <v>835.0</v>
      </c>
      <c r="AD306" s="29">
        <v>12275.0</v>
      </c>
      <c r="AE306" s="29">
        <v>835.0</v>
      </c>
      <c r="AF306" s="29">
        <v>12275.0</v>
      </c>
      <c r="AG306" s="29">
        <v>0.0</v>
      </c>
      <c r="AH306" s="29">
        <v>0.0</v>
      </c>
    </row>
    <row r="307" ht="14.25" customHeight="1">
      <c r="A307" s="34">
        <v>44193.0</v>
      </c>
      <c r="B307" s="35">
        <v>1500.0</v>
      </c>
      <c r="C307" s="35">
        <v>1079.0</v>
      </c>
      <c r="D307" s="35">
        <v>105179.0</v>
      </c>
      <c r="E307" s="35">
        <v>12164.0</v>
      </c>
      <c r="F307" s="36">
        <v>1860648.0</v>
      </c>
      <c r="G307" s="36">
        <v>13664.0</v>
      </c>
      <c r="H307" s="36">
        <v>1965827.0</v>
      </c>
      <c r="I307" s="35">
        <v>1288.0</v>
      </c>
      <c r="J307" s="35">
        <v>931.0</v>
      </c>
      <c r="K307" s="35">
        <v>87142.0</v>
      </c>
      <c r="L307" s="35">
        <v>3212.0</v>
      </c>
      <c r="M307" s="35">
        <v>522643.0</v>
      </c>
      <c r="N307" s="35">
        <v>609785.0</v>
      </c>
      <c r="O307" s="35">
        <v>56.0</v>
      </c>
      <c r="P307" s="37">
        <v>6442.0</v>
      </c>
      <c r="Q307" s="37">
        <v>44.0</v>
      </c>
      <c r="R307" s="37">
        <v>5260.0</v>
      </c>
      <c r="S307" s="37">
        <v>5.0</v>
      </c>
      <c r="T307" s="37">
        <v>703.0</v>
      </c>
      <c r="U307" s="37">
        <v>479.0</v>
      </c>
      <c r="V307" s="37">
        <v>469.0</v>
      </c>
      <c r="W307" s="37">
        <v>72.0</v>
      </c>
      <c r="X307" s="37">
        <v>50.0</v>
      </c>
      <c r="Y307" s="37">
        <v>14.0</v>
      </c>
      <c r="Z307" s="35">
        <v>1884.0</v>
      </c>
      <c r="AA307" s="29">
        <v>3560.0</v>
      </c>
      <c r="AB307" s="29">
        <v>0.0</v>
      </c>
      <c r="AC307" s="29">
        <v>3560.0</v>
      </c>
      <c r="AD307" s="29">
        <v>15835.0</v>
      </c>
      <c r="AE307" s="29">
        <v>3560.0</v>
      </c>
      <c r="AF307" s="29">
        <v>15835.0</v>
      </c>
      <c r="AG307" s="29">
        <v>0.0</v>
      </c>
      <c r="AH307" s="29">
        <v>0.0</v>
      </c>
    </row>
    <row r="308" ht="14.25" customHeight="1">
      <c r="A308" s="34">
        <v>44194.0</v>
      </c>
      <c r="B308" s="35">
        <v>1357.0</v>
      </c>
      <c r="C308" s="35">
        <v>1216.0</v>
      </c>
      <c r="D308" s="35">
        <v>106536.0</v>
      </c>
      <c r="E308" s="35">
        <v>13787.0</v>
      </c>
      <c r="F308" s="36">
        <v>1874435.0</v>
      </c>
      <c r="G308" s="36">
        <v>15144.0</v>
      </c>
      <c r="H308" s="36">
        <v>1980971.0</v>
      </c>
      <c r="I308" s="35">
        <v>1221.0</v>
      </c>
      <c r="J308" s="35">
        <v>1066.0</v>
      </c>
      <c r="K308" s="35">
        <v>88363.0</v>
      </c>
      <c r="L308" s="35">
        <v>2753.0</v>
      </c>
      <c r="M308" s="35">
        <v>525396.0</v>
      </c>
      <c r="N308" s="35">
        <v>613759.0</v>
      </c>
      <c r="O308" s="35">
        <v>59.0</v>
      </c>
      <c r="P308" s="37">
        <v>6501.0</v>
      </c>
      <c r="Q308" s="37">
        <v>56.0</v>
      </c>
      <c r="R308" s="37">
        <v>5316.0</v>
      </c>
      <c r="S308" s="37">
        <v>6.0</v>
      </c>
      <c r="T308" s="37">
        <v>709.0</v>
      </c>
      <c r="U308" s="37">
        <v>476.0</v>
      </c>
      <c r="V308" s="37">
        <v>476.0</v>
      </c>
      <c r="W308" s="37">
        <v>70.0</v>
      </c>
      <c r="X308" s="37">
        <v>53.0</v>
      </c>
      <c r="Y308" s="37">
        <v>17.0</v>
      </c>
      <c r="Z308" s="35">
        <v>1901.0</v>
      </c>
      <c r="AA308" s="29">
        <v>3074.0</v>
      </c>
      <c r="AB308" s="29">
        <v>0.0</v>
      </c>
      <c r="AC308" s="29">
        <v>3074.0</v>
      </c>
      <c r="AD308" s="29">
        <v>18909.0</v>
      </c>
      <c r="AE308" s="29">
        <v>3074.0</v>
      </c>
      <c r="AF308" s="29">
        <v>18909.0</v>
      </c>
      <c r="AG308" s="29">
        <v>0.0</v>
      </c>
      <c r="AH308" s="29">
        <v>0.0</v>
      </c>
    </row>
    <row r="309" ht="14.25" customHeight="1">
      <c r="A309" s="34">
        <v>44195.0</v>
      </c>
      <c r="B309" s="35">
        <v>1539.0</v>
      </c>
      <c r="C309" s="35">
        <v>1465.0</v>
      </c>
      <c r="D309" s="35">
        <v>108075.0</v>
      </c>
      <c r="E309" s="35">
        <v>20034.0</v>
      </c>
      <c r="F309" s="36">
        <v>1894469.0</v>
      </c>
      <c r="G309" s="36">
        <v>21573.0</v>
      </c>
      <c r="H309" s="36">
        <v>2002544.0</v>
      </c>
      <c r="I309" s="35">
        <v>1352.0</v>
      </c>
      <c r="J309" s="35">
        <v>1287.0</v>
      </c>
      <c r="K309" s="35">
        <v>89715.0</v>
      </c>
      <c r="L309" s="35">
        <v>3473.0</v>
      </c>
      <c r="M309" s="35">
        <v>528869.0</v>
      </c>
      <c r="N309" s="35">
        <v>618584.0</v>
      </c>
      <c r="O309" s="35">
        <v>60.0</v>
      </c>
      <c r="P309" s="37">
        <v>6561.0</v>
      </c>
      <c r="Q309" s="37">
        <v>57.0</v>
      </c>
      <c r="R309" s="37">
        <v>5373.0</v>
      </c>
      <c r="S309" s="37">
        <v>5.0</v>
      </c>
      <c r="T309" s="37">
        <v>714.0</v>
      </c>
      <c r="U309" s="37">
        <v>474.0</v>
      </c>
      <c r="V309" s="37">
        <v>476.0</v>
      </c>
      <c r="W309" s="37">
        <v>66.0</v>
      </c>
      <c r="X309" s="37">
        <v>49.0</v>
      </c>
      <c r="Y309" s="37">
        <v>11.0</v>
      </c>
      <c r="Z309" s="35">
        <v>1912.0</v>
      </c>
      <c r="AA309" s="29">
        <v>3195.0</v>
      </c>
      <c r="AB309" s="29">
        <v>0.0</v>
      </c>
      <c r="AC309" s="29">
        <v>3195.0</v>
      </c>
      <c r="AD309" s="29">
        <v>22104.0</v>
      </c>
      <c r="AE309" s="29">
        <v>3195.0</v>
      </c>
      <c r="AF309" s="29">
        <v>22104.0</v>
      </c>
      <c r="AG309" s="29">
        <v>0.0</v>
      </c>
      <c r="AH309" s="29">
        <v>0.0</v>
      </c>
    </row>
    <row r="310" ht="14.25" customHeight="1">
      <c r="A310" s="34">
        <v>44196.0</v>
      </c>
      <c r="B310" s="35">
        <v>1008.0</v>
      </c>
      <c r="C310" s="35">
        <v>1301.0</v>
      </c>
      <c r="D310" s="35">
        <v>109083.0</v>
      </c>
      <c r="E310" s="35">
        <v>13996.0</v>
      </c>
      <c r="F310" s="36">
        <v>1908465.0</v>
      </c>
      <c r="G310" s="36">
        <v>15004.0</v>
      </c>
      <c r="H310" s="36">
        <v>2017548.0</v>
      </c>
      <c r="I310" s="35">
        <v>875.0</v>
      </c>
      <c r="J310" s="35">
        <v>1149.0</v>
      </c>
      <c r="K310" s="35">
        <v>90590.0</v>
      </c>
      <c r="L310" s="35">
        <v>2917.0</v>
      </c>
      <c r="M310" s="35">
        <v>531786.0</v>
      </c>
      <c r="N310" s="35">
        <v>622376.0</v>
      </c>
      <c r="O310" s="35">
        <v>57.0</v>
      </c>
      <c r="P310" s="37">
        <v>6618.0</v>
      </c>
      <c r="Q310" s="37">
        <v>60.0</v>
      </c>
      <c r="R310" s="37">
        <v>5433.0</v>
      </c>
      <c r="S310" s="37">
        <v>14.0</v>
      </c>
      <c r="T310" s="37">
        <v>728.0</v>
      </c>
      <c r="U310" s="37">
        <v>457.0</v>
      </c>
      <c r="V310" s="37">
        <v>469.0</v>
      </c>
      <c r="W310" s="37">
        <v>60.0</v>
      </c>
      <c r="X310" s="37">
        <v>44.0</v>
      </c>
      <c r="Y310" s="37">
        <v>19.0</v>
      </c>
      <c r="Z310" s="35">
        <v>1931.0</v>
      </c>
      <c r="AA310" s="29">
        <v>794.0</v>
      </c>
      <c r="AB310" s="29">
        <v>0.0</v>
      </c>
      <c r="AC310" s="29">
        <v>794.0</v>
      </c>
      <c r="AD310" s="29">
        <v>22898.0</v>
      </c>
      <c r="AE310" s="29">
        <v>794.0</v>
      </c>
      <c r="AF310" s="29">
        <v>22898.0</v>
      </c>
      <c r="AG310" s="29">
        <v>0.0</v>
      </c>
      <c r="AH310" s="29">
        <v>0.0</v>
      </c>
    </row>
    <row r="311" ht="14.25" customHeight="1">
      <c r="A311" s="34">
        <v>44197.0</v>
      </c>
      <c r="B311" s="35">
        <v>928.0</v>
      </c>
      <c r="C311" s="35">
        <v>1158.0</v>
      </c>
      <c r="D311" s="35">
        <v>110011.0</v>
      </c>
      <c r="E311" s="35">
        <v>10823.0</v>
      </c>
      <c r="F311" s="36">
        <v>1919288.0</v>
      </c>
      <c r="G311" s="36">
        <v>11751.0</v>
      </c>
      <c r="H311" s="36">
        <v>2029299.0</v>
      </c>
      <c r="I311" s="35">
        <v>806.0</v>
      </c>
      <c r="J311" s="35">
        <v>1011.0</v>
      </c>
      <c r="K311" s="35">
        <v>91396.0</v>
      </c>
      <c r="L311" s="35">
        <v>1924.0</v>
      </c>
      <c r="M311" s="35">
        <v>533710.0</v>
      </c>
      <c r="N311" s="35">
        <v>625106.0</v>
      </c>
      <c r="O311" s="35">
        <v>52.0</v>
      </c>
      <c r="P311" s="37">
        <v>6670.0</v>
      </c>
      <c r="Q311" s="37">
        <v>47.0</v>
      </c>
      <c r="R311" s="37">
        <v>5480.0</v>
      </c>
      <c r="S311" s="37">
        <v>9.0</v>
      </c>
      <c r="T311" s="37">
        <v>737.0</v>
      </c>
      <c r="U311" s="37">
        <v>453.0</v>
      </c>
      <c r="V311" s="37">
        <v>461.0</v>
      </c>
      <c r="W311" s="37">
        <v>60.0</v>
      </c>
      <c r="X311" s="37">
        <v>46.0</v>
      </c>
      <c r="Y311" s="37">
        <v>14.0</v>
      </c>
      <c r="Z311" s="35">
        <v>1945.0</v>
      </c>
      <c r="AA311" s="29">
        <v>63.0</v>
      </c>
      <c r="AB311" s="29">
        <v>0.0</v>
      </c>
      <c r="AC311" s="29">
        <v>63.0</v>
      </c>
      <c r="AD311" s="29">
        <v>22961.0</v>
      </c>
      <c r="AE311" s="29">
        <v>63.0</v>
      </c>
      <c r="AF311" s="29">
        <v>22961.0</v>
      </c>
      <c r="AG311" s="29">
        <v>0.0</v>
      </c>
      <c r="AH311" s="29">
        <v>0.0</v>
      </c>
    </row>
    <row r="312" ht="14.25" customHeight="1">
      <c r="A312" s="34">
        <v>44198.0</v>
      </c>
      <c r="B312" s="35">
        <v>1027.0</v>
      </c>
      <c r="C312" s="35">
        <v>988.0</v>
      </c>
      <c r="D312" s="35">
        <v>111038.0</v>
      </c>
      <c r="E312" s="35">
        <v>9835.0</v>
      </c>
      <c r="F312" s="36">
        <v>1929123.0</v>
      </c>
      <c r="G312" s="36">
        <v>10862.0</v>
      </c>
      <c r="H312" s="36">
        <v>2040161.0</v>
      </c>
      <c r="I312" s="35">
        <v>901.0</v>
      </c>
      <c r="J312" s="35">
        <v>861.0</v>
      </c>
      <c r="K312" s="35">
        <v>92297.0</v>
      </c>
      <c r="L312" s="35">
        <v>2177.0</v>
      </c>
      <c r="M312" s="35">
        <v>535887.0</v>
      </c>
      <c r="N312" s="35">
        <v>628184.0</v>
      </c>
      <c r="O312" s="35">
        <v>51.0</v>
      </c>
      <c r="P312" s="37">
        <v>6721.0</v>
      </c>
      <c r="Q312" s="37">
        <v>33.0</v>
      </c>
      <c r="R312" s="37">
        <v>5513.0</v>
      </c>
      <c r="S312" s="37">
        <v>5.0</v>
      </c>
      <c r="T312" s="37">
        <v>742.0</v>
      </c>
      <c r="U312" s="37">
        <v>466.0</v>
      </c>
      <c r="V312" s="37">
        <v>459.0</v>
      </c>
      <c r="W312" s="37">
        <v>59.0</v>
      </c>
      <c r="X312" s="37">
        <v>42.0</v>
      </c>
      <c r="Y312" s="37">
        <v>13.0</v>
      </c>
      <c r="Z312" s="35">
        <v>1958.0</v>
      </c>
      <c r="AA312" s="29">
        <v>1746.0</v>
      </c>
      <c r="AB312" s="29">
        <v>20.0</v>
      </c>
      <c r="AC312" s="29">
        <v>1766.0</v>
      </c>
      <c r="AD312" s="29">
        <v>24727.0</v>
      </c>
      <c r="AE312" s="29">
        <v>1746.0</v>
      </c>
      <c r="AF312" s="29">
        <v>24707.0</v>
      </c>
      <c r="AG312" s="29">
        <v>20.0</v>
      </c>
      <c r="AH312" s="29">
        <v>20.0</v>
      </c>
    </row>
    <row r="313" ht="14.25" customHeight="1">
      <c r="A313" s="34">
        <v>44199.0</v>
      </c>
      <c r="B313" s="35">
        <v>760.0</v>
      </c>
      <c r="C313" s="35">
        <v>905.0</v>
      </c>
      <c r="D313" s="35">
        <v>111798.0</v>
      </c>
      <c r="E313" s="35">
        <v>8247.0</v>
      </c>
      <c r="F313" s="36">
        <v>1937370.0</v>
      </c>
      <c r="G313" s="36">
        <v>9007.0</v>
      </c>
      <c r="H313" s="36">
        <v>2049168.0</v>
      </c>
      <c r="I313" s="35">
        <v>651.0</v>
      </c>
      <c r="J313" s="35">
        <v>786.0</v>
      </c>
      <c r="K313" s="35">
        <v>92948.0</v>
      </c>
      <c r="L313" s="35">
        <v>2123.0</v>
      </c>
      <c r="M313" s="35">
        <v>538010.0</v>
      </c>
      <c r="N313" s="35">
        <v>630958.0</v>
      </c>
      <c r="O313" s="35">
        <v>39.0</v>
      </c>
      <c r="P313" s="37">
        <v>6760.0</v>
      </c>
      <c r="Q313" s="37">
        <v>40.0</v>
      </c>
      <c r="R313" s="37">
        <v>5553.0</v>
      </c>
      <c r="S313" s="37">
        <v>9.0</v>
      </c>
      <c r="T313" s="37">
        <v>751.0</v>
      </c>
      <c r="U313" s="37">
        <v>456.0</v>
      </c>
      <c r="V313" s="37">
        <v>458.0</v>
      </c>
      <c r="W313" s="37">
        <v>61.0</v>
      </c>
      <c r="X313" s="37">
        <v>42.0</v>
      </c>
      <c r="Y313" s="37">
        <v>17.0</v>
      </c>
      <c r="Z313" s="35">
        <v>1975.0</v>
      </c>
      <c r="AA313" s="29">
        <v>1723.0</v>
      </c>
      <c r="AB313" s="29">
        <v>102.0</v>
      </c>
      <c r="AC313" s="29">
        <v>1825.0</v>
      </c>
      <c r="AD313" s="29">
        <v>26552.0</v>
      </c>
      <c r="AE313" s="29">
        <v>1723.0</v>
      </c>
      <c r="AF313" s="29">
        <v>26430.0</v>
      </c>
      <c r="AG313" s="29">
        <v>102.0</v>
      </c>
      <c r="AH313" s="29">
        <v>122.0</v>
      </c>
    </row>
    <row r="314" ht="14.25" customHeight="1">
      <c r="A314" s="34">
        <v>44200.0</v>
      </c>
      <c r="B314" s="35">
        <v>1264.0</v>
      </c>
      <c r="C314" s="35">
        <v>1017.0</v>
      </c>
      <c r="D314" s="35">
        <v>113062.0</v>
      </c>
      <c r="E314" s="35">
        <v>11850.0</v>
      </c>
      <c r="F314" s="36">
        <v>1949220.0</v>
      </c>
      <c r="G314" s="36">
        <v>13114.0</v>
      </c>
      <c r="H314" s="36">
        <v>2062282.0</v>
      </c>
      <c r="I314" s="35">
        <v>1128.0</v>
      </c>
      <c r="J314" s="35">
        <v>893.0</v>
      </c>
      <c r="K314" s="35">
        <v>94076.0</v>
      </c>
      <c r="L314" s="35">
        <v>2959.0</v>
      </c>
      <c r="M314" s="35">
        <v>540969.0</v>
      </c>
      <c r="N314" s="35">
        <v>635045.0</v>
      </c>
      <c r="O314" s="35">
        <v>68.0</v>
      </c>
      <c r="P314" s="37">
        <v>6828.0</v>
      </c>
      <c r="Q314" s="37">
        <v>60.0</v>
      </c>
      <c r="R314" s="37">
        <v>5613.0</v>
      </c>
      <c r="S314" s="37">
        <v>12.0</v>
      </c>
      <c r="T314" s="37">
        <v>763.0</v>
      </c>
      <c r="U314" s="37">
        <v>452.0</v>
      </c>
      <c r="V314" s="37">
        <v>458.0</v>
      </c>
      <c r="W314" s="37">
        <v>64.0</v>
      </c>
      <c r="X314" s="37">
        <v>42.0</v>
      </c>
      <c r="Y314" s="37">
        <v>19.0</v>
      </c>
      <c r="Z314" s="35">
        <v>1994.0</v>
      </c>
      <c r="AA314" s="29">
        <v>2335.0</v>
      </c>
      <c r="AB314" s="29">
        <v>282.0</v>
      </c>
      <c r="AC314" s="29">
        <v>2617.0</v>
      </c>
      <c r="AD314" s="29">
        <v>29169.0</v>
      </c>
      <c r="AE314" s="29">
        <v>2335.0</v>
      </c>
      <c r="AF314" s="29">
        <v>28765.0</v>
      </c>
      <c r="AG314" s="29">
        <v>282.0</v>
      </c>
      <c r="AH314" s="29">
        <v>404.0</v>
      </c>
    </row>
    <row r="315" ht="14.25" customHeight="1">
      <c r="A315" s="34">
        <v>44201.0</v>
      </c>
      <c r="B315" s="35">
        <v>1884.0</v>
      </c>
      <c r="C315" s="35">
        <v>1303.0</v>
      </c>
      <c r="D315" s="35">
        <v>114946.0</v>
      </c>
      <c r="E315" s="35">
        <v>19204.0</v>
      </c>
      <c r="F315" s="36">
        <v>1968424.0</v>
      </c>
      <c r="G315" s="36">
        <v>21088.0</v>
      </c>
      <c r="H315" s="36">
        <v>2083370.0</v>
      </c>
      <c r="I315" s="35">
        <v>1622.0</v>
      </c>
      <c r="J315" s="35">
        <v>1134.0</v>
      </c>
      <c r="K315" s="35">
        <v>95698.0</v>
      </c>
      <c r="L315" s="35">
        <v>3858.0</v>
      </c>
      <c r="M315" s="35">
        <v>544827.0</v>
      </c>
      <c r="N315" s="35">
        <v>640525.0</v>
      </c>
      <c r="O315" s="35">
        <v>57.0</v>
      </c>
      <c r="P315" s="37">
        <v>6885.0</v>
      </c>
      <c r="Q315" s="37">
        <v>55.0</v>
      </c>
      <c r="R315" s="37">
        <v>5668.0</v>
      </c>
      <c r="S315" s="37">
        <v>7.0</v>
      </c>
      <c r="T315" s="37">
        <v>770.0</v>
      </c>
      <c r="U315" s="37">
        <v>447.0</v>
      </c>
      <c r="V315" s="37">
        <v>452.0</v>
      </c>
      <c r="W315" s="37">
        <v>63.0</v>
      </c>
      <c r="X315" s="37">
        <v>41.0</v>
      </c>
      <c r="Y315" s="37">
        <v>13.0</v>
      </c>
      <c r="Z315" s="35">
        <v>2007.0</v>
      </c>
      <c r="AA315" s="29">
        <v>2513.0</v>
      </c>
      <c r="AB315" s="29">
        <v>239.0</v>
      </c>
      <c r="AC315" s="29">
        <v>2752.0</v>
      </c>
      <c r="AD315" s="29">
        <v>31921.0</v>
      </c>
      <c r="AE315" s="29">
        <v>2513.0</v>
      </c>
      <c r="AF315" s="29">
        <v>31278.0</v>
      </c>
      <c r="AG315" s="29">
        <v>239.0</v>
      </c>
      <c r="AH315" s="29">
        <v>643.0</v>
      </c>
    </row>
    <row r="316" ht="14.25" customHeight="1">
      <c r="A316" s="34">
        <v>44202.0</v>
      </c>
      <c r="B316" s="35">
        <v>1373.0</v>
      </c>
      <c r="C316" s="35">
        <v>1507.0</v>
      </c>
      <c r="D316" s="35">
        <v>116319.0</v>
      </c>
      <c r="E316" s="35">
        <v>18324.0</v>
      </c>
      <c r="F316" s="36">
        <v>1986748.0</v>
      </c>
      <c r="G316" s="36">
        <v>19697.0</v>
      </c>
      <c r="H316" s="36">
        <v>2103067.0</v>
      </c>
      <c r="I316" s="35">
        <v>1222.0</v>
      </c>
      <c r="J316" s="35">
        <v>1324.0</v>
      </c>
      <c r="K316" s="35">
        <v>96920.0</v>
      </c>
      <c r="L316" s="35">
        <v>3062.0</v>
      </c>
      <c r="M316" s="35">
        <v>547889.0</v>
      </c>
      <c r="N316" s="35">
        <v>644809.0</v>
      </c>
      <c r="O316" s="35">
        <v>59.0</v>
      </c>
      <c r="P316" s="37">
        <v>6944.0</v>
      </c>
      <c r="Q316" s="37">
        <v>60.0</v>
      </c>
      <c r="R316" s="37">
        <v>5728.0</v>
      </c>
      <c r="S316" s="37">
        <v>12.0</v>
      </c>
      <c r="T316" s="37">
        <v>782.0</v>
      </c>
      <c r="U316" s="37">
        <v>434.0</v>
      </c>
      <c r="V316" s="37">
        <v>444.0</v>
      </c>
      <c r="W316" s="37">
        <v>58.0</v>
      </c>
      <c r="X316" s="37">
        <v>39.0</v>
      </c>
      <c r="Y316" s="37">
        <v>19.0</v>
      </c>
      <c r="Z316" s="35">
        <v>2026.0</v>
      </c>
      <c r="AA316" s="29">
        <v>1633.0</v>
      </c>
      <c r="AB316" s="29">
        <v>469.0</v>
      </c>
      <c r="AC316" s="29">
        <v>2102.0</v>
      </c>
      <c r="AD316" s="29">
        <v>34023.0</v>
      </c>
      <c r="AE316" s="29">
        <v>1633.0</v>
      </c>
      <c r="AF316" s="29">
        <v>32911.0</v>
      </c>
      <c r="AG316" s="29">
        <v>469.0</v>
      </c>
      <c r="AH316" s="29">
        <v>1112.0</v>
      </c>
    </row>
    <row r="317" ht="14.25" customHeight="1">
      <c r="A317" s="34">
        <v>44203.0</v>
      </c>
      <c r="B317" s="35">
        <v>1262.0</v>
      </c>
      <c r="C317" s="35">
        <v>1506.0</v>
      </c>
      <c r="D317" s="35">
        <v>117581.0</v>
      </c>
      <c r="E317" s="35">
        <v>17441.0</v>
      </c>
      <c r="F317" s="36">
        <v>2004189.0</v>
      </c>
      <c r="G317" s="36">
        <v>18703.0</v>
      </c>
      <c r="H317" s="36">
        <v>2121770.0</v>
      </c>
      <c r="I317" s="35">
        <v>1121.0</v>
      </c>
      <c r="J317" s="35">
        <v>1322.0</v>
      </c>
      <c r="K317" s="35">
        <v>98041.0</v>
      </c>
      <c r="L317" s="35">
        <v>3265.0</v>
      </c>
      <c r="M317" s="35">
        <v>551154.0</v>
      </c>
      <c r="N317" s="35">
        <v>649195.0</v>
      </c>
      <c r="O317" s="35">
        <v>51.0</v>
      </c>
      <c r="P317" s="37">
        <v>6995.0</v>
      </c>
      <c r="Q317" s="37">
        <v>56.0</v>
      </c>
      <c r="R317" s="37">
        <v>5784.0</v>
      </c>
      <c r="S317" s="37">
        <v>4.0</v>
      </c>
      <c r="T317" s="37">
        <v>786.0</v>
      </c>
      <c r="U317" s="37">
        <v>425.0</v>
      </c>
      <c r="V317" s="37">
        <v>435.0</v>
      </c>
      <c r="W317" s="37">
        <v>57.0</v>
      </c>
      <c r="X317" s="37">
        <v>36.0</v>
      </c>
      <c r="Y317" s="37">
        <v>11.0</v>
      </c>
      <c r="Z317" s="35">
        <v>2037.0</v>
      </c>
      <c r="AA317" s="29">
        <v>1746.0</v>
      </c>
      <c r="AB317" s="29">
        <v>705.0</v>
      </c>
      <c r="AC317" s="29">
        <v>2451.0</v>
      </c>
      <c r="AD317" s="29">
        <v>36474.0</v>
      </c>
      <c r="AE317" s="29">
        <v>1746.0</v>
      </c>
      <c r="AF317" s="29">
        <v>34657.0</v>
      </c>
      <c r="AG317" s="29">
        <v>705.0</v>
      </c>
      <c r="AH317" s="29">
        <v>1817.0</v>
      </c>
    </row>
    <row r="318" ht="14.25" customHeight="1">
      <c r="A318" s="34">
        <v>44204.0</v>
      </c>
      <c r="B318" s="35">
        <v>1422.0</v>
      </c>
      <c r="C318" s="35">
        <v>1352.0</v>
      </c>
      <c r="D318" s="35">
        <v>119003.0</v>
      </c>
      <c r="E318" s="35">
        <v>20467.0</v>
      </c>
      <c r="F318" s="36">
        <v>2024656.0</v>
      </c>
      <c r="G318" s="36">
        <v>21889.0</v>
      </c>
      <c r="H318" s="36">
        <v>2143659.0</v>
      </c>
      <c r="I318" s="35">
        <v>1241.0</v>
      </c>
      <c r="J318" s="35">
        <v>1195.0</v>
      </c>
      <c r="K318" s="35">
        <v>99282.0</v>
      </c>
      <c r="L318" s="35">
        <v>3888.0</v>
      </c>
      <c r="M318" s="35">
        <v>555042.0</v>
      </c>
      <c r="N318" s="35">
        <v>654324.0</v>
      </c>
      <c r="O318" s="35">
        <v>56.0</v>
      </c>
      <c r="P318" s="37">
        <v>7051.0</v>
      </c>
      <c r="Q318" s="37">
        <v>51.0</v>
      </c>
      <c r="R318" s="37">
        <v>5835.0</v>
      </c>
      <c r="S318" s="37">
        <v>6.0</v>
      </c>
      <c r="T318" s="37">
        <v>792.0</v>
      </c>
      <c r="U318" s="37">
        <v>424.0</v>
      </c>
      <c r="V318" s="37">
        <v>428.0</v>
      </c>
      <c r="W318" s="37">
        <v>54.0</v>
      </c>
      <c r="X318" s="37">
        <v>35.0</v>
      </c>
      <c r="Y318" s="37">
        <v>13.0</v>
      </c>
      <c r="Z318" s="35">
        <v>2050.0</v>
      </c>
      <c r="AA318" s="29">
        <v>1788.0</v>
      </c>
      <c r="AB318" s="29">
        <v>1553.0</v>
      </c>
      <c r="AC318" s="29">
        <v>3341.0</v>
      </c>
      <c r="AD318" s="29">
        <v>39815.0</v>
      </c>
      <c r="AE318" s="29">
        <v>1788.0</v>
      </c>
      <c r="AF318" s="29">
        <v>36445.0</v>
      </c>
      <c r="AG318" s="29">
        <v>1553.0</v>
      </c>
      <c r="AH318" s="29">
        <v>3370.0</v>
      </c>
    </row>
    <row r="319" ht="14.25" customHeight="1">
      <c r="A319" s="34">
        <v>44205.0</v>
      </c>
      <c r="B319" s="35">
        <v>1287.0</v>
      </c>
      <c r="C319" s="35">
        <v>1324.0</v>
      </c>
      <c r="D319" s="35">
        <v>120290.0</v>
      </c>
      <c r="E319" s="35">
        <v>17328.0</v>
      </c>
      <c r="F319" s="36">
        <v>2041984.0</v>
      </c>
      <c r="G319" s="36">
        <v>18615.0</v>
      </c>
      <c r="H319" s="36">
        <v>2162274.0</v>
      </c>
      <c r="I319" s="35">
        <v>1084.0</v>
      </c>
      <c r="J319" s="35">
        <v>1149.0</v>
      </c>
      <c r="K319" s="35">
        <v>100366.0</v>
      </c>
      <c r="L319" s="35">
        <v>3402.0</v>
      </c>
      <c r="M319" s="35">
        <v>558444.0</v>
      </c>
      <c r="N319" s="35">
        <v>658810.0</v>
      </c>
      <c r="O319" s="35">
        <v>65.0</v>
      </c>
      <c r="P319" s="37">
        <v>7116.0</v>
      </c>
      <c r="Q319" s="37">
        <v>39.0</v>
      </c>
      <c r="R319" s="37">
        <v>5874.0</v>
      </c>
      <c r="S319" s="37">
        <v>6.0</v>
      </c>
      <c r="T319" s="37">
        <v>798.0</v>
      </c>
      <c r="U319" s="37">
        <v>444.0</v>
      </c>
      <c r="V319" s="37">
        <v>431.0</v>
      </c>
      <c r="W319" s="37">
        <v>52.0</v>
      </c>
      <c r="X319" s="37">
        <v>33.0</v>
      </c>
      <c r="Y319" s="37">
        <v>15.0</v>
      </c>
      <c r="Z319" s="35">
        <v>2065.0</v>
      </c>
      <c r="AA319" s="29">
        <v>1472.0</v>
      </c>
      <c r="AB319" s="29">
        <v>696.0</v>
      </c>
      <c r="AC319" s="29">
        <v>2168.0</v>
      </c>
      <c r="AD319" s="29">
        <v>41983.0</v>
      </c>
      <c r="AE319" s="29">
        <v>1472.0</v>
      </c>
      <c r="AF319" s="29">
        <v>37917.0</v>
      </c>
      <c r="AG319" s="29">
        <v>696.0</v>
      </c>
      <c r="AH319" s="29">
        <v>4066.0</v>
      </c>
    </row>
    <row r="320" ht="14.25" customHeight="1">
      <c r="A320" s="34">
        <v>44206.0</v>
      </c>
      <c r="B320" s="35">
        <v>739.0</v>
      </c>
      <c r="C320" s="35">
        <v>1149.0</v>
      </c>
      <c r="D320" s="35">
        <v>121029.0</v>
      </c>
      <c r="E320" s="35">
        <v>8781.0</v>
      </c>
      <c r="F320" s="36">
        <v>2050765.0</v>
      </c>
      <c r="G320" s="36">
        <v>9520.0</v>
      </c>
      <c r="H320" s="36">
        <v>2171794.0</v>
      </c>
      <c r="I320" s="35">
        <v>661.0</v>
      </c>
      <c r="J320" s="35">
        <v>995.0</v>
      </c>
      <c r="K320" s="35">
        <v>101027.0</v>
      </c>
      <c r="L320" s="35">
        <v>2073.0</v>
      </c>
      <c r="M320" s="35">
        <v>560517.0</v>
      </c>
      <c r="N320" s="35">
        <v>661544.0</v>
      </c>
      <c r="O320" s="35">
        <v>45.0</v>
      </c>
      <c r="P320" s="37">
        <v>7161.0</v>
      </c>
      <c r="Q320" s="37">
        <v>40.0</v>
      </c>
      <c r="R320" s="37">
        <v>5914.0</v>
      </c>
      <c r="S320" s="37">
        <v>5.0</v>
      </c>
      <c r="T320" s="37">
        <v>803.0</v>
      </c>
      <c r="U320" s="37">
        <v>444.0</v>
      </c>
      <c r="V320" s="37">
        <v>437.0</v>
      </c>
      <c r="W320" s="37">
        <v>55.0</v>
      </c>
      <c r="X320" s="37">
        <v>34.0</v>
      </c>
      <c r="Y320" s="37">
        <v>15.0</v>
      </c>
      <c r="Z320" s="35">
        <v>2080.0</v>
      </c>
      <c r="AA320" s="29">
        <v>338.0</v>
      </c>
      <c r="AB320" s="29">
        <v>760.0</v>
      </c>
      <c r="AC320" s="29">
        <v>1098.0</v>
      </c>
      <c r="AD320" s="29">
        <v>43081.0</v>
      </c>
      <c r="AE320" s="29">
        <v>338.0</v>
      </c>
      <c r="AF320" s="29">
        <v>38255.0</v>
      </c>
      <c r="AG320" s="29">
        <v>760.0</v>
      </c>
      <c r="AH320" s="29">
        <v>4826.0</v>
      </c>
    </row>
    <row r="321" ht="14.25" customHeight="1">
      <c r="A321" s="34">
        <v>44207.0</v>
      </c>
      <c r="B321" s="35">
        <v>1016.0</v>
      </c>
      <c r="C321" s="35">
        <v>1014.0</v>
      </c>
      <c r="D321" s="35">
        <v>122045.0</v>
      </c>
      <c r="E321" s="35">
        <v>13398.0</v>
      </c>
      <c r="F321" s="36">
        <v>2064163.0</v>
      </c>
      <c r="G321" s="36">
        <v>14414.0</v>
      </c>
      <c r="H321" s="36">
        <v>2186208.0</v>
      </c>
      <c r="I321" s="35">
        <v>893.0</v>
      </c>
      <c r="J321" s="35">
        <v>879.0</v>
      </c>
      <c r="K321" s="35">
        <v>101920.0</v>
      </c>
      <c r="L321" s="35">
        <v>3366.0</v>
      </c>
      <c r="M321" s="35">
        <v>563883.0</v>
      </c>
      <c r="N321" s="35">
        <v>665803.0</v>
      </c>
      <c r="O321" s="35">
        <v>64.0</v>
      </c>
      <c r="P321" s="37">
        <v>7225.0</v>
      </c>
      <c r="Q321" s="37">
        <v>50.0</v>
      </c>
      <c r="R321" s="37">
        <v>5964.0</v>
      </c>
      <c r="S321" s="37">
        <v>9.0</v>
      </c>
      <c r="T321" s="37">
        <v>812.0</v>
      </c>
      <c r="U321" s="37">
        <v>449.0</v>
      </c>
      <c r="V321" s="37">
        <v>446.0</v>
      </c>
      <c r="W321" s="37">
        <v>54.0</v>
      </c>
      <c r="X321" s="37">
        <v>36.0</v>
      </c>
      <c r="Y321" s="37">
        <v>22.0</v>
      </c>
      <c r="Z321" s="35">
        <v>2102.0</v>
      </c>
      <c r="AA321" s="29">
        <v>1311.0</v>
      </c>
      <c r="AB321" s="29">
        <v>1513.0</v>
      </c>
      <c r="AC321" s="29">
        <v>2824.0</v>
      </c>
      <c r="AD321" s="29">
        <v>45905.0</v>
      </c>
      <c r="AE321" s="29">
        <v>1311.0</v>
      </c>
      <c r="AF321" s="29">
        <v>39566.0</v>
      </c>
      <c r="AG321" s="29">
        <v>1513.0</v>
      </c>
      <c r="AH321" s="29">
        <v>6339.0</v>
      </c>
    </row>
    <row r="322" ht="14.25" customHeight="1">
      <c r="A322" s="34">
        <v>44208.0</v>
      </c>
      <c r="B322" s="35">
        <v>1118.0</v>
      </c>
      <c r="C322" s="35">
        <v>958.0</v>
      </c>
      <c r="D322" s="35">
        <v>123163.0</v>
      </c>
      <c r="E322" s="35">
        <v>18313.0</v>
      </c>
      <c r="F322" s="36">
        <v>2082476.0</v>
      </c>
      <c r="G322" s="36">
        <v>19431.0</v>
      </c>
      <c r="H322" s="36">
        <v>2205639.0</v>
      </c>
      <c r="I322" s="35">
        <v>948.0</v>
      </c>
      <c r="J322" s="35">
        <v>834.0</v>
      </c>
      <c r="K322" s="35">
        <v>102868.0</v>
      </c>
      <c r="L322" s="35">
        <v>3695.0</v>
      </c>
      <c r="M322" s="35">
        <v>567578.0</v>
      </c>
      <c r="N322" s="35">
        <v>670446.0</v>
      </c>
      <c r="O322" s="35">
        <v>61.0</v>
      </c>
      <c r="P322" s="37">
        <v>7286.0</v>
      </c>
      <c r="Q322" s="37">
        <v>76.0</v>
      </c>
      <c r="R322" s="37">
        <v>6040.0</v>
      </c>
      <c r="S322" s="37">
        <v>8.0</v>
      </c>
      <c r="T322" s="37">
        <v>820.0</v>
      </c>
      <c r="U322" s="37">
        <v>426.0</v>
      </c>
      <c r="V322" s="37">
        <v>440.0</v>
      </c>
      <c r="W322" s="37">
        <v>56.0</v>
      </c>
      <c r="X322" s="37">
        <v>37.0</v>
      </c>
      <c r="Y322" s="37">
        <v>15.0</v>
      </c>
      <c r="Z322" s="35">
        <v>2117.0</v>
      </c>
      <c r="AA322" s="29">
        <v>1905.0</v>
      </c>
      <c r="AB322" s="29">
        <v>1290.0</v>
      </c>
      <c r="AC322" s="29">
        <v>3195.0</v>
      </c>
      <c r="AD322" s="29">
        <v>49100.0</v>
      </c>
      <c r="AE322" s="29">
        <v>1905.0</v>
      </c>
      <c r="AF322" s="29">
        <v>41471.0</v>
      </c>
      <c r="AG322" s="29">
        <v>1290.0</v>
      </c>
      <c r="AH322" s="29">
        <v>7629.0</v>
      </c>
    </row>
    <row r="323" ht="14.25" customHeight="1">
      <c r="A323" s="34">
        <v>44209.0</v>
      </c>
      <c r="B323" s="35">
        <v>1035.0</v>
      </c>
      <c r="C323" s="35">
        <v>1056.0</v>
      </c>
      <c r="D323" s="35">
        <v>124198.0</v>
      </c>
      <c r="E323" s="35">
        <v>19973.0</v>
      </c>
      <c r="F323" s="36">
        <v>2102449.0</v>
      </c>
      <c r="G323" s="36">
        <v>21008.0</v>
      </c>
      <c r="H323" s="36">
        <v>2226647.0</v>
      </c>
      <c r="I323" s="35">
        <v>882.0</v>
      </c>
      <c r="J323" s="35">
        <v>908.0</v>
      </c>
      <c r="K323" s="35">
        <v>103750.0</v>
      </c>
      <c r="L323" s="35">
        <v>3918.0</v>
      </c>
      <c r="M323" s="35">
        <v>571496.0</v>
      </c>
      <c r="N323" s="35">
        <v>675246.0</v>
      </c>
      <c r="O323" s="35">
        <v>67.0</v>
      </c>
      <c r="P323" s="37">
        <v>7353.0</v>
      </c>
      <c r="Q323" s="37">
        <v>57.0</v>
      </c>
      <c r="R323" s="37">
        <v>6097.0</v>
      </c>
      <c r="S323" s="37">
        <v>5.0</v>
      </c>
      <c r="T323" s="37">
        <v>825.0</v>
      </c>
      <c r="U323" s="37">
        <v>431.0</v>
      </c>
      <c r="V323" s="37">
        <v>435.0</v>
      </c>
      <c r="W323" s="37">
        <v>56.0</v>
      </c>
      <c r="X323" s="37">
        <v>37.0</v>
      </c>
      <c r="Y323" s="37">
        <v>11.0</v>
      </c>
      <c r="Z323" s="35">
        <v>2128.0</v>
      </c>
      <c r="AA323" s="29">
        <v>1302.0</v>
      </c>
      <c r="AB323" s="29">
        <v>1217.0</v>
      </c>
      <c r="AC323" s="29">
        <v>2519.0</v>
      </c>
      <c r="AD323" s="29">
        <v>51619.0</v>
      </c>
      <c r="AE323" s="29">
        <v>1302.0</v>
      </c>
      <c r="AF323" s="29">
        <v>42773.0</v>
      </c>
      <c r="AG323" s="29">
        <v>1217.0</v>
      </c>
      <c r="AH323" s="29">
        <v>8846.0</v>
      </c>
    </row>
    <row r="324" ht="14.25" customHeight="1">
      <c r="A324" s="34">
        <v>44210.0</v>
      </c>
      <c r="B324" s="35">
        <v>1147.0</v>
      </c>
      <c r="C324" s="35">
        <v>1100.0</v>
      </c>
      <c r="D324" s="35">
        <v>125345.0</v>
      </c>
      <c r="E324" s="35">
        <v>20572.0</v>
      </c>
      <c r="F324" s="36">
        <v>2123021.0</v>
      </c>
      <c r="G324" s="36">
        <v>21719.0</v>
      </c>
      <c r="H324" s="36">
        <v>2248366.0</v>
      </c>
      <c r="I324" s="35">
        <v>996.0</v>
      </c>
      <c r="J324" s="35">
        <v>942.0</v>
      </c>
      <c r="K324" s="35">
        <v>104746.0</v>
      </c>
      <c r="L324" s="35">
        <v>3964.0</v>
      </c>
      <c r="M324" s="35">
        <v>575460.0</v>
      </c>
      <c r="N324" s="35">
        <v>680206.0</v>
      </c>
      <c r="O324" s="35">
        <v>64.0</v>
      </c>
      <c r="P324" s="37">
        <v>7417.0</v>
      </c>
      <c r="Q324" s="37">
        <v>60.0</v>
      </c>
      <c r="R324" s="37">
        <v>6157.0</v>
      </c>
      <c r="S324" s="37">
        <v>5.0</v>
      </c>
      <c r="T324" s="37">
        <v>830.0</v>
      </c>
      <c r="U324" s="37">
        <v>430.0</v>
      </c>
      <c r="V324" s="37">
        <v>429.0</v>
      </c>
      <c r="W324" s="37">
        <v>58.0</v>
      </c>
      <c r="X324" s="37">
        <v>40.0</v>
      </c>
      <c r="Y324" s="37">
        <v>10.0</v>
      </c>
      <c r="Z324" s="35">
        <v>2138.0</v>
      </c>
      <c r="AA324" s="29">
        <v>2330.0</v>
      </c>
      <c r="AB324" s="29">
        <v>596.0</v>
      </c>
      <c r="AC324" s="29">
        <v>2926.0</v>
      </c>
      <c r="AD324" s="29">
        <v>54545.0</v>
      </c>
      <c r="AE324" s="29">
        <v>2330.0</v>
      </c>
      <c r="AF324" s="29">
        <v>45103.0</v>
      </c>
      <c r="AG324" s="29">
        <v>596.0</v>
      </c>
      <c r="AH324" s="29">
        <v>9442.0</v>
      </c>
    </row>
    <row r="325" ht="14.25" customHeight="1">
      <c r="A325" s="34">
        <v>44211.0</v>
      </c>
      <c r="B325" s="35">
        <v>1104.0</v>
      </c>
      <c r="C325" s="35">
        <v>1095.0</v>
      </c>
      <c r="D325" s="35">
        <v>126449.0</v>
      </c>
      <c r="E325" s="35">
        <v>17565.0</v>
      </c>
      <c r="F325" s="36">
        <v>2140586.0</v>
      </c>
      <c r="G325" s="36">
        <v>18669.0</v>
      </c>
      <c r="H325" s="36">
        <v>2267035.0</v>
      </c>
      <c r="I325" s="35">
        <v>945.0</v>
      </c>
      <c r="J325" s="35">
        <v>941.0</v>
      </c>
      <c r="K325" s="35">
        <v>105691.0</v>
      </c>
      <c r="L325" s="35">
        <v>3282.0</v>
      </c>
      <c r="M325" s="35">
        <v>578742.0</v>
      </c>
      <c r="N325" s="35">
        <v>684433.0</v>
      </c>
      <c r="O325" s="35">
        <v>61.0</v>
      </c>
      <c r="P325" s="37">
        <v>7478.0</v>
      </c>
      <c r="Q325" s="37">
        <v>73.0</v>
      </c>
      <c r="R325" s="37">
        <v>6230.0</v>
      </c>
      <c r="S325" s="37">
        <v>8.0</v>
      </c>
      <c r="T325" s="37">
        <v>838.0</v>
      </c>
      <c r="U325" s="37">
        <v>410.0</v>
      </c>
      <c r="V325" s="37">
        <v>424.0</v>
      </c>
      <c r="W325" s="37">
        <v>57.0</v>
      </c>
      <c r="X325" s="37">
        <v>38.0</v>
      </c>
      <c r="Y325" s="37">
        <v>16.0</v>
      </c>
      <c r="Z325" s="35">
        <v>2154.0</v>
      </c>
      <c r="AA325" s="29">
        <v>1600.0</v>
      </c>
      <c r="AB325" s="29">
        <v>576.0</v>
      </c>
      <c r="AC325" s="29">
        <v>2176.0</v>
      </c>
      <c r="AD325" s="29">
        <v>56721.0</v>
      </c>
      <c r="AE325" s="29">
        <v>1600.0</v>
      </c>
      <c r="AF325" s="29">
        <v>46703.0</v>
      </c>
      <c r="AG325" s="29">
        <v>576.0</v>
      </c>
      <c r="AH325" s="29">
        <v>10018.0</v>
      </c>
    </row>
    <row r="326" ht="14.25" customHeight="1">
      <c r="A326" s="34">
        <v>44212.0</v>
      </c>
      <c r="B326" s="35">
        <v>921.0</v>
      </c>
      <c r="C326" s="35">
        <v>1057.0</v>
      </c>
      <c r="D326" s="35">
        <v>127370.0</v>
      </c>
      <c r="E326" s="35">
        <v>16699.0</v>
      </c>
      <c r="F326" s="36">
        <v>2157285.0</v>
      </c>
      <c r="G326" s="36">
        <v>17620.0</v>
      </c>
      <c r="H326" s="36">
        <v>2284655.0</v>
      </c>
      <c r="I326" s="35">
        <v>768.0</v>
      </c>
      <c r="J326" s="35">
        <v>903.0</v>
      </c>
      <c r="K326" s="35">
        <v>106459.0</v>
      </c>
      <c r="L326" s="35">
        <v>2844.0</v>
      </c>
      <c r="M326" s="35">
        <v>581586.0</v>
      </c>
      <c r="N326" s="35">
        <v>688045.0</v>
      </c>
      <c r="O326" s="35">
        <v>56.0</v>
      </c>
      <c r="P326" s="37">
        <v>7534.0</v>
      </c>
      <c r="Q326" s="37">
        <v>51.0</v>
      </c>
      <c r="R326" s="37">
        <v>6281.0</v>
      </c>
      <c r="S326" s="37">
        <v>3.0</v>
      </c>
      <c r="T326" s="37">
        <v>841.0</v>
      </c>
      <c r="U326" s="37">
        <v>412.0</v>
      </c>
      <c r="V326" s="37">
        <v>417.0</v>
      </c>
      <c r="W326" s="37">
        <v>59.0</v>
      </c>
      <c r="X326" s="37">
        <v>43.0</v>
      </c>
      <c r="Y326" s="37">
        <v>15.0</v>
      </c>
      <c r="Z326" s="35">
        <v>2169.0</v>
      </c>
      <c r="AA326" s="29">
        <v>2256.0</v>
      </c>
      <c r="AB326" s="29">
        <v>594.0</v>
      </c>
      <c r="AC326" s="29">
        <v>2850.0</v>
      </c>
      <c r="AD326" s="29">
        <v>59571.0</v>
      </c>
      <c r="AE326" s="29">
        <v>2256.0</v>
      </c>
      <c r="AF326" s="29">
        <v>48959.0</v>
      </c>
      <c r="AG326" s="29">
        <v>594.0</v>
      </c>
      <c r="AH326" s="29">
        <v>10612.0</v>
      </c>
    </row>
    <row r="327" ht="14.25" customHeight="1">
      <c r="A327" s="34">
        <v>44213.0</v>
      </c>
      <c r="B327" s="35">
        <v>626.0</v>
      </c>
      <c r="C327" s="35">
        <v>884.0</v>
      </c>
      <c r="D327" s="35">
        <v>127996.0</v>
      </c>
      <c r="E327" s="35">
        <v>10063.0</v>
      </c>
      <c r="F327" s="36">
        <v>2167348.0</v>
      </c>
      <c r="G327" s="36">
        <v>10689.0</v>
      </c>
      <c r="H327" s="36">
        <v>2295344.0</v>
      </c>
      <c r="I327" s="35">
        <v>515.0</v>
      </c>
      <c r="J327" s="35">
        <v>743.0</v>
      </c>
      <c r="K327" s="35">
        <v>106974.0</v>
      </c>
      <c r="L327" s="35">
        <v>1789.0</v>
      </c>
      <c r="M327" s="35">
        <v>583375.0</v>
      </c>
      <c r="N327" s="35">
        <v>690349.0</v>
      </c>
      <c r="O327" s="35">
        <v>47.0</v>
      </c>
      <c r="P327" s="37">
        <v>7581.0</v>
      </c>
      <c r="Q327" s="37">
        <v>41.0</v>
      </c>
      <c r="R327" s="37">
        <v>6322.0</v>
      </c>
      <c r="S327" s="37">
        <v>4.0</v>
      </c>
      <c r="T327" s="37">
        <v>845.0</v>
      </c>
      <c r="U327" s="37">
        <v>414.0</v>
      </c>
      <c r="V327" s="37">
        <v>412.0</v>
      </c>
      <c r="W327" s="37">
        <v>57.0</v>
      </c>
      <c r="X327" s="37">
        <v>42.0</v>
      </c>
      <c r="Y327" s="37">
        <v>8.0</v>
      </c>
      <c r="Z327" s="35">
        <v>2177.0</v>
      </c>
      <c r="AA327" s="29">
        <v>335.0</v>
      </c>
      <c r="AB327" s="29">
        <v>208.0</v>
      </c>
      <c r="AC327" s="29">
        <v>543.0</v>
      </c>
      <c r="AD327" s="29">
        <v>60114.0</v>
      </c>
      <c r="AE327" s="29">
        <v>335.0</v>
      </c>
      <c r="AF327" s="29">
        <v>49294.0</v>
      </c>
      <c r="AG327" s="29">
        <v>208.0</v>
      </c>
      <c r="AH327" s="29">
        <v>10820.0</v>
      </c>
    </row>
    <row r="328" ht="14.25" customHeight="1">
      <c r="A328" s="34">
        <v>44214.0</v>
      </c>
      <c r="B328" s="35">
        <v>559.0</v>
      </c>
      <c r="C328" s="35">
        <v>702.0</v>
      </c>
      <c r="D328" s="35">
        <v>128555.0</v>
      </c>
      <c r="E328" s="35">
        <v>8810.0</v>
      </c>
      <c r="F328" s="36">
        <v>2176158.0</v>
      </c>
      <c r="G328" s="36">
        <v>9369.0</v>
      </c>
      <c r="H328" s="36">
        <v>2304713.0</v>
      </c>
      <c r="I328" s="35">
        <v>469.0</v>
      </c>
      <c r="J328" s="35">
        <v>584.0</v>
      </c>
      <c r="K328" s="35">
        <v>107443.0</v>
      </c>
      <c r="L328" s="35">
        <v>1381.0</v>
      </c>
      <c r="M328" s="35">
        <v>584756.0</v>
      </c>
      <c r="N328" s="35">
        <v>692199.0</v>
      </c>
      <c r="O328" s="35">
        <v>60.0</v>
      </c>
      <c r="P328" s="37">
        <v>7641.0</v>
      </c>
      <c r="Q328" s="37">
        <v>43.0</v>
      </c>
      <c r="R328" s="37">
        <v>6365.0</v>
      </c>
      <c r="S328" s="37">
        <v>8.0</v>
      </c>
      <c r="T328" s="37">
        <v>853.0</v>
      </c>
      <c r="U328" s="37">
        <v>423.0</v>
      </c>
      <c r="V328" s="37">
        <v>416.0</v>
      </c>
      <c r="W328" s="37">
        <v>56.0</v>
      </c>
      <c r="X328" s="37">
        <v>40.0</v>
      </c>
      <c r="Y328" s="37">
        <v>19.0</v>
      </c>
      <c r="Z328" s="35">
        <v>2196.0</v>
      </c>
      <c r="AA328" s="29">
        <v>1209.0</v>
      </c>
      <c r="AB328" s="29">
        <v>1064.0</v>
      </c>
      <c r="AC328" s="29">
        <v>2273.0</v>
      </c>
      <c r="AD328" s="29">
        <v>62387.0</v>
      </c>
      <c r="AE328" s="29">
        <v>1209.0</v>
      </c>
      <c r="AF328" s="29">
        <v>50503.0</v>
      </c>
      <c r="AG328" s="29">
        <v>1064.0</v>
      </c>
      <c r="AH328" s="29">
        <v>11884.0</v>
      </c>
    </row>
    <row r="329" ht="14.25" customHeight="1">
      <c r="A329" s="34">
        <v>44215.0</v>
      </c>
      <c r="B329" s="35">
        <v>955.0</v>
      </c>
      <c r="C329" s="35">
        <v>713.0</v>
      </c>
      <c r="D329" s="35">
        <v>129510.0</v>
      </c>
      <c r="E329" s="35">
        <v>18644.0</v>
      </c>
      <c r="F329" s="36">
        <v>2194802.0</v>
      </c>
      <c r="G329" s="36">
        <v>19599.0</v>
      </c>
      <c r="H329" s="36">
        <v>2324312.0</v>
      </c>
      <c r="I329" s="35">
        <v>851.0</v>
      </c>
      <c r="J329" s="35">
        <v>612.0</v>
      </c>
      <c r="K329" s="35">
        <v>108294.0</v>
      </c>
      <c r="L329" s="35">
        <v>3149.0</v>
      </c>
      <c r="M329" s="35">
        <v>587905.0</v>
      </c>
      <c r="N329" s="35">
        <v>696199.0</v>
      </c>
      <c r="O329" s="35">
        <v>68.0</v>
      </c>
      <c r="P329" s="37">
        <v>7709.0</v>
      </c>
      <c r="Q329" s="37">
        <v>60.0</v>
      </c>
      <c r="R329" s="37">
        <v>6425.0</v>
      </c>
      <c r="S329" s="37">
        <v>9.0</v>
      </c>
      <c r="T329" s="37">
        <v>862.0</v>
      </c>
      <c r="U329" s="37">
        <v>422.0</v>
      </c>
      <c r="V329" s="37">
        <v>420.0</v>
      </c>
      <c r="W329" s="37">
        <v>58.0</v>
      </c>
      <c r="X329" s="37">
        <v>40.0</v>
      </c>
      <c r="Y329" s="37">
        <v>13.0</v>
      </c>
      <c r="Z329" s="35">
        <v>2209.0</v>
      </c>
      <c r="AA329" s="29">
        <v>1485.0</v>
      </c>
      <c r="AB329" s="29">
        <v>722.0</v>
      </c>
      <c r="AC329" s="29">
        <v>2207.0</v>
      </c>
      <c r="AD329" s="29">
        <v>64594.0</v>
      </c>
      <c r="AE329" s="29">
        <v>1485.0</v>
      </c>
      <c r="AF329" s="29">
        <v>51988.0</v>
      </c>
      <c r="AG329" s="29">
        <v>722.0</v>
      </c>
      <c r="AH329" s="29">
        <v>12606.0</v>
      </c>
    </row>
    <row r="330" ht="14.25" customHeight="1">
      <c r="A330" s="34">
        <v>44216.0</v>
      </c>
      <c r="B330" s="35">
        <v>970.0</v>
      </c>
      <c r="C330" s="35">
        <v>828.0</v>
      </c>
      <c r="D330" s="35">
        <v>130480.0</v>
      </c>
      <c r="E330" s="35">
        <v>22631.0</v>
      </c>
      <c r="F330" s="36">
        <v>2217433.0</v>
      </c>
      <c r="G330" s="36">
        <v>23601.0</v>
      </c>
      <c r="H330" s="36">
        <v>2347913.0</v>
      </c>
      <c r="I330" s="35">
        <v>850.0</v>
      </c>
      <c r="J330" s="35">
        <v>723.0</v>
      </c>
      <c r="K330" s="35">
        <v>109144.0</v>
      </c>
      <c r="L330" s="35">
        <v>3374.0</v>
      </c>
      <c r="M330" s="35">
        <v>591279.0</v>
      </c>
      <c r="N330" s="35">
        <v>700423.0</v>
      </c>
      <c r="O330" s="35">
        <v>46.0</v>
      </c>
      <c r="P330" s="37">
        <v>7755.0</v>
      </c>
      <c r="Q330" s="37">
        <v>66.0</v>
      </c>
      <c r="R330" s="37">
        <v>6491.0</v>
      </c>
      <c r="S330" s="37">
        <v>11.0</v>
      </c>
      <c r="T330" s="37">
        <v>873.0</v>
      </c>
      <c r="U330" s="37">
        <v>391.0</v>
      </c>
      <c r="V330" s="37">
        <v>412.0</v>
      </c>
      <c r="W330" s="37">
        <v>52.0</v>
      </c>
      <c r="X330" s="37">
        <v>34.0</v>
      </c>
      <c r="Y330" s="37">
        <v>25.0</v>
      </c>
      <c r="Z330" s="35">
        <v>2234.0</v>
      </c>
      <c r="AA330" s="29">
        <v>1956.0</v>
      </c>
      <c r="AB330" s="29">
        <v>795.0</v>
      </c>
      <c r="AC330" s="29">
        <v>2751.0</v>
      </c>
      <c r="AD330" s="29">
        <v>67345.0</v>
      </c>
      <c r="AE330" s="29">
        <v>1956.0</v>
      </c>
      <c r="AF330" s="29">
        <v>53944.0</v>
      </c>
      <c r="AG330" s="29">
        <v>795.0</v>
      </c>
      <c r="AH330" s="29">
        <v>13401.0</v>
      </c>
    </row>
    <row r="331" ht="14.25" customHeight="1">
      <c r="A331" s="34">
        <v>44217.0</v>
      </c>
      <c r="B331" s="35">
        <v>1183.0</v>
      </c>
      <c r="C331" s="35">
        <v>1036.0</v>
      </c>
      <c r="D331" s="35">
        <v>131663.0</v>
      </c>
      <c r="E331" s="35">
        <v>24195.0</v>
      </c>
      <c r="F331" s="36">
        <v>2241628.0</v>
      </c>
      <c r="G331" s="36">
        <v>25378.0</v>
      </c>
      <c r="H331" s="36">
        <v>2373291.0</v>
      </c>
      <c r="I331" s="35">
        <v>1015.0</v>
      </c>
      <c r="J331" s="35">
        <v>905.0</v>
      </c>
      <c r="K331" s="35">
        <v>110159.0</v>
      </c>
      <c r="L331" s="35">
        <v>3911.0</v>
      </c>
      <c r="M331" s="35">
        <v>595190.0</v>
      </c>
      <c r="N331" s="35">
        <v>705349.0</v>
      </c>
      <c r="O331" s="35">
        <v>55.0</v>
      </c>
      <c r="P331" s="37">
        <v>7810.0</v>
      </c>
      <c r="Q331" s="37">
        <v>59.0</v>
      </c>
      <c r="R331" s="37">
        <v>6550.0</v>
      </c>
      <c r="S331" s="37">
        <v>5.0</v>
      </c>
      <c r="T331" s="37">
        <v>878.0</v>
      </c>
      <c r="U331" s="37">
        <v>382.0</v>
      </c>
      <c r="V331" s="37">
        <v>398.0</v>
      </c>
      <c r="W331" s="37">
        <v>52.0</v>
      </c>
      <c r="X331" s="37">
        <v>32.0</v>
      </c>
      <c r="Y331" s="37">
        <v>10.0</v>
      </c>
      <c r="Z331" s="35">
        <v>2244.0</v>
      </c>
      <c r="AA331" s="29">
        <v>2379.0</v>
      </c>
      <c r="AB331" s="29">
        <v>345.0</v>
      </c>
      <c r="AC331" s="29">
        <v>2724.0</v>
      </c>
      <c r="AD331" s="29">
        <v>70069.0</v>
      </c>
      <c r="AE331" s="29">
        <v>2379.0</v>
      </c>
      <c r="AF331" s="29">
        <v>56323.0</v>
      </c>
      <c r="AG331" s="29">
        <v>345.0</v>
      </c>
      <c r="AH331" s="29">
        <v>13746.0</v>
      </c>
    </row>
    <row r="332" ht="14.25" customHeight="1">
      <c r="A332" s="34">
        <v>44218.0</v>
      </c>
      <c r="B332" s="35">
        <v>873.0</v>
      </c>
      <c r="C332" s="35">
        <v>1009.0</v>
      </c>
      <c r="D332" s="35">
        <v>132536.0</v>
      </c>
      <c r="E332" s="35">
        <v>19821.0</v>
      </c>
      <c r="F332" s="36">
        <v>2261449.0</v>
      </c>
      <c r="G332" s="36">
        <v>20694.0</v>
      </c>
      <c r="H332" s="36">
        <v>2393985.0</v>
      </c>
      <c r="I332" s="35">
        <v>757.0</v>
      </c>
      <c r="J332" s="35">
        <v>874.0</v>
      </c>
      <c r="K332" s="35">
        <v>110916.0</v>
      </c>
      <c r="L332" s="35">
        <v>3041.0</v>
      </c>
      <c r="M332" s="35">
        <v>598231.0</v>
      </c>
      <c r="N332" s="35">
        <v>709147.0</v>
      </c>
      <c r="O332" s="35">
        <v>54.0</v>
      </c>
      <c r="P332" s="37">
        <v>7864.0</v>
      </c>
      <c r="Q332" s="37">
        <v>58.0</v>
      </c>
      <c r="R332" s="37">
        <v>6608.0</v>
      </c>
      <c r="S332" s="37">
        <v>10.0</v>
      </c>
      <c r="T332" s="37">
        <v>888.0</v>
      </c>
      <c r="U332" s="37">
        <v>368.0</v>
      </c>
      <c r="V332" s="37">
        <v>380.0</v>
      </c>
      <c r="W332" s="37">
        <v>55.0</v>
      </c>
      <c r="X332" s="37">
        <v>34.0</v>
      </c>
      <c r="Y332" s="37">
        <v>16.0</v>
      </c>
      <c r="Z332" s="35">
        <v>2260.0</v>
      </c>
      <c r="AA332" s="29">
        <v>2490.0</v>
      </c>
      <c r="AB332" s="29">
        <v>310.0</v>
      </c>
      <c r="AC332" s="29">
        <v>2800.0</v>
      </c>
      <c r="AD332" s="29">
        <v>72869.0</v>
      </c>
      <c r="AE332" s="29">
        <v>2490.0</v>
      </c>
      <c r="AF332" s="29">
        <v>58813.0</v>
      </c>
      <c r="AG332" s="29">
        <v>310.0</v>
      </c>
      <c r="AH332" s="29">
        <v>14056.0</v>
      </c>
    </row>
    <row r="333" ht="14.25" customHeight="1">
      <c r="A333" s="34">
        <v>44219.0</v>
      </c>
      <c r="B333" s="35">
        <v>910.0</v>
      </c>
      <c r="C333" s="35">
        <v>989.0</v>
      </c>
      <c r="D333" s="35">
        <v>133446.0</v>
      </c>
      <c r="E333" s="35">
        <v>19073.0</v>
      </c>
      <c r="F333" s="36">
        <v>2280522.0</v>
      </c>
      <c r="G333" s="36">
        <v>19983.0</v>
      </c>
      <c r="H333" s="36">
        <v>2413968.0</v>
      </c>
      <c r="I333" s="35">
        <v>774.0</v>
      </c>
      <c r="J333" s="35">
        <v>849.0</v>
      </c>
      <c r="K333" s="35">
        <v>111690.0</v>
      </c>
      <c r="L333" s="35">
        <v>3068.0</v>
      </c>
      <c r="M333" s="35">
        <v>601299.0</v>
      </c>
      <c r="N333" s="35">
        <v>712989.0</v>
      </c>
      <c r="O333" s="35">
        <v>57.0</v>
      </c>
      <c r="P333" s="37">
        <v>7921.0</v>
      </c>
      <c r="Q333" s="37">
        <v>32.0</v>
      </c>
      <c r="R333" s="37">
        <v>6640.0</v>
      </c>
      <c r="S333" s="37">
        <v>3.0</v>
      </c>
      <c r="T333" s="37">
        <v>891.0</v>
      </c>
      <c r="U333" s="37">
        <v>390.0</v>
      </c>
      <c r="V333" s="37">
        <v>380.0</v>
      </c>
      <c r="W333" s="37">
        <v>60.0</v>
      </c>
      <c r="X333" s="37">
        <v>35.0</v>
      </c>
      <c r="Y333" s="37">
        <v>8.0</v>
      </c>
      <c r="Z333" s="35">
        <v>2268.0</v>
      </c>
      <c r="AA333" s="29">
        <v>2497.0</v>
      </c>
      <c r="AB333" s="29">
        <v>599.0</v>
      </c>
      <c r="AC333" s="29">
        <v>3096.0</v>
      </c>
      <c r="AD333" s="29">
        <v>75965.0</v>
      </c>
      <c r="AE333" s="29">
        <v>2497.0</v>
      </c>
      <c r="AF333" s="29">
        <v>61310.0</v>
      </c>
      <c r="AG333" s="29">
        <v>599.0</v>
      </c>
      <c r="AH333" s="29">
        <v>14655.0</v>
      </c>
    </row>
    <row r="334" ht="14.25" customHeight="1">
      <c r="A334" s="34">
        <v>44220.0</v>
      </c>
      <c r="B334" s="35">
        <v>405.0</v>
      </c>
      <c r="C334" s="35">
        <v>729.0</v>
      </c>
      <c r="D334" s="35">
        <v>133851.0</v>
      </c>
      <c r="E334" s="35">
        <v>8969.0</v>
      </c>
      <c r="F334" s="36">
        <v>2289491.0</v>
      </c>
      <c r="G334" s="36">
        <v>9374.0</v>
      </c>
      <c r="H334" s="36">
        <v>2423342.0</v>
      </c>
      <c r="I334" s="35">
        <v>341.0</v>
      </c>
      <c r="J334" s="35">
        <v>624.0</v>
      </c>
      <c r="K334" s="35">
        <v>112031.0</v>
      </c>
      <c r="L334" s="35">
        <v>1201.0</v>
      </c>
      <c r="M334" s="35">
        <v>602500.0</v>
      </c>
      <c r="N334" s="35">
        <v>714531.0</v>
      </c>
      <c r="O334" s="35">
        <v>43.0</v>
      </c>
      <c r="P334" s="37">
        <v>7964.0</v>
      </c>
      <c r="Q334" s="37">
        <v>43.0</v>
      </c>
      <c r="R334" s="37">
        <v>6683.0</v>
      </c>
      <c r="S334" s="37">
        <v>9.0</v>
      </c>
      <c r="T334" s="37">
        <v>900.0</v>
      </c>
      <c r="U334" s="37">
        <v>381.0</v>
      </c>
      <c r="V334" s="37">
        <v>380.0</v>
      </c>
      <c r="W334" s="37">
        <v>60.0</v>
      </c>
      <c r="X334" s="37">
        <v>38.0</v>
      </c>
      <c r="Y334" s="37">
        <v>16.0</v>
      </c>
      <c r="Z334" s="35">
        <v>2284.0</v>
      </c>
      <c r="AA334" s="29">
        <v>739.0</v>
      </c>
      <c r="AB334" s="29">
        <v>1050.0</v>
      </c>
      <c r="AC334" s="29">
        <v>1789.0</v>
      </c>
      <c r="AD334" s="29">
        <v>77754.0</v>
      </c>
      <c r="AE334" s="29">
        <v>739.0</v>
      </c>
      <c r="AF334" s="29">
        <v>62049.0</v>
      </c>
      <c r="AG334" s="29">
        <v>1050.0</v>
      </c>
      <c r="AH334" s="29">
        <v>15705.0</v>
      </c>
    </row>
    <row r="335" ht="14.25" customHeight="1">
      <c r="A335" s="34">
        <v>44221.0</v>
      </c>
      <c r="B335" s="35">
        <v>806.0</v>
      </c>
      <c r="C335" s="35">
        <v>707.0</v>
      </c>
      <c r="D335" s="35">
        <v>134657.0</v>
      </c>
      <c r="E335" s="35">
        <v>13387.0</v>
      </c>
      <c r="F335" s="36">
        <v>2302878.0</v>
      </c>
      <c r="G335" s="36">
        <v>14193.0</v>
      </c>
      <c r="H335" s="36">
        <v>2437535.0</v>
      </c>
      <c r="I335" s="35">
        <v>687.0</v>
      </c>
      <c r="J335" s="35">
        <v>601.0</v>
      </c>
      <c r="K335" s="35">
        <v>112718.0</v>
      </c>
      <c r="L335" s="35">
        <v>2592.0</v>
      </c>
      <c r="M335" s="35">
        <v>605092.0</v>
      </c>
      <c r="N335" s="35">
        <v>717810.0</v>
      </c>
      <c r="O335" s="35">
        <v>47.0</v>
      </c>
      <c r="P335" s="37">
        <v>8011.0</v>
      </c>
      <c r="Q335" s="37">
        <v>55.0</v>
      </c>
      <c r="R335" s="37">
        <v>6738.0</v>
      </c>
      <c r="S335" s="37">
        <v>5.0</v>
      </c>
      <c r="T335" s="37">
        <v>905.0</v>
      </c>
      <c r="U335" s="37">
        <v>368.0</v>
      </c>
      <c r="V335" s="37">
        <v>380.0</v>
      </c>
      <c r="W335" s="37">
        <v>60.0</v>
      </c>
      <c r="X335" s="37">
        <v>39.0</v>
      </c>
      <c r="Y335" s="37">
        <v>14.0</v>
      </c>
      <c r="Z335" s="35">
        <v>2298.0</v>
      </c>
      <c r="AA335" s="29">
        <v>2019.0</v>
      </c>
      <c r="AB335" s="29">
        <v>2782.0</v>
      </c>
      <c r="AC335" s="29">
        <v>4801.0</v>
      </c>
      <c r="AD335" s="29">
        <v>82555.0</v>
      </c>
      <c r="AE335" s="29">
        <v>2019.0</v>
      </c>
      <c r="AF335" s="29">
        <v>64068.0</v>
      </c>
      <c r="AG335" s="29">
        <v>2782.0</v>
      </c>
      <c r="AH335" s="29">
        <v>18487.0</v>
      </c>
    </row>
    <row r="336" ht="14.25" customHeight="1">
      <c r="A336" s="34">
        <v>44222.0</v>
      </c>
      <c r="B336" s="35">
        <v>726.0</v>
      </c>
      <c r="C336" s="35">
        <v>646.0</v>
      </c>
      <c r="D336" s="35">
        <v>135383.0</v>
      </c>
      <c r="E336" s="35">
        <v>20057.0</v>
      </c>
      <c r="F336" s="36">
        <v>2322935.0</v>
      </c>
      <c r="G336" s="36">
        <v>20783.0</v>
      </c>
      <c r="H336" s="36">
        <v>2458318.0</v>
      </c>
      <c r="I336" s="35">
        <v>640.0</v>
      </c>
      <c r="J336" s="35">
        <v>556.0</v>
      </c>
      <c r="K336" s="35">
        <v>113358.0</v>
      </c>
      <c r="L336" s="35">
        <v>3348.0</v>
      </c>
      <c r="M336" s="35">
        <v>608440.0</v>
      </c>
      <c r="N336" s="35">
        <v>721798.0</v>
      </c>
      <c r="O336" s="35">
        <v>49.0</v>
      </c>
      <c r="P336" s="37">
        <v>8060.0</v>
      </c>
      <c r="Q336" s="37">
        <v>47.0</v>
      </c>
      <c r="R336" s="37">
        <v>6785.0</v>
      </c>
      <c r="S336" s="37">
        <v>9.0</v>
      </c>
      <c r="T336" s="37">
        <v>914.0</v>
      </c>
      <c r="U336" s="37">
        <v>361.0</v>
      </c>
      <c r="V336" s="37">
        <v>370.0</v>
      </c>
      <c r="W336" s="37">
        <v>57.0</v>
      </c>
      <c r="X336" s="37">
        <v>36.0</v>
      </c>
      <c r="Y336" s="37">
        <v>12.0</v>
      </c>
      <c r="Z336" s="35">
        <v>2310.0</v>
      </c>
      <c r="AA336" s="29">
        <v>1553.0</v>
      </c>
      <c r="AB336" s="29">
        <v>2616.0</v>
      </c>
      <c r="AC336" s="29">
        <v>4169.0</v>
      </c>
      <c r="AD336" s="29">
        <v>86724.0</v>
      </c>
      <c r="AE336" s="29">
        <v>1553.0</v>
      </c>
      <c r="AF336" s="29">
        <v>65621.0</v>
      </c>
      <c r="AG336" s="29">
        <v>2616.0</v>
      </c>
      <c r="AH336" s="29">
        <v>21103.0</v>
      </c>
    </row>
    <row r="337" ht="14.25" customHeight="1">
      <c r="A337" s="34">
        <v>44223.0</v>
      </c>
      <c r="B337" s="35">
        <v>846.0</v>
      </c>
      <c r="C337" s="35">
        <v>793.0</v>
      </c>
      <c r="D337" s="35">
        <v>136229.0</v>
      </c>
      <c r="E337" s="35">
        <v>21875.0</v>
      </c>
      <c r="F337" s="36">
        <v>2344810.0</v>
      </c>
      <c r="G337" s="36">
        <v>22721.0</v>
      </c>
      <c r="H337" s="36">
        <v>2481039.0</v>
      </c>
      <c r="I337" s="35">
        <v>713.0</v>
      </c>
      <c r="J337" s="35">
        <v>680.0</v>
      </c>
      <c r="K337" s="35">
        <v>114071.0</v>
      </c>
      <c r="L337" s="35">
        <v>3225.0</v>
      </c>
      <c r="M337" s="35">
        <v>611665.0</v>
      </c>
      <c r="N337" s="35">
        <v>725736.0</v>
      </c>
      <c r="O337" s="35">
        <v>50.0</v>
      </c>
      <c r="P337" s="37">
        <v>8110.0</v>
      </c>
      <c r="Q337" s="37">
        <v>58.0</v>
      </c>
      <c r="R337" s="37">
        <v>6843.0</v>
      </c>
      <c r="S337" s="37">
        <v>3.0</v>
      </c>
      <c r="T337" s="37">
        <v>917.0</v>
      </c>
      <c r="U337" s="37">
        <v>350.0</v>
      </c>
      <c r="V337" s="37">
        <v>360.0</v>
      </c>
      <c r="W337" s="37">
        <v>59.0</v>
      </c>
      <c r="X337" s="37">
        <v>33.0</v>
      </c>
      <c r="Y337" s="37">
        <v>7.0</v>
      </c>
      <c r="Z337" s="35">
        <v>2317.0</v>
      </c>
      <c r="AA337" s="29">
        <v>2253.0</v>
      </c>
      <c r="AB337" s="29">
        <v>2798.0</v>
      </c>
      <c r="AC337" s="29">
        <v>5051.0</v>
      </c>
      <c r="AD337" s="29">
        <v>91775.0</v>
      </c>
      <c r="AE337" s="29">
        <v>2253.0</v>
      </c>
      <c r="AF337" s="29">
        <v>67874.0</v>
      </c>
      <c r="AG337" s="29">
        <v>2798.0</v>
      </c>
      <c r="AH337" s="29">
        <v>23901.0</v>
      </c>
    </row>
    <row r="338" ht="14.25" customHeight="1">
      <c r="A338" s="34">
        <v>44224.0</v>
      </c>
      <c r="B338" s="35">
        <v>765.0</v>
      </c>
      <c r="C338" s="35">
        <v>779.0</v>
      </c>
      <c r="D338" s="35">
        <v>136994.0</v>
      </c>
      <c r="E338" s="35">
        <v>22592.0</v>
      </c>
      <c r="F338" s="36">
        <v>2367402.0</v>
      </c>
      <c r="G338" s="36">
        <v>23357.0</v>
      </c>
      <c r="H338" s="36">
        <v>2504396.0</v>
      </c>
      <c r="I338" s="35">
        <v>638.0</v>
      </c>
      <c r="J338" s="35">
        <v>664.0</v>
      </c>
      <c r="K338" s="35">
        <v>114709.0</v>
      </c>
      <c r="L338" s="35">
        <v>3055.0</v>
      </c>
      <c r="M338" s="35">
        <v>614720.0</v>
      </c>
      <c r="N338" s="35">
        <v>729429.0</v>
      </c>
      <c r="O338" s="35">
        <v>34.0</v>
      </c>
      <c r="P338" s="37">
        <v>8144.0</v>
      </c>
      <c r="Q338" s="37">
        <v>35.0</v>
      </c>
      <c r="R338" s="37">
        <v>6878.0</v>
      </c>
      <c r="S338" s="37">
        <v>4.0</v>
      </c>
      <c r="T338" s="37">
        <v>921.0</v>
      </c>
      <c r="U338" s="37">
        <v>345.0</v>
      </c>
      <c r="V338" s="37">
        <v>352.0</v>
      </c>
      <c r="W338" s="37">
        <v>55.0</v>
      </c>
      <c r="X338" s="37">
        <v>31.0</v>
      </c>
      <c r="Y338" s="37">
        <v>14.0</v>
      </c>
      <c r="Z338" s="35">
        <v>2331.0</v>
      </c>
      <c r="AA338" s="29">
        <v>2732.0</v>
      </c>
      <c r="AB338" s="29">
        <v>1095.0</v>
      </c>
      <c r="AC338" s="29">
        <v>3827.0</v>
      </c>
      <c r="AD338" s="29">
        <v>95602.0</v>
      </c>
      <c r="AE338" s="29">
        <v>2732.0</v>
      </c>
      <c r="AF338" s="29">
        <v>70606.0</v>
      </c>
      <c r="AG338" s="29">
        <v>1095.0</v>
      </c>
      <c r="AH338" s="29">
        <v>24996.0</v>
      </c>
    </row>
    <row r="339" ht="14.25" customHeight="1">
      <c r="A339" s="34">
        <v>44225.0</v>
      </c>
      <c r="B339" s="35">
        <v>672.0</v>
      </c>
      <c r="C339" s="35">
        <v>761.0</v>
      </c>
      <c r="D339" s="35">
        <v>137666.0</v>
      </c>
      <c r="E339" s="35">
        <v>20066.0</v>
      </c>
      <c r="F339" s="36">
        <v>2387468.0</v>
      </c>
      <c r="G339" s="36">
        <v>20738.0</v>
      </c>
      <c r="H339" s="36">
        <v>2525134.0</v>
      </c>
      <c r="I339" s="35">
        <v>592.0</v>
      </c>
      <c r="J339" s="35">
        <v>648.0</v>
      </c>
      <c r="K339" s="35">
        <v>115301.0</v>
      </c>
      <c r="L339" s="35">
        <v>2525.0</v>
      </c>
      <c r="M339" s="35">
        <v>617245.0</v>
      </c>
      <c r="N339" s="35">
        <v>732546.0</v>
      </c>
      <c r="O339" s="35">
        <v>41.0</v>
      </c>
      <c r="P339" s="37">
        <v>8185.0</v>
      </c>
      <c r="Q339" s="37">
        <v>53.0</v>
      </c>
      <c r="R339" s="37">
        <v>6931.0</v>
      </c>
      <c r="S339" s="37">
        <v>4.0</v>
      </c>
      <c r="T339" s="37">
        <v>925.0</v>
      </c>
      <c r="U339" s="37">
        <v>329.0</v>
      </c>
      <c r="V339" s="37">
        <v>341.0</v>
      </c>
      <c r="W339" s="37">
        <v>57.0</v>
      </c>
      <c r="X339" s="37">
        <v>34.0</v>
      </c>
      <c r="Y339" s="37">
        <v>7.0</v>
      </c>
      <c r="Z339" s="35">
        <v>2338.0</v>
      </c>
      <c r="AA339" s="29">
        <v>2280.0</v>
      </c>
      <c r="AB339" s="29">
        <v>1193.0</v>
      </c>
      <c r="AC339" s="29">
        <v>3473.0</v>
      </c>
      <c r="AD339" s="29">
        <v>99075.0</v>
      </c>
      <c r="AE339" s="29">
        <v>2280.0</v>
      </c>
      <c r="AF339" s="29">
        <v>72886.0</v>
      </c>
      <c r="AG339" s="29">
        <v>1193.0</v>
      </c>
      <c r="AH339" s="29">
        <v>26189.0</v>
      </c>
    </row>
    <row r="340" ht="14.25" customHeight="1">
      <c r="A340" s="34">
        <v>44226.0</v>
      </c>
      <c r="B340" s="35">
        <v>695.0</v>
      </c>
      <c r="C340" s="35">
        <v>711.0</v>
      </c>
      <c r="D340" s="35">
        <v>138361.0</v>
      </c>
      <c r="E340" s="35">
        <v>16300.0</v>
      </c>
      <c r="F340" s="36">
        <v>2403768.0</v>
      </c>
      <c r="G340" s="36">
        <v>16995.0</v>
      </c>
      <c r="H340" s="36">
        <v>2542129.0</v>
      </c>
      <c r="I340" s="35">
        <v>590.0</v>
      </c>
      <c r="J340" s="35">
        <v>607.0</v>
      </c>
      <c r="K340" s="35">
        <v>115891.0</v>
      </c>
      <c r="L340" s="35">
        <v>2288.0</v>
      </c>
      <c r="M340" s="35">
        <v>619533.0</v>
      </c>
      <c r="N340" s="35">
        <v>735424.0</v>
      </c>
      <c r="O340" s="35">
        <v>39.0</v>
      </c>
      <c r="P340" s="37">
        <v>8224.0</v>
      </c>
      <c r="Q340" s="37">
        <v>30.0</v>
      </c>
      <c r="R340" s="37">
        <v>6961.0</v>
      </c>
      <c r="S340" s="37">
        <v>4.0</v>
      </c>
      <c r="T340" s="37">
        <v>929.0</v>
      </c>
      <c r="U340" s="37">
        <v>334.0</v>
      </c>
      <c r="V340" s="37">
        <v>336.0</v>
      </c>
      <c r="W340" s="37">
        <v>52.0</v>
      </c>
      <c r="X340" s="37">
        <v>31.0</v>
      </c>
      <c r="Y340" s="37">
        <v>9.0</v>
      </c>
      <c r="Z340" s="35">
        <v>2347.0</v>
      </c>
      <c r="AA340" s="29">
        <v>3532.0</v>
      </c>
      <c r="AB340" s="29">
        <v>2108.0</v>
      </c>
      <c r="AC340" s="29">
        <v>5640.0</v>
      </c>
      <c r="AD340" s="29">
        <v>104715.0</v>
      </c>
      <c r="AE340" s="29">
        <v>3532.0</v>
      </c>
      <c r="AF340" s="29">
        <v>76418.0</v>
      </c>
      <c r="AG340" s="29">
        <v>2108.0</v>
      </c>
      <c r="AH340" s="29">
        <v>28297.0</v>
      </c>
    </row>
    <row r="341" ht="14.25" customHeight="1">
      <c r="A341" s="34">
        <v>44227.0</v>
      </c>
      <c r="B341" s="35">
        <v>361.0</v>
      </c>
      <c r="C341" s="35">
        <v>576.0</v>
      </c>
      <c r="D341" s="35">
        <v>138722.0</v>
      </c>
      <c r="E341" s="35">
        <v>8373.0</v>
      </c>
      <c r="F341" s="36">
        <v>2412141.0</v>
      </c>
      <c r="G341" s="36">
        <v>8734.0</v>
      </c>
      <c r="H341" s="36">
        <v>2550863.0</v>
      </c>
      <c r="I341" s="35">
        <v>320.0</v>
      </c>
      <c r="J341" s="35">
        <v>501.0</v>
      </c>
      <c r="K341" s="35">
        <v>116211.0</v>
      </c>
      <c r="L341" s="35">
        <v>1150.0</v>
      </c>
      <c r="M341" s="35">
        <v>620683.0</v>
      </c>
      <c r="N341" s="35">
        <v>736894.0</v>
      </c>
      <c r="O341" s="35">
        <v>36.0</v>
      </c>
      <c r="P341" s="37">
        <v>8260.0</v>
      </c>
      <c r="Q341" s="37">
        <v>36.0</v>
      </c>
      <c r="R341" s="37">
        <v>6997.0</v>
      </c>
      <c r="S341" s="37">
        <v>2.0</v>
      </c>
      <c r="T341" s="37">
        <v>931.0</v>
      </c>
      <c r="U341" s="37">
        <v>332.0</v>
      </c>
      <c r="V341" s="37">
        <v>332.0</v>
      </c>
      <c r="W341" s="37">
        <v>46.0</v>
      </c>
      <c r="X341" s="37">
        <v>26.0</v>
      </c>
      <c r="Y341" s="37">
        <v>8.0</v>
      </c>
      <c r="Z341" s="35">
        <v>2355.0</v>
      </c>
      <c r="AA341" s="29">
        <v>2322.0</v>
      </c>
      <c r="AB341" s="29">
        <v>390.0</v>
      </c>
      <c r="AC341" s="29">
        <v>2712.0</v>
      </c>
      <c r="AD341" s="29">
        <v>107427.0</v>
      </c>
      <c r="AE341" s="29">
        <v>2322.0</v>
      </c>
      <c r="AF341" s="29">
        <v>78740.0</v>
      </c>
      <c r="AG341" s="29">
        <v>390.0</v>
      </c>
      <c r="AH341" s="29">
        <v>28687.0</v>
      </c>
    </row>
    <row r="342" ht="14.25" customHeight="1">
      <c r="A342" s="34">
        <v>44228.0</v>
      </c>
      <c r="B342" s="35">
        <v>238.0</v>
      </c>
      <c r="C342" s="35">
        <v>431.0</v>
      </c>
      <c r="D342" s="35">
        <v>138960.0</v>
      </c>
      <c r="E342" s="35">
        <v>7378.0</v>
      </c>
      <c r="F342" s="36">
        <v>2419519.0</v>
      </c>
      <c r="G342" s="36">
        <v>7616.0</v>
      </c>
      <c r="H342" s="36">
        <v>2558479.0</v>
      </c>
      <c r="I342" s="35">
        <v>204.0</v>
      </c>
      <c r="J342" s="35">
        <v>371.0</v>
      </c>
      <c r="K342" s="35">
        <v>116415.0</v>
      </c>
      <c r="L342" s="35">
        <v>673.0</v>
      </c>
      <c r="M342" s="35">
        <v>621356.0</v>
      </c>
      <c r="N342" s="35">
        <v>737771.0</v>
      </c>
      <c r="O342" s="35">
        <v>35.0</v>
      </c>
      <c r="P342" s="37">
        <v>8295.0</v>
      </c>
      <c r="Q342" s="37">
        <v>39.0</v>
      </c>
      <c r="R342" s="37">
        <v>7036.0</v>
      </c>
      <c r="S342" s="37">
        <v>7.0</v>
      </c>
      <c r="T342" s="37">
        <v>938.0</v>
      </c>
      <c r="U342" s="37">
        <v>321.0</v>
      </c>
      <c r="V342" s="37">
        <v>329.0</v>
      </c>
      <c r="W342" s="37">
        <v>44.0</v>
      </c>
      <c r="X342" s="37">
        <v>23.0</v>
      </c>
      <c r="Y342" s="37">
        <v>11.0</v>
      </c>
      <c r="Z342" s="35">
        <v>2366.0</v>
      </c>
      <c r="AA342" s="29">
        <v>426.0</v>
      </c>
      <c r="AB342" s="29">
        <v>1033.0</v>
      </c>
      <c r="AC342" s="29">
        <v>1459.0</v>
      </c>
      <c r="AD342" s="29">
        <v>108886.0</v>
      </c>
      <c r="AE342" s="29">
        <v>426.0</v>
      </c>
      <c r="AF342" s="29">
        <v>79166.0</v>
      </c>
      <c r="AG342" s="29">
        <v>1033.0</v>
      </c>
      <c r="AH342" s="29">
        <v>29720.0</v>
      </c>
    </row>
    <row r="343" ht="14.25" customHeight="1">
      <c r="A343" s="34">
        <v>44229.0</v>
      </c>
      <c r="B343" s="35">
        <v>603.0</v>
      </c>
      <c r="C343" s="35">
        <v>401.0</v>
      </c>
      <c r="D343" s="35">
        <v>139563.0</v>
      </c>
      <c r="E343" s="35">
        <v>14851.0</v>
      </c>
      <c r="F343" s="36">
        <v>2434370.0</v>
      </c>
      <c r="G343" s="36">
        <v>15454.0</v>
      </c>
      <c r="H343" s="36">
        <v>2573933.0</v>
      </c>
      <c r="I343" s="35">
        <v>537.0</v>
      </c>
      <c r="J343" s="35">
        <v>354.0</v>
      </c>
      <c r="K343" s="35">
        <v>116952.0</v>
      </c>
      <c r="L343" s="35">
        <v>1906.0</v>
      </c>
      <c r="M343" s="35">
        <v>623262.0</v>
      </c>
      <c r="N343" s="35">
        <v>740214.0</v>
      </c>
      <c r="O343" s="35">
        <v>48.0</v>
      </c>
      <c r="P343" s="37">
        <v>8343.0</v>
      </c>
      <c r="Q343" s="37">
        <v>48.0</v>
      </c>
      <c r="R343" s="37">
        <v>7084.0</v>
      </c>
      <c r="S343" s="37">
        <v>5.0</v>
      </c>
      <c r="T343" s="37">
        <v>943.0</v>
      </c>
      <c r="U343" s="37">
        <v>316.0</v>
      </c>
      <c r="V343" s="37">
        <v>323.0</v>
      </c>
      <c r="W343" s="37">
        <v>47.0</v>
      </c>
      <c r="X343" s="37">
        <v>24.0</v>
      </c>
      <c r="Y343" s="37">
        <v>14.0</v>
      </c>
      <c r="Z343" s="35">
        <v>2380.0</v>
      </c>
      <c r="AA343" s="29">
        <v>1717.0</v>
      </c>
      <c r="AB343" s="29">
        <v>1684.0</v>
      </c>
      <c r="AC343" s="29">
        <v>3401.0</v>
      </c>
      <c r="AD343" s="29">
        <v>112287.0</v>
      </c>
      <c r="AE343" s="29">
        <v>1717.0</v>
      </c>
      <c r="AF343" s="29">
        <v>80883.0</v>
      </c>
      <c r="AG343" s="29">
        <v>1684.0</v>
      </c>
      <c r="AH343" s="29">
        <v>31404.0</v>
      </c>
    </row>
    <row r="344" ht="14.25" customHeight="1">
      <c r="A344" s="34">
        <v>44230.0</v>
      </c>
      <c r="B344" s="35">
        <v>752.0</v>
      </c>
      <c r="C344" s="35">
        <v>531.0</v>
      </c>
      <c r="D344" s="35">
        <v>140315.0</v>
      </c>
      <c r="E344" s="35">
        <v>24454.0</v>
      </c>
      <c r="F344" s="36">
        <v>2458824.0</v>
      </c>
      <c r="G344" s="36">
        <v>25206.0</v>
      </c>
      <c r="H344" s="36">
        <v>2599139.0</v>
      </c>
      <c r="I344" s="35">
        <v>654.0</v>
      </c>
      <c r="J344" s="35">
        <v>465.0</v>
      </c>
      <c r="K344" s="35">
        <v>117606.0</v>
      </c>
      <c r="L344" s="35">
        <v>2500.0</v>
      </c>
      <c r="M344" s="35">
        <v>625762.0</v>
      </c>
      <c r="N344" s="35">
        <v>743368.0</v>
      </c>
      <c r="O344" s="35">
        <v>50.0</v>
      </c>
      <c r="P344" s="37">
        <v>8393.0</v>
      </c>
      <c r="Q344" s="37">
        <v>46.0</v>
      </c>
      <c r="R344" s="37">
        <v>7130.0</v>
      </c>
      <c r="S344" s="37">
        <v>5.0</v>
      </c>
      <c r="T344" s="37">
        <v>948.0</v>
      </c>
      <c r="U344" s="37">
        <v>315.0</v>
      </c>
      <c r="V344" s="37">
        <v>317.0</v>
      </c>
      <c r="W344" s="37">
        <v>47.0</v>
      </c>
      <c r="X344" s="37">
        <v>22.0</v>
      </c>
      <c r="Y344" s="37">
        <v>14.0</v>
      </c>
      <c r="Z344" s="35">
        <v>2394.0</v>
      </c>
      <c r="AA344" s="29">
        <v>3901.0</v>
      </c>
      <c r="AB344" s="29">
        <v>1958.0</v>
      </c>
      <c r="AC344" s="29">
        <v>5859.0</v>
      </c>
      <c r="AD344" s="29">
        <v>118146.0</v>
      </c>
      <c r="AE344" s="29">
        <v>3901.0</v>
      </c>
      <c r="AF344" s="29">
        <v>84784.0</v>
      </c>
      <c r="AG344" s="29">
        <v>1958.0</v>
      </c>
      <c r="AH344" s="29">
        <v>33362.0</v>
      </c>
    </row>
    <row r="345" ht="14.25" customHeight="1">
      <c r="A345" s="34">
        <v>44231.0</v>
      </c>
      <c r="B345" s="35">
        <v>708.0</v>
      </c>
      <c r="C345" s="35">
        <v>688.0</v>
      </c>
      <c r="D345" s="35">
        <v>141023.0</v>
      </c>
      <c r="E345" s="35">
        <v>23453.0</v>
      </c>
      <c r="F345" s="36">
        <v>2482277.0</v>
      </c>
      <c r="G345" s="36">
        <v>24161.0</v>
      </c>
      <c r="H345" s="36">
        <v>2623300.0</v>
      </c>
      <c r="I345" s="35">
        <v>612.0</v>
      </c>
      <c r="J345" s="35">
        <v>601.0</v>
      </c>
      <c r="K345" s="35">
        <v>118218.0</v>
      </c>
      <c r="L345" s="35">
        <v>2656.0</v>
      </c>
      <c r="M345" s="35">
        <v>628418.0</v>
      </c>
      <c r="N345" s="35">
        <v>746636.0</v>
      </c>
      <c r="O345" s="35">
        <v>33.0</v>
      </c>
      <c r="P345" s="37">
        <v>8426.0</v>
      </c>
      <c r="Q345" s="37">
        <v>48.0</v>
      </c>
      <c r="R345" s="37">
        <v>7178.0</v>
      </c>
      <c r="S345" s="37">
        <v>0.0</v>
      </c>
      <c r="T345" s="37">
        <v>948.0</v>
      </c>
      <c r="U345" s="37">
        <v>300.0</v>
      </c>
      <c r="V345" s="37">
        <v>310.0</v>
      </c>
      <c r="W345" s="37">
        <v>48.0</v>
      </c>
      <c r="X345" s="37">
        <v>23.0</v>
      </c>
      <c r="Y345" s="37">
        <v>8.0</v>
      </c>
      <c r="Z345" s="35">
        <v>2402.0</v>
      </c>
      <c r="AA345" s="29">
        <v>2916.0</v>
      </c>
      <c r="AB345" s="29">
        <v>2048.0</v>
      </c>
      <c r="AC345" s="29">
        <v>4964.0</v>
      </c>
      <c r="AD345" s="29">
        <v>123110.0</v>
      </c>
      <c r="AE345" s="29">
        <v>2916.0</v>
      </c>
      <c r="AF345" s="29">
        <v>87700.0</v>
      </c>
      <c r="AG345" s="29">
        <v>2048.0</v>
      </c>
      <c r="AH345" s="29">
        <v>35410.0</v>
      </c>
    </row>
    <row r="346" ht="14.25" customHeight="1">
      <c r="A346" s="34">
        <v>44232.0</v>
      </c>
      <c r="B346" s="35">
        <v>614.0</v>
      </c>
      <c r="C346" s="35">
        <v>691.0</v>
      </c>
      <c r="D346" s="35">
        <v>141637.0</v>
      </c>
      <c r="E346" s="35">
        <v>20025.0</v>
      </c>
      <c r="F346" s="36">
        <v>2502302.0</v>
      </c>
      <c r="G346" s="36">
        <v>20639.0</v>
      </c>
      <c r="H346" s="36">
        <v>2643939.0</v>
      </c>
      <c r="I346" s="35">
        <v>519.0</v>
      </c>
      <c r="J346" s="35">
        <v>595.0</v>
      </c>
      <c r="K346" s="35">
        <v>118737.0</v>
      </c>
      <c r="L346" s="35">
        <v>2288.0</v>
      </c>
      <c r="M346" s="35">
        <v>630706.0</v>
      </c>
      <c r="N346" s="35">
        <v>749443.0</v>
      </c>
      <c r="O346" s="35">
        <v>25.0</v>
      </c>
      <c r="P346" s="37">
        <v>8451.0</v>
      </c>
      <c r="Q346" s="37">
        <v>41.0</v>
      </c>
      <c r="R346" s="37">
        <v>7219.0</v>
      </c>
      <c r="S346" s="37">
        <v>3.0</v>
      </c>
      <c r="T346" s="37">
        <v>951.0</v>
      </c>
      <c r="U346" s="37">
        <v>281.0</v>
      </c>
      <c r="V346" s="37">
        <v>299.0</v>
      </c>
      <c r="W346" s="37">
        <v>51.0</v>
      </c>
      <c r="X346" s="37">
        <v>24.0</v>
      </c>
      <c r="Y346" s="37">
        <v>6.0</v>
      </c>
      <c r="Z346" s="35">
        <v>2408.0</v>
      </c>
      <c r="AA346" s="29">
        <v>2945.0</v>
      </c>
      <c r="AB346" s="29">
        <v>1549.0</v>
      </c>
      <c r="AC346" s="29">
        <v>4494.0</v>
      </c>
      <c r="AD346" s="29">
        <v>127604.0</v>
      </c>
      <c r="AE346" s="29">
        <v>2945.0</v>
      </c>
      <c r="AF346" s="29">
        <v>90645.0</v>
      </c>
      <c r="AG346" s="29">
        <v>1549.0</v>
      </c>
      <c r="AH346" s="29">
        <v>36959.0</v>
      </c>
    </row>
    <row r="347" ht="14.25" customHeight="1">
      <c r="A347" s="34">
        <v>44233.0</v>
      </c>
      <c r="B347" s="35">
        <v>414.0</v>
      </c>
      <c r="C347" s="35">
        <v>579.0</v>
      </c>
      <c r="D347" s="35">
        <v>142051.0</v>
      </c>
      <c r="E347" s="35">
        <v>15173.0</v>
      </c>
      <c r="F347" s="36">
        <v>2517475.0</v>
      </c>
      <c r="G347" s="36">
        <v>15587.0</v>
      </c>
      <c r="H347" s="36">
        <v>2659526.0</v>
      </c>
      <c r="I347" s="35">
        <v>366.0</v>
      </c>
      <c r="J347" s="35">
        <v>499.0</v>
      </c>
      <c r="K347" s="35">
        <v>119103.0</v>
      </c>
      <c r="L347" s="35">
        <v>1721.0</v>
      </c>
      <c r="M347" s="35">
        <v>632427.0</v>
      </c>
      <c r="N347" s="35">
        <v>751530.0</v>
      </c>
      <c r="O347" s="35">
        <v>28.0</v>
      </c>
      <c r="P347" s="37">
        <v>8479.0</v>
      </c>
      <c r="Q347" s="37">
        <v>28.0</v>
      </c>
      <c r="R347" s="37">
        <v>7247.0</v>
      </c>
      <c r="S347" s="37">
        <v>3.0</v>
      </c>
      <c r="T347" s="37">
        <v>954.0</v>
      </c>
      <c r="U347" s="37">
        <v>278.0</v>
      </c>
      <c r="V347" s="37">
        <v>286.0</v>
      </c>
      <c r="W347" s="37">
        <v>52.0</v>
      </c>
      <c r="X347" s="37">
        <v>23.0</v>
      </c>
      <c r="Y347" s="37">
        <v>9.0</v>
      </c>
      <c r="Z347" s="35">
        <v>2417.0</v>
      </c>
      <c r="AA347" s="29">
        <v>3235.0</v>
      </c>
      <c r="AB347" s="29">
        <v>1653.0</v>
      </c>
      <c r="AC347" s="29">
        <v>4888.0</v>
      </c>
      <c r="AD347" s="29">
        <v>132492.0</v>
      </c>
      <c r="AE347" s="29">
        <v>3235.0</v>
      </c>
      <c r="AF347" s="29">
        <v>93880.0</v>
      </c>
      <c r="AG347" s="29">
        <v>1653.0</v>
      </c>
      <c r="AH347" s="29">
        <v>38612.0</v>
      </c>
    </row>
    <row r="348" ht="14.25" customHeight="1">
      <c r="A348" s="34">
        <v>44234.0</v>
      </c>
      <c r="B348" s="35">
        <v>240.0</v>
      </c>
      <c r="C348" s="35">
        <v>423.0</v>
      </c>
      <c r="D348" s="35">
        <v>142291.0</v>
      </c>
      <c r="E348" s="35">
        <v>4714.0</v>
      </c>
      <c r="F348" s="36">
        <v>2522189.0</v>
      </c>
      <c r="G348" s="36">
        <v>4954.0</v>
      </c>
      <c r="H348" s="36">
        <v>2664480.0</v>
      </c>
      <c r="I348" s="35">
        <v>189.0</v>
      </c>
      <c r="J348" s="35">
        <v>358.0</v>
      </c>
      <c r="K348" s="35">
        <v>119292.0</v>
      </c>
      <c r="L348" s="35">
        <v>716.0</v>
      </c>
      <c r="M348" s="35">
        <v>633143.0</v>
      </c>
      <c r="N348" s="35">
        <v>752435.0</v>
      </c>
      <c r="O348" s="35">
        <v>25.0</v>
      </c>
      <c r="P348" s="37">
        <v>8504.0</v>
      </c>
      <c r="Q348" s="37">
        <v>22.0</v>
      </c>
      <c r="R348" s="37">
        <v>7269.0</v>
      </c>
      <c r="S348" s="37">
        <v>7.0</v>
      </c>
      <c r="T348" s="37">
        <v>961.0</v>
      </c>
      <c r="U348" s="37">
        <v>274.0</v>
      </c>
      <c r="V348" s="37">
        <v>278.0</v>
      </c>
      <c r="W348" s="37">
        <v>49.0</v>
      </c>
      <c r="X348" s="37">
        <v>24.0</v>
      </c>
      <c r="Y348" s="37">
        <v>14.0</v>
      </c>
      <c r="Z348" s="35">
        <v>2431.0</v>
      </c>
      <c r="AA348" s="29">
        <v>410.0</v>
      </c>
      <c r="AB348" s="29">
        <v>444.0</v>
      </c>
      <c r="AC348" s="29">
        <v>854.0</v>
      </c>
      <c r="AD348" s="29">
        <v>133346.0</v>
      </c>
      <c r="AE348" s="29">
        <v>410.0</v>
      </c>
      <c r="AF348" s="29">
        <v>94290.0</v>
      </c>
      <c r="AG348" s="29">
        <v>444.0</v>
      </c>
      <c r="AH348" s="29">
        <v>39056.0</v>
      </c>
    </row>
    <row r="349" ht="14.25" customHeight="1">
      <c r="A349" s="34">
        <v>44235.0</v>
      </c>
      <c r="B349" s="35">
        <v>387.0</v>
      </c>
      <c r="C349" s="35">
        <v>347.0</v>
      </c>
      <c r="D349" s="35">
        <v>142678.0</v>
      </c>
      <c r="E349" s="35">
        <v>13020.0</v>
      </c>
      <c r="F349" s="36">
        <v>2535209.0</v>
      </c>
      <c r="G349" s="36">
        <v>13407.0</v>
      </c>
      <c r="H349" s="36">
        <v>2677887.0</v>
      </c>
      <c r="I349" s="35">
        <v>338.0</v>
      </c>
      <c r="J349" s="35">
        <v>298.0</v>
      </c>
      <c r="K349" s="35">
        <v>119630.0</v>
      </c>
      <c r="L349" s="35">
        <v>1607.0</v>
      </c>
      <c r="M349" s="35">
        <v>634750.0</v>
      </c>
      <c r="N349" s="35">
        <v>754380.0</v>
      </c>
      <c r="O349" s="35">
        <v>23.0</v>
      </c>
      <c r="P349" s="37">
        <v>8527.0</v>
      </c>
      <c r="Q349" s="37">
        <v>30.0</v>
      </c>
      <c r="R349" s="37">
        <v>7299.0</v>
      </c>
      <c r="S349" s="37">
        <v>1.0</v>
      </c>
      <c r="T349" s="37">
        <v>962.0</v>
      </c>
      <c r="U349" s="37">
        <v>266.0</v>
      </c>
      <c r="V349" s="37">
        <v>273.0</v>
      </c>
      <c r="W349" s="37">
        <v>46.0</v>
      </c>
      <c r="X349" s="37">
        <v>23.0</v>
      </c>
      <c r="Y349" s="37">
        <v>8.0</v>
      </c>
      <c r="Z349" s="35">
        <v>2439.0</v>
      </c>
      <c r="AA349" s="29">
        <v>1709.0</v>
      </c>
      <c r="AB349" s="29">
        <v>1381.0</v>
      </c>
      <c r="AC349" s="29">
        <v>3090.0</v>
      </c>
      <c r="AD349" s="29">
        <v>136436.0</v>
      </c>
      <c r="AE349" s="29">
        <v>1709.0</v>
      </c>
      <c r="AF349" s="29">
        <v>95999.0</v>
      </c>
      <c r="AG349" s="29">
        <v>1381.0</v>
      </c>
      <c r="AH349" s="29">
        <v>40437.0</v>
      </c>
    </row>
    <row r="350" ht="14.25" customHeight="1">
      <c r="A350" s="34">
        <v>44236.0</v>
      </c>
      <c r="B350" s="35">
        <v>565.0</v>
      </c>
      <c r="C350" s="35">
        <v>397.0</v>
      </c>
      <c r="D350" s="35">
        <v>143243.0</v>
      </c>
      <c r="E350" s="35">
        <v>17930.0</v>
      </c>
      <c r="F350" s="36">
        <v>2553139.0</v>
      </c>
      <c r="G350" s="36">
        <v>18495.0</v>
      </c>
      <c r="H350" s="36">
        <v>2696382.0</v>
      </c>
      <c r="I350" s="35">
        <v>493.0</v>
      </c>
      <c r="J350" s="35">
        <v>340.0</v>
      </c>
      <c r="K350" s="35">
        <v>120123.0</v>
      </c>
      <c r="L350" s="35">
        <v>1772.0</v>
      </c>
      <c r="M350" s="35">
        <v>636522.0</v>
      </c>
      <c r="N350" s="35">
        <v>756645.0</v>
      </c>
      <c r="O350" s="35">
        <v>34.0</v>
      </c>
      <c r="P350" s="37">
        <v>8561.0</v>
      </c>
      <c r="Q350" s="37">
        <v>35.0</v>
      </c>
      <c r="R350" s="37">
        <v>7334.0</v>
      </c>
      <c r="S350" s="37">
        <v>4.0</v>
      </c>
      <c r="T350" s="37">
        <v>966.0</v>
      </c>
      <c r="U350" s="37">
        <v>261.0</v>
      </c>
      <c r="V350" s="37">
        <v>267.0</v>
      </c>
      <c r="W350" s="37">
        <v>48.0</v>
      </c>
      <c r="X350" s="37">
        <v>24.0</v>
      </c>
      <c r="Y350" s="37">
        <v>7.0</v>
      </c>
      <c r="Z350" s="35">
        <v>2446.0</v>
      </c>
      <c r="AA350" s="29">
        <v>2709.0</v>
      </c>
      <c r="AB350" s="29">
        <v>1395.0</v>
      </c>
      <c r="AC350" s="29">
        <v>4104.0</v>
      </c>
      <c r="AD350" s="29">
        <v>140540.0</v>
      </c>
      <c r="AE350" s="29">
        <v>2709.0</v>
      </c>
      <c r="AF350" s="29">
        <v>98708.0</v>
      </c>
      <c r="AG350" s="29">
        <v>1395.0</v>
      </c>
      <c r="AH350" s="29">
        <v>41832.0</v>
      </c>
    </row>
    <row r="351" ht="14.25" customHeight="1">
      <c r="A351" s="34">
        <v>44237.0</v>
      </c>
      <c r="B351" s="35">
        <v>550.0</v>
      </c>
      <c r="C351" s="35">
        <v>501.0</v>
      </c>
      <c r="D351" s="35">
        <v>143793.0</v>
      </c>
      <c r="E351" s="35">
        <v>23769.0</v>
      </c>
      <c r="F351" s="36">
        <v>2576908.0</v>
      </c>
      <c r="G351" s="36">
        <v>24319.0</v>
      </c>
      <c r="H351" s="36">
        <v>2720701.0</v>
      </c>
      <c r="I351" s="35">
        <v>472.0</v>
      </c>
      <c r="J351" s="35">
        <v>434.0</v>
      </c>
      <c r="K351" s="35">
        <v>120595.0</v>
      </c>
      <c r="L351" s="35">
        <v>2142.0</v>
      </c>
      <c r="M351" s="35">
        <v>638664.0</v>
      </c>
      <c r="N351" s="35">
        <v>759259.0</v>
      </c>
      <c r="O351" s="35">
        <v>30.0</v>
      </c>
      <c r="P351" s="37">
        <v>8591.0</v>
      </c>
      <c r="Q351" s="37">
        <v>44.0</v>
      </c>
      <c r="R351" s="37">
        <v>7378.0</v>
      </c>
      <c r="S351" s="37">
        <v>6.0</v>
      </c>
      <c r="T351" s="37">
        <v>972.0</v>
      </c>
      <c r="U351" s="37">
        <v>241.0</v>
      </c>
      <c r="V351" s="37">
        <v>256.0</v>
      </c>
      <c r="W351" s="37">
        <v>44.0</v>
      </c>
      <c r="X351" s="37">
        <v>22.0</v>
      </c>
      <c r="Y351" s="37">
        <v>11.0</v>
      </c>
      <c r="Z351" s="35">
        <v>2457.0</v>
      </c>
      <c r="AA351" s="29">
        <v>2735.0</v>
      </c>
      <c r="AB351" s="29">
        <v>2244.0</v>
      </c>
      <c r="AC351" s="29">
        <v>4979.0</v>
      </c>
      <c r="AD351" s="29">
        <v>145519.0</v>
      </c>
      <c r="AE351" s="29">
        <v>2735.0</v>
      </c>
      <c r="AF351" s="29">
        <v>101443.0</v>
      </c>
      <c r="AG351" s="29">
        <v>2244.0</v>
      </c>
      <c r="AH351" s="29">
        <v>44076.0</v>
      </c>
    </row>
    <row r="352" ht="14.25" customHeight="1">
      <c r="A352" s="34">
        <v>44238.0</v>
      </c>
      <c r="B352" s="35">
        <v>482.0</v>
      </c>
      <c r="C352" s="35">
        <v>532.0</v>
      </c>
      <c r="D352" s="35">
        <v>144275.0</v>
      </c>
      <c r="E352" s="35">
        <v>21075.0</v>
      </c>
      <c r="F352" s="36">
        <v>2597983.0</v>
      </c>
      <c r="G352" s="36">
        <v>21557.0</v>
      </c>
      <c r="H352" s="36">
        <v>2742258.0</v>
      </c>
      <c r="I352" s="35">
        <v>411.0</v>
      </c>
      <c r="J352" s="35">
        <v>459.0</v>
      </c>
      <c r="K352" s="35">
        <v>121006.0</v>
      </c>
      <c r="L352" s="35">
        <v>2010.0</v>
      </c>
      <c r="M352" s="35">
        <v>640674.0</v>
      </c>
      <c r="N352" s="35">
        <v>761680.0</v>
      </c>
      <c r="O352" s="35">
        <v>31.0</v>
      </c>
      <c r="P352" s="37">
        <v>8622.0</v>
      </c>
      <c r="Q352" s="37">
        <v>34.0</v>
      </c>
      <c r="R352" s="37">
        <v>7412.0</v>
      </c>
      <c r="S352" s="37">
        <v>4.0</v>
      </c>
      <c r="T352" s="37">
        <v>976.0</v>
      </c>
      <c r="U352" s="37">
        <v>234.0</v>
      </c>
      <c r="V352" s="37">
        <v>245.0</v>
      </c>
      <c r="W352" s="37">
        <v>43.0</v>
      </c>
      <c r="X352" s="37">
        <v>22.0</v>
      </c>
      <c r="Y352" s="37">
        <v>11.0</v>
      </c>
      <c r="Z352" s="35">
        <v>2468.0</v>
      </c>
      <c r="AA352" s="29">
        <v>3029.0</v>
      </c>
      <c r="AB352" s="29">
        <v>1952.0</v>
      </c>
      <c r="AC352" s="29">
        <v>4981.0</v>
      </c>
      <c r="AD352" s="29">
        <v>150500.0</v>
      </c>
      <c r="AE352" s="29">
        <v>3029.0</v>
      </c>
      <c r="AF352" s="29">
        <v>104472.0</v>
      </c>
      <c r="AG352" s="29">
        <v>1952.0</v>
      </c>
      <c r="AH352" s="29">
        <v>46028.0</v>
      </c>
    </row>
    <row r="353" ht="14.25" customHeight="1">
      <c r="A353" s="34">
        <v>44239.0</v>
      </c>
      <c r="B353" s="35">
        <v>447.0</v>
      </c>
      <c r="C353" s="35">
        <v>493.0</v>
      </c>
      <c r="D353" s="35">
        <v>144722.0</v>
      </c>
      <c r="E353" s="35">
        <v>20706.0</v>
      </c>
      <c r="F353" s="36">
        <v>2618689.0</v>
      </c>
      <c r="G353" s="36">
        <v>21153.0</v>
      </c>
      <c r="H353" s="36">
        <v>2763411.0</v>
      </c>
      <c r="I353" s="35">
        <v>383.0</v>
      </c>
      <c r="J353" s="35">
        <v>422.0</v>
      </c>
      <c r="K353" s="35">
        <v>121389.0</v>
      </c>
      <c r="L353" s="35">
        <v>1938.0</v>
      </c>
      <c r="M353" s="35">
        <v>642612.0</v>
      </c>
      <c r="N353" s="35">
        <v>764001.0</v>
      </c>
      <c r="O353" s="35">
        <v>19.0</v>
      </c>
      <c r="P353" s="37">
        <v>8641.0</v>
      </c>
      <c r="Q353" s="37">
        <v>27.0</v>
      </c>
      <c r="R353" s="37">
        <v>7439.0</v>
      </c>
      <c r="S353" s="37">
        <v>2.0</v>
      </c>
      <c r="T353" s="37">
        <v>978.0</v>
      </c>
      <c r="U353" s="37">
        <v>224.0</v>
      </c>
      <c r="V353" s="37">
        <v>233.0</v>
      </c>
      <c r="W353" s="37">
        <v>41.0</v>
      </c>
      <c r="X353" s="37">
        <v>21.0</v>
      </c>
      <c r="Y353" s="37">
        <v>5.0</v>
      </c>
      <c r="Z353" s="35">
        <v>2473.0</v>
      </c>
      <c r="AA353" s="29">
        <v>3367.0</v>
      </c>
      <c r="AB353" s="29">
        <v>2392.0</v>
      </c>
      <c r="AC353" s="29">
        <v>5759.0</v>
      </c>
      <c r="AD353" s="29">
        <v>156259.0</v>
      </c>
      <c r="AE353" s="29">
        <v>3367.0</v>
      </c>
      <c r="AF353" s="29">
        <v>107839.0</v>
      </c>
      <c r="AG353" s="29">
        <v>2392.0</v>
      </c>
      <c r="AH353" s="29">
        <v>48420.0</v>
      </c>
    </row>
    <row r="354" ht="14.25" customHeight="1">
      <c r="A354" s="34">
        <v>44240.0</v>
      </c>
      <c r="B354" s="35">
        <v>387.0</v>
      </c>
      <c r="C354" s="35">
        <v>439.0</v>
      </c>
      <c r="D354" s="35">
        <v>145109.0</v>
      </c>
      <c r="E354" s="35">
        <v>14067.0</v>
      </c>
      <c r="F354" s="36">
        <v>2632756.0</v>
      </c>
      <c r="G354" s="36">
        <v>14454.0</v>
      </c>
      <c r="H354" s="36">
        <v>2777865.0</v>
      </c>
      <c r="I354" s="35">
        <v>328.0</v>
      </c>
      <c r="J354" s="35">
        <v>374.0</v>
      </c>
      <c r="K354" s="35">
        <v>121717.0</v>
      </c>
      <c r="L354" s="35">
        <v>1580.0</v>
      </c>
      <c r="M354" s="35">
        <v>644192.0</v>
      </c>
      <c r="N354" s="35">
        <v>765909.0</v>
      </c>
      <c r="O354" s="35">
        <v>22.0</v>
      </c>
      <c r="P354" s="37">
        <v>8663.0</v>
      </c>
      <c r="Q354" s="37">
        <v>34.0</v>
      </c>
      <c r="R354" s="37">
        <v>7473.0</v>
      </c>
      <c r="S354" s="37">
        <v>4.0</v>
      </c>
      <c r="T354" s="37">
        <v>982.0</v>
      </c>
      <c r="U354" s="37">
        <v>208.0</v>
      </c>
      <c r="V354" s="37">
        <v>222.0</v>
      </c>
      <c r="W354" s="37">
        <v>38.0</v>
      </c>
      <c r="X354" s="37">
        <v>19.0</v>
      </c>
      <c r="Y354" s="37">
        <v>9.0</v>
      </c>
      <c r="Z354" s="35">
        <v>2482.0</v>
      </c>
      <c r="AA354" s="29">
        <v>3315.0</v>
      </c>
      <c r="AB354" s="29">
        <v>2871.0</v>
      </c>
      <c r="AC354" s="29">
        <v>6186.0</v>
      </c>
      <c r="AD354" s="29">
        <v>162445.0</v>
      </c>
      <c r="AE354" s="29">
        <v>3315.0</v>
      </c>
      <c r="AF354" s="29">
        <v>111154.0</v>
      </c>
      <c r="AG354" s="29">
        <v>2871.0</v>
      </c>
      <c r="AH354" s="29">
        <v>51291.0</v>
      </c>
    </row>
    <row r="355" ht="14.25" customHeight="1">
      <c r="A355" s="34">
        <v>44241.0</v>
      </c>
      <c r="B355" s="35">
        <v>266.0</v>
      </c>
      <c r="C355" s="35">
        <v>367.0</v>
      </c>
      <c r="D355" s="35">
        <v>145375.0</v>
      </c>
      <c r="E355" s="35">
        <v>6593.0</v>
      </c>
      <c r="F355" s="36">
        <v>2639349.0</v>
      </c>
      <c r="G355" s="36">
        <v>6859.0</v>
      </c>
      <c r="H355" s="36">
        <v>2784724.0</v>
      </c>
      <c r="I355" s="35">
        <v>232.0</v>
      </c>
      <c r="J355" s="35">
        <v>314.0</v>
      </c>
      <c r="K355" s="35">
        <v>121949.0</v>
      </c>
      <c r="L355" s="35">
        <v>897.0</v>
      </c>
      <c r="M355" s="35">
        <v>645089.0</v>
      </c>
      <c r="N355" s="35">
        <v>767038.0</v>
      </c>
      <c r="O355" s="35">
        <v>26.0</v>
      </c>
      <c r="P355" s="37">
        <v>8689.0</v>
      </c>
      <c r="Q355" s="37">
        <v>15.0</v>
      </c>
      <c r="R355" s="37">
        <v>7488.0</v>
      </c>
      <c r="S355" s="37">
        <v>0.0</v>
      </c>
      <c r="T355" s="37">
        <v>982.0</v>
      </c>
      <c r="U355" s="37">
        <v>219.0</v>
      </c>
      <c r="V355" s="37">
        <v>217.0</v>
      </c>
      <c r="W355" s="37">
        <v>38.0</v>
      </c>
      <c r="X355" s="37">
        <v>23.0</v>
      </c>
      <c r="Y355" s="37">
        <v>4.0</v>
      </c>
      <c r="Z355" s="35">
        <v>2486.0</v>
      </c>
      <c r="AA355" s="29">
        <v>1324.0</v>
      </c>
      <c r="AB355" s="29">
        <v>784.0</v>
      </c>
      <c r="AC355" s="29">
        <v>2108.0</v>
      </c>
      <c r="AD355" s="29">
        <v>164553.0</v>
      </c>
      <c r="AE355" s="29">
        <v>1324.0</v>
      </c>
      <c r="AF355" s="29">
        <v>112478.0</v>
      </c>
      <c r="AG355" s="29">
        <v>784.0</v>
      </c>
      <c r="AH355" s="29">
        <v>52075.0</v>
      </c>
    </row>
    <row r="356" ht="14.25" customHeight="1">
      <c r="A356" s="34">
        <v>44242.0</v>
      </c>
      <c r="B356" s="35">
        <v>330.0</v>
      </c>
      <c r="C356" s="35">
        <v>328.0</v>
      </c>
      <c r="D356" s="35">
        <v>145705.0</v>
      </c>
      <c r="E356" s="35">
        <v>11090.0</v>
      </c>
      <c r="F356" s="36">
        <v>2650439.0</v>
      </c>
      <c r="G356" s="36">
        <v>11420.0</v>
      </c>
      <c r="H356" s="36">
        <v>2796144.0</v>
      </c>
      <c r="I356" s="35">
        <v>301.0</v>
      </c>
      <c r="J356" s="35">
        <v>287.0</v>
      </c>
      <c r="K356" s="35">
        <v>122250.0</v>
      </c>
      <c r="L356" s="35">
        <v>1186.0</v>
      </c>
      <c r="M356" s="35">
        <v>646275.0</v>
      </c>
      <c r="N356" s="35">
        <v>768525.0</v>
      </c>
      <c r="O356" s="35">
        <v>28.0</v>
      </c>
      <c r="P356" s="37">
        <v>8717.0</v>
      </c>
      <c r="Q356" s="37">
        <v>27.0</v>
      </c>
      <c r="R356" s="37">
        <v>7515.0</v>
      </c>
      <c r="S356" s="37">
        <v>3.0</v>
      </c>
      <c r="T356" s="37">
        <v>985.0</v>
      </c>
      <c r="U356" s="37">
        <v>217.0</v>
      </c>
      <c r="V356" s="37">
        <v>215.0</v>
      </c>
      <c r="W356" s="37">
        <v>33.0</v>
      </c>
      <c r="X356" s="37">
        <v>22.0</v>
      </c>
      <c r="Y356" s="37">
        <v>3.0</v>
      </c>
      <c r="Z356" s="35">
        <v>2489.0</v>
      </c>
      <c r="AA356" s="29">
        <v>3800.0</v>
      </c>
      <c r="AB356" s="29">
        <v>1067.0</v>
      </c>
      <c r="AC356" s="29">
        <v>4867.0</v>
      </c>
      <c r="AD356" s="29">
        <v>169420.0</v>
      </c>
      <c r="AE356" s="29">
        <v>3800.0</v>
      </c>
      <c r="AF356" s="29">
        <v>116278.0</v>
      </c>
      <c r="AG356" s="29">
        <v>1067.0</v>
      </c>
      <c r="AH356" s="29">
        <v>53142.0</v>
      </c>
    </row>
    <row r="357" ht="14.25" customHeight="1">
      <c r="A357" s="34">
        <v>44243.0</v>
      </c>
      <c r="B357" s="35">
        <v>473.0</v>
      </c>
      <c r="C357" s="35">
        <v>356.0</v>
      </c>
      <c r="D357" s="35">
        <v>146178.0</v>
      </c>
      <c r="E357" s="35">
        <v>20049.0</v>
      </c>
      <c r="F357" s="36">
        <v>2670488.0</v>
      </c>
      <c r="G357" s="36">
        <v>20522.0</v>
      </c>
      <c r="H357" s="36">
        <v>2816666.0</v>
      </c>
      <c r="I357" s="35">
        <v>407.0</v>
      </c>
      <c r="J357" s="35">
        <v>313.0</v>
      </c>
      <c r="K357" s="35">
        <v>122657.0</v>
      </c>
      <c r="L357" s="35">
        <v>1796.0</v>
      </c>
      <c r="M357" s="35">
        <v>648071.0</v>
      </c>
      <c r="N357" s="35">
        <v>770728.0</v>
      </c>
      <c r="O357" s="35">
        <v>22.0</v>
      </c>
      <c r="P357" s="37">
        <v>8739.0</v>
      </c>
      <c r="Q357" s="37">
        <v>42.0</v>
      </c>
      <c r="R357" s="37">
        <v>7557.0</v>
      </c>
      <c r="S357" s="37">
        <v>3.0</v>
      </c>
      <c r="T357" s="37">
        <v>988.0</v>
      </c>
      <c r="U357" s="37">
        <v>194.0</v>
      </c>
      <c r="V357" s="37">
        <v>210.0</v>
      </c>
      <c r="W357" s="37">
        <v>34.0</v>
      </c>
      <c r="X357" s="37">
        <v>20.0</v>
      </c>
      <c r="Y357" s="37">
        <v>9.0</v>
      </c>
      <c r="Z357" s="35">
        <v>2498.0</v>
      </c>
      <c r="AA357" s="29">
        <v>3632.0</v>
      </c>
      <c r="AB357" s="29">
        <v>1301.0</v>
      </c>
      <c r="AC357" s="29">
        <v>4933.0</v>
      </c>
      <c r="AD357" s="29">
        <v>174353.0</v>
      </c>
      <c r="AE357" s="29">
        <v>3632.0</v>
      </c>
      <c r="AF357" s="29">
        <v>119910.0</v>
      </c>
      <c r="AG357" s="29">
        <v>1301.0</v>
      </c>
      <c r="AH357" s="29">
        <v>54443.0</v>
      </c>
    </row>
    <row r="358" ht="14.25" customHeight="1">
      <c r="A358" s="34">
        <v>44244.0</v>
      </c>
      <c r="B358" s="35">
        <v>413.0</v>
      </c>
      <c r="C358" s="35">
        <v>405.0</v>
      </c>
      <c r="D358" s="35">
        <v>146591.0</v>
      </c>
      <c r="E358" s="35">
        <v>22259.0</v>
      </c>
      <c r="F358" s="36">
        <v>2692747.0</v>
      </c>
      <c r="G358" s="36">
        <v>22672.0</v>
      </c>
      <c r="H358" s="36">
        <v>2839338.0</v>
      </c>
      <c r="I358" s="35">
        <v>357.0</v>
      </c>
      <c r="J358" s="35">
        <v>355.0</v>
      </c>
      <c r="K358" s="35">
        <v>123014.0</v>
      </c>
      <c r="L358" s="35">
        <v>1746.0</v>
      </c>
      <c r="M358" s="35">
        <v>649817.0</v>
      </c>
      <c r="N358" s="35">
        <v>772831.0</v>
      </c>
      <c r="O358" s="35">
        <v>25.0</v>
      </c>
      <c r="P358" s="37">
        <v>8764.0</v>
      </c>
      <c r="Q358" s="37">
        <v>26.0</v>
      </c>
      <c r="R358" s="37">
        <v>7583.0</v>
      </c>
      <c r="S358" s="37">
        <v>0.0</v>
      </c>
      <c r="T358" s="37">
        <v>988.0</v>
      </c>
      <c r="U358" s="37">
        <v>193.0</v>
      </c>
      <c r="V358" s="37">
        <v>201.0</v>
      </c>
      <c r="W358" s="37">
        <v>30.0</v>
      </c>
      <c r="X358" s="37">
        <v>20.0</v>
      </c>
      <c r="Y358" s="37">
        <v>1.0</v>
      </c>
      <c r="Z358" s="35">
        <v>2499.0</v>
      </c>
      <c r="AA358" s="29">
        <v>5190.0</v>
      </c>
      <c r="AB358" s="29">
        <v>1922.0</v>
      </c>
      <c r="AC358" s="29">
        <v>7112.0</v>
      </c>
      <c r="AD358" s="29">
        <v>181465.0</v>
      </c>
      <c r="AE358" s="29">
        <v>5190.0</v>
      </c>
      <c r="AF358" s="29">
        <v>125100.0</v>
      </c>
      <c r="AG358" s="29">
        <v>1922.0</v>
      </c>
      <c r="AH358" s="29">
        <v>56365.0</v>
      </c>
    </row>
    <row r="359" ht="14.25" customHeight="1">
      <c r="A359" s="34">
        <v>44245.0</v>
      </c>
      <c r="B359" s="35">
        <v>400.0</v>
      </c>
      <c r="C359" s="35">
        <v>429.0</v>
      </c>
      <c r="D359" s="35">
        <v>146991.0</v>
      </c>
      <c r="E359" s="35">
        <v>20161.0</v>
      </c>
      <c r="F359" s="36">
        <v>2712908.0</v>
      </c>
      <c r="G359" s="36">
        <v>20561.0</v>
      </c>
      <c r="H359" s="36">
        <v>2859899.0</v>
      </c>
      <c r="I359" s="35">
        <v>332.0</v>
      </c>
      <c r="J359" s="35">
        <v>365.0</v>
      </c>
      <c r="K359" s="35">
        <v>123346.0</v>
      </c>
      <c r="L359" s="35">
        <v>1577.0</v>
      </c>
      <c r="M359" s="35">
        <v>651394.0</v>
      </c>
      <c r="N359" s="35">
        <v>774740.0</v>
      </c>
      <c r="O359" s="35">
        <v>17.0</v>
      </c>
      <c r="P359" s="37">
        <v>8781.0</v>
      </c>
      <c r="Q359" s="37">
        <v>19.0</v>
      </c>
      <c r="R359" s="37">
        <v>7602.0</v>
      </c>
      <c r="S359" s="37">
        <v>2.0</v>
      </c>
      <c r="T359" s="37">
        <v>990.0</v>
      </c>
      <c r="U359" s="37">
        <v>189.0</v>
      </c>
      <c r="V359" s="37">
        <v>192.0</v>
      </c>
      <c r="W359" s="37">
        <v>35.0</v>
      </c>
      <c r="X359" s="37">
        <v>19.0</v>
      </c>
      <c r="Y359" s="37">
        <v>4.0</v>
      </c>
      <c r="Z359" s="35">
        <v>2503.0</v>
      </c>
      <c r="AA359" s="29">
        <v>6023.0</v>
      </c>
      <c r="AB359" s="29">
        <v>2314.0</v>
      </c>
      <c r="AC359" s="29">
        <v>8337.0</v>
      </c>
      <c r="AD359" s="29">
        <v>189802.0</v>
      </c>
      <c r="AE359" s="29">
        <v>6023.0</v>
      </c>
      <c r="AF359" s="29">
        <v>131123.0</v>
      </c>
      <c r="AG359" s="29">
        <v>2314.0</v>
      </c>
      <c r="AH359" s="29">
        <v>58679.0</v>
      </c>
    </row>
    <row r="360" ht="14.25" customHeight="1">
      <c r="A360" s="34">
        <v>44246.0</v>
      </c>
      <c r="B360" s="35">
        <v>418.0</v>
      </c>
      <c r="C360" s="35">
        <v>410.0</v>
      </c>
      <c r="D360" s="35">
        <v>147409.0</v>
      </c>
      <c r="E360" s="35">
        <v>16724.0</v>
      </c>
      <c r="F360" s="36">
        <v>2729632.0</v>
      </c>
      <c r="G360" s="36">
        <v>17142.0</v>
      </c>
      <c r="H360" s="36">
        <v>2877041.0</v>
      </c>
      <c r="I360" s="35">
        <v>351.0</v>
      </c>
      <c r="J360" s="35">
        <v>347.0</v>
      </c>
      <c r="K360" s="35">
        <v>123697.0</v>
      </c>
      <c r="L360" s="35">
        <v>1548.0</v>
      </c>
      <c r="M360" s="35">
        <v>652942.0</v>
      </c>
      <c r="N360" s="35">
        <v>776639.0</v>
      </c>
      <c r="O360" s="35">
        <v>22.0</v>
      </c>
      <c r="P360" s="37">
        <v>8803.0</v>
      </c>
      <c r="Q360" s="37">
        <v>34.0</v>
      </c>
      <c r="R360" s="37">
        <v>7636.0</v>
      </c>
      <c r="S360" s="37">
        <v>3.0</v>
      </c>
      <c r="T360" s="37">
        <v>993.0</v>
      </c>
      <c r="U360" s="37">
        <v>174.0</v>
      </c>
      <c r="V360" s="37">
        <v>185.0</v>
      </c>
      <c r="W360" s="37">
        <v>29.0</v>
      </c>
      <c r="X360" s="37">
        <v>17.0</v>
      </c>
      <c r="Y360" s="37">
        <v>6.0</v>
      </c>
      <c r="Z360" s="35">
        <v>2509.0</v>
      </c>
      <c r="AA360" s="29">
        <v>5555.0</v>
      </c>
      <c r="AB360" s="29">
        <v>2244.0</v>
      </c>
      <c r="AC360" s="29">
        <v>7799.0</v>
      </c>
      <c r="AD360" s="29">
        <v>197601.0</v>
      </c>
      <c r="AE360" s="29">
        <v>5555.0</v>
      </c>
      <c r="AF360" s="29">
        <v>136678.0</v>
      </c>
      <c r="AG360" s="29">
        <v>2244.0</v>
      </c>
      <c r="AH360" s="29">
        <v>60923.0</v>
      </c>
    </row>
    <row r="361" ht="14.25" customHeight="1">
      <c r="A361" s="34">
        <v>44247.0</v>
      </c>
      <c r="B361" s="35">
        <v>337.0</v>
      </c>
      <c r="C361" s="35">
        <v>385.0</v>
      </c>
      <c r="D361" s="35">
        <v>147746.0</v>
      </c>
      <c r="E361" s="35">
        <v>10618.0</v>
      </c>
      <c r="F361" s="35">
        <v>2740250.0</v>
      </c>
      <c r="G361" s="35">
        <v>10955.0</v>
      </c>
      <c r="H361" s="35">
        <v>2887996.0</v>
      </c>
      <c r="I361" s="35">
        <v>281.0</v>
      </c>
      <c r="J361" s="35">
        <v>321.0</v>
      </c>
      <c r="K361" s="35">
        <v>123978.0</v>
      </c>
      <c r="L361" s="35">
        <v>1312.0</v>
      </c>
      <c r="M361" s="35">
        <v>654254.0</v>
      </c>
      <c r="N361" s="35">
        <v>778232.0</v>
      </c>
      <c r="O361" s="35">
        <v>37.0</v>
      </c>
      <c r="P361" s="35">
        <v>8840.0</v>
      </c>
      <c r="Q361" s="35">
        <v>21.0</v>
      </c>
      <c r="R361" s="35">
        <v>7657.0</v>
      </c>
      <c r="S361" s="35">
        <v>2.0</v>
      </c>
      <c r="T361" s="35">
        <v>995.0</v>
      </c>
      <c r="U361" s="35">
        <v>188.0</v>
      </c>
      <c r="V361" s="35">
        <v>184.0</v>
      </c>
      <c r="W361" s="35">
        <v>29.0</v>
      </c>
      <c r="X361" s="35">
        <v>17.0</v>
      </c>
      <c r="Y361" s="35">
        <v>4.0</v>
      </c>
      <c r="Z361" s="35">
        <v>2513.0</v>
      </c>
      <c r="AA361" s="35">
        <v>7898.0</v>
      </c>
      <c r="AB361" s="35">
        <v>2019.0</v>
      </c>
      <c r="AC361" s="35">
        <v>9917.0</v>
      </c>
      <c r="AD361" s="35">
        <v>207518.0</v>
      </c>
      <c r="AE361" s="35">
        <v>7898.0</v>
      </c>
      <c r="AF361" s="35">
        <v>144576.0</v>
      </c>
      <c r="AG361" s="35">
        <v>2019.0</v>
      </c>
      <c r="AH361" s="35">
        <v>62942.0</v>
      </c>
    </row>
    <row r="362" ht="14.25" customHeight="1">
      <c r="A362" s="34">
        <v>44248.0</v>
      </c>
      <c r="B362" s="35">
        <v>200.0</v>
      </c>
      <c r="C362" s="35">
        <v>318.0</v>
      </c>
      <c r="D362" s="35">
        <v>147946.0</v>
      </c>
      <c r="E362" s="35">
        <v>6308.0</v>
      </c>
      <c r="F362" s="35">
        <v>2746558.0</v>
      </c>
      <c r="G362" s="35">
        <v>6508.0</v>
      </c>
      <c r="H362" s="35">
        <v>2894504.0</v>
      </c>
      <c r="I362" s="35">
        <v>173.0</v>
      </c>
      <c r="J362" s="35">
        <v>268.0</v>
      </c>
      <c r="K362" s="35">
        <v>124151.0</v>
      </c>
      <c r="L362" s="35">
        <v>839.0</v>
      </c>
      <c r="M362" s="35">
        <v>655093.0</v>
      </c>
      <c r="N362" s="35">
        <v>779244.0</v>
      </c>
      <c r="O362" s="35">
        <v>6.0</v>
      </c>
      <c r="P362" s="35">
        <v>8846.0</v>
      </c>
      <c r="Q362" s="35">
        <v>14.0</v>
      </c>
      <c r="R362" s="35">
        <v>7671.0</v>
      </c>
      <c r="S362" s="35">
        <v>2.0</v>
      </c>
      <c r="T362" s="35">
        <v>997.0</v>
      </c>
      <c r="U362" s="35">
        <v>178.0</v>
      </c>
      <c r="V362" s="35">
        <v>180.0</v>
      </c>
      <c r="W362" s="35">
        <v>33.0</v>
      </c>
      <c r="X362" s="35">
        <v>18.0</v>
      </c>
      <c r="Y362" s="35">
        <v>3.0</v>
      </c>
      <c r="Z362" s="35">
        <v>2516.0</v>
      </c>
      <c r="AA362" s="35">
        <v>1932.0</v>
      </c>
      <c r="AB362" s="35">
        <v>617.0</v>
      </c>
      <c r="AC362" s="35">
        <v>2549.0</v>
      </c>
      <c r="AD362" s="35">
        <v>210067.0</v>
      </c>
      <c r="AE362" s="35">
        <v>1932.0</v>
      </c>
      <c r="AF362" s="35">
        <v>146508.0</v>
      </c>
      <c r="AG362" s="35">
        <v>617.0</v>
      </c>
      <c r="AH362" s="35">
        <v>63559.0</v>
      </c>
    </row>
    <row r="363" ht="14.25" customHeight="1">
      <c r="A363" s="34">
        <v>44249.0</v>
      </c>
      <c r="B363" s="35">
        <v>389.0</v>
      </c>
      <c r="C363" s="35">
        <v>309.0</v>
      </c>
      <c r="D363" s="35">
        <v>148335.0</v>
      </c>
      <c r="E363" s="35">
        <v>12031.0</v>
      </c>
      <c r="F363" s="35">
        <v>2758589.0</v>
      </c>
      <c r="G363" s="35">
        <v>12420.0</v>
      </c>
      <c r="H363" s="35">
        <v>2906924.0</v>
      </c>
      <c r="I363" s="35">
        <v>343.0</v>
      </c>
      <c r="J363" s="35">
        <v>266.0</v>
      </c>
      <c r="K363" s="35">
        <v>124494.0</v>
      </c>
      <c r="L363" s="35">
        <v>1518.0</v>
      </c>
      <c r="M363" s="35">
        <v>656611.0</v>
      </c>
      <c r="N363" s="35">
        <v>781105.0</v>
      </c>
      <c r="O363" s="35">
        <v>16.0</v>
      </c>
      <c r="P363" s="35">
        <v>8862.0</v>
      </c>
      <c r="Q363" s="35">
        <v>17.0</v>
      </c>
      <c r="R363" s="35">
        <v>7688.0</v>
      </c>
      <c r="S363" s="35">
        <v>0.0</v>
      </c>
      <c r="T363" s="35">
        <v>997.0</v>
      </c>
      <c r="U363" s="35">
        <v>177.0</v>
      </c>
      <c r="V363" s="35">
        <v>181.0</v>
      </c>
      <c r="W363" s="35">
        <v>32.0</v>
      </c>
      <c r="X363" s="35">
        <v>17.0</v>
      </c>
      <c r="Y363" s="35">
        <v>2.0</v>
      </c>
      <c r="Z363" s="35">
        <v>2518.0</v>
      </c>
      <c r="AA363" s="35">
        <v>5472.0</v>
      </c>
      <c r="AB363" s="35">
        <v>1387.0</v>
      </c>
      <c r="AC363" s="35">
        <v>6859.0</v>
      </c>
      <c r="AD363" s="35">
        <v>216926.0</v>
      </c>
      <c r="AE363" s="35">
        <v>5472.0</v>
      </c>
      <c r="AF363" s="35">
        <v>151980.0</v>
      </c>
      <c r="AG363" s="35">
        <v>1387.0</v>
      </c>
      <c r="AH363" s="35">
        <v>64946.0</v>
      </c>
    </row>
    <row r="364" ht="14.25" customHeight="1">
      <c r="A364" s="34">
        <v>44250.0</v>
      </c>
      <c r="B364" s="35">
        <v>491.0</v>
      </c>
      <c r="C364" s="35">
        <v>360.0</v>
      </c>
      <c r="D364" s="35">
        <v>148826.0</v>
      </c>
      <c r="E364" s="35">
        <v>19937.0</v>
      </c>
      <c r="F364" s="35">
        <v>2778526.0</v>
      </c>
      <c r="G364" s="35">
        <v>20428.0</v>
      </c>
      <c r="H364" s="35">
        <v>2927352.0</v>
      </c>
      <c r="I364" s="35">
        <v>440.0</v>
      </c>
      <c r="J364" s="35">
        <v>319.0</v>
      </c>
      <c r="K364" s="35">
        <v>124934.0</v>
      </c>
      <c r="L364" s="35">
        <v>2100.0</v>
      </c>
      <c r="M364" s="35">
        <v>658711.0</v>
      </c>
      <c r="N364" s="35">
        <v>783645.0</v>
      </c>
      <c r="O364" s="35">
        <v>25.0</v>
      </c>
      <c r="P364" s="35">
        <v>8887.0</v>
      </c>
      <c r="Q364" s="35">
        <v>27.0</v>
      </c>
      <c r="R364" s="35">
        <v>7715.0</v>
      </c>
      <c r="S364" s="35">
        <v>2.0</v>
      </c>
      <c r="T364" s="35">
        <v>999.0</v>
      </c>
      <c r="U364" s="35">
        <v>173.0</v>
      </c>
      <c r="V364" s="35">
        <v>176.0</v>
      </c>
      <c r="W364" s="35">
        <v>32.0</v>
      </c>
      <c r="X364" s="35">
        <v>18.0</v>
      </c>
      <c r="Y364" s="35">
        <v>5.0</v>
      </c>
      <c r="Z364" s="35">
        <v>2523.0</v>
      </c>
      <c r="AA364" s="35">
        <v>6118.0</v>
      </c>
      <c r="AB364" s="35">
        <v>1378.0</v>
      </c>
      <c r="AC364" s="35">
        <v>7496.0</v>
      </c>
      <c r="AD364" s="35">
        <v>224422.0</v>
      </c>
      <c r="AE364" s="35">
        <v>6118.0</v>
      </c>
      <c r="AF364" s="35">
        <v>158098.0</v>
      </c>
      <c r="AG364" s="35">
        <v>1378.0</v>
      </c>
      <c r="AH364" s="35">
        <v>66324.0</v>
      </c>
    </row>
    <row r="365" ht="14.25" customHeight="1">
      <c r="A365" s="34">
        <v>44251.0</v>
      </c>
      <c r="B365" s="35">
        <v>490.0</v>
      </c>
      <c r="C365" s="35">
        <v>457.0</v>
      </c>
      <c r="D365" s="35">
        <v>149316.0</v>
      </c>
      <c r="E365" s="35">
        <v>23121.0</v>
      </c>
      <c r="F365" s="35">
        <v>2801647.0</v>
      </c>
      <c r="G365" s="35">
        <v>23611.0</v>
      </c>
      <c r="H365" s="35">
        <v>2950963.0</v>
      </c>
      <c r="I365" s="35">
        <v>422.0</v>
      </c>
      <c r="J365" s="35">
        <v>402.0</v>
      </c>
      <c r="K365" s="35">
        <v>125356.0</v>
      </c>
      <c r="L365" s="35">
        <v>2022.0</v>
      </c>
      <c r="M365" s="35">
        <v>660733.0</v>
      </c>
      <c r="N365" s="35">
        <v>786089.0</v>
      </c>
      <c r="O365" s="35">
        <v>28.0</v>
      </c>
      <c r="P365" s="35">
        <v>8915.0</v>
      </c>
      <c r="Q365" s="35">
        <v>20.0</v>
      </c>
      <c r="R365" s="35">
        <v>7735.0</v>
      </c>
      <c r="S365" s="35">
        <v>2.0</v>
      </c>
      <c r="T365" s="35">
        <v>1001.0</v>
      </c>
      <c r="U365" s="35">
        <v>179.0</v>
      </c>
      <c r="V365" s="35">
        <v>176.0</v>
      </c>
      <c r="W365" s="35">
        <v>33.0</v>
      </c>
      <c r="X365" s="35">
        <v>20.0</v>
      </c>
      <c r="Y365" s="35">
        <v>5.0</v>
      </c>
      <c r="Z365" s="35">
        <v>2528.0</v>
      </c>
      <c r="AA365" s="35">
        <v>6625.0</v>
      </c>
      <c r="AB365" s="35">
        <v>1813.0</v>
      </c>
      <c r="AC365" s="35">
        <v>8438.0</v>
      </c>
      <c r="AD365" s="35">
        <v>232860.0</v>
      </c>
      <c r="AE365" s="35">
        <v>6625.0</v>
      </c>
      <c r="AF365" s="35">
        <v>164723.0</v>
      </c>
      <c r="AG365" s="35">
        <v>1813.0</v>
      </c>
      <c r="AH365" s="35">
        <v>68137.0</v>
      </c>
    </row>
    <row r="366" ht="14.25" customHeight="1">
      <c r="A366" s="34">
        <v>44252.0</v>
      </c>
      <c r="B366" s="35">
        <v>530.0</v>
      </c>
      <c r="C366" s="35">
        <v>504.0</v>
      </c>
      <c r="D366" s="35">
        <v>149846.0</v>
      </c>
      <c r="E366" s="35">
        <v>20981.0</v>
      </c>
      <c r="F366" s="35">
        <v>2822628.0</v>
      </c>
      <c r="G366" s="35">
        <v>21511.0</v>
      </c>
      <c r="H366" s="35">
        <v>2972474.0</v>
      </c>
      <c r="I366" s="35">
        <v>455.0</v>
      </c>
      <c r="J366" s="35">
        <v>439.0</v>
      </c>
      <c r="K366" s="35">
        <v>125811.0</v>
      </c>
      <c r="L366" s="35">
        <v>1925.0</v>
      </c>
      <c r="M366" s="35">
        <v>662658.0</v>
      </c>
      <c r="N366" s="35">
        <v>788469.0</v>
      </c>
      <c r="O366" s="35">
        <v>19.0</v>
      </c>
      <c r="P366" s="35">
        <v>8934.0</v>
      </c>
      <c r="Q366" s="35">
        <v>20.0</v>
      </c>
      <c r="R366" s="35">
        <v>7755.0</v>
      </c>
      <c r="S366" s="35">
        <v>3.0</v>
      </c>
      <c r="T366" s="35">
        <v>1004.0</v>
      </c>
      <c r="U366" s="35">
        <v>175.0</v>
      </c>
      <c r="V366" s="35">
        <v>176.0</v>
      </c>
      <c r="W366" s="35">
        <v>30.0</v>
      </c>
      <c r="X366" s="35">
        <v>20.0</v>
      </c>
      <c r="Y366" s="35">
        <v>5.0</v>
      </c>
      <c r="Z366" s="35">
        <v>2533.0</v>
      </c>
      <c r="AA366" s="35">
        <v>8691.0</v>
      </c>
      <c r="AB366" s="35">
        <v>2969.0</v>
      </c>
      <c r="AC366" s="35">
        <v>11660.0</v>
      </c>
      <c r="AD366" s="35">
        <v>244520.0</v>
      </c>
      <c r="AE366" s="35">
        <v>8691.0</v>
      </c>
      <c r="AF366" s="35">
        <v>173414.0</v>
      </c>
      <c r="AG366" s="35">
        <v>2969.0</v>
      </c>
      <c r="AH366" s="35">
        <v>71106.0</v>
      </c>
    </row>
    <row r="367" ht="14.25" customHeight="1">
      <c r="A367" s="34">
        <v>44253.0</v>
      </c>
      <c r="B367" s="35">
        <v>433.0</v>
      </c>
      <c r="C367" s="35">
        <v>484.0</v>
      </c>
      <c r="D367" s="35">
        <v>150279.0</v>
      </c>
      <c r="E367" s="35">
        <v>18585.0</v>
      </c>
      <c r="F367" s="35">
        <v>2841213.0</v>
      </c>
      <c r="G367" s="35">
        <v>19018.0</v>
      </c>
      <c r="H367" s="35">
        <v>2991492.0</v>
      </c>
      <c r="I367" s="35">
        <v>371.0</v>
      </c>
      <c r="J367" s="35">
        <v>416.0</v>
      </c>
      <c r="K367" s="35">
        <v>126182.0</v>
      </c>
      <c r="L367" s="35">
        <v>1588.0</v>
      </c>
      <c r="M367" s="35">
        <v>664246.0</v>
      </c>
      <c r="N367" s="35">
        <v>790428.0</v>
      </c>
      <c r="O367" s="35">
        <v>25.0</v>
      </c>
      <c r="P367" s="35">
        <v>8959.0</v>
      </c>
      <c r="Q367" s="35">
        <v>24.0</v>
      </c>
      <c r="R367" s="35">
        <v>7779.0</v>
      </c>
      <c r="S367" s="35">
        <v>1.0</v>
      </c>
      <c r="T367" s="35">
        <v>1005.0</v>
      </c>
      <c r="U367" s="35">
        <v>175.0</v>
      </c>
      <c r="V367" s="35">
        <v>176.0</v>
      </c>
      <c r="W367" s="35">
        <v>29.0</v>
      </c>
      <c r="X367" s="35">
        <v>21.0</v>
      </c>
      <c r="Y367" s="35">
        <v>0.0</v>
      </c>
      <c r="Z367" s="35">
        <v>2533.0</v>
      </c>
      <c r="AA367" s="35">
        <v>8401.0</v>
      </c>
      <c r="AB367" s="35">
        <v>2630.0</v>
      </c>
      <c r="AC367" s="35">
        <v>11031.0</v>
      </c>
      <c r="AD367" s="35">
        <v>255551.0</v>
      </c>
      <c r="AE367" s="35">
        <v>8401.0</v>
      </c>
      <c r="AF367" s="35">
        <v>181815.0</v>
      </c>
      <c r="AG367" s="35">
        <v>2630.0</v>
      </c>
      <c r="AH367" s="35">
        <v>73736.0</v>
      </c>
    </row>
    <row r="368" ht="14.25" customHeight="1">
      <c r="A368" s="34">
        <v>44254.0</v>
      </c>
      <c r="B368" s="35">
        <v>384.0</v>
      </c>
      <c r="C368" s="35">
        <v>449.0</v>
      </c>
      <c r="D368" s="35">
        <v>150663.0</v>
      </c>
      <c r="E368" s="35">
        <v>14920.0</v>
      </c>
      <c r="F368" s="35">
        <v>2856133.0</v>
      </c>
      <c r="G368" s="35">
        <v>15304.0</v>
      </c>
      <c r="H368" s="35">
        <v>3006796.0</v>
      </c>
      <c r="I368" s="35">
        <v>341.0</v>
      </c>
      <c r="J368" s="35">
        <v>389.0</v>
      </c>
      <c r="K368" s="35">
        <v>126523.0</v>
      </c>
      <c r="L368" s="35">
        <v>1640.0</v>
      </c>
      <c r="M368" s="35">
        <v>665886.0</v>
      </c>
      <c r="N368" s="35">
        <v>792409.0</v>
      </c>
      <c r="O368" s="35">
        <v>14.0</v>
      </c>
      <c r="P368" s="35">
        <v>8973.0</v>
      </c>
      <c r="Q368" s="35">
        <v>13.0</v>
      </c>
      <c r="R368" s="35">
        <v>7792.0</v>
      </c>
      <c r="S368" s="35">
        <v>1.0</v>
      </c>
      <c r="T368" s="35">
        <v>1006.0</v>
      </c>
      <c r="U368" s="35">
        <v>175.0</v>
      </c>
      <c r="V368" s="35">
        <v>175.0</v>
      </c>
      <c r="W368" s="35">
        <v>29.0</v>
      </c>
      <c r="X368" s="35">
        <v>20.0</v>
      </c>
      <c r="Y368" s="35">
        <v>4.0</v>
      </c>
      <c r="Z368" s="35">
        <v>2537.0</v>
      </c>
      <c r="AA368" s="35">
        <v>8497.0</v>
      </c>
      <c r="AB368" s="35">
        <v>3724.0</v>
      </c>
      <c r="AC368" s="35">
        <v>12221.0</v>
      </c>
      <c r="AD368" s="35">
        <v>267772.0</v>
      </c>
      <c r="AE368" s="35">
        <v>8497.0</v>
      </c>
      <c r="AF368" s="35">
        <v>190312.0</v>
      </c>
      <c r="AG368" s="35">
        <v>3724.0</v>
      </c>
      <c r="AH368" s="35">
        <v>77460.0</v>
      </c>
    </row>
    <row r="369" ht="14.25" customHeight="1">
      <c r="A369" s="34">
        <v>44255.0</v>
      </c>
      <c r="B369" s="35">
        <v>193.0</v>
      </c>
      <c r="C369" s="35">
        <v>337.0</v>
      </c>
      <c r="D369" s="35">
        <v>150856.0</v>
      </c>
      <c r="E369" s="35">
        <v>6184.0</v>
      </c>
      <c r="F369" s="35">
        <v>2862317.0</v>
      </c>
      <c r="G369" s="35">
        <v>6377.0</v>
      </c>
      <c r="H369" s="35">
        <v>3013173.0</v>
      </c>
      <c r="I369" s="35">
        <v>167.0</v>
      </c>
      <c r="J369" s="35">
        <v>293.0</v>
      </c>
      <c r="K369" s="35">
        <v>126690.0</v>
      </c>
      <c r="L369" s="35">
        <v>729.0</v>
      </c>
      <c r="M369" s="35">
        <v>666615.0</v>
      </c>
      <c r="N369" s="35">
        <v>793305.0</v>
      </c>
      <c r="O369" s="35">
        <v>8.0</v>
      </c>
      <c r="P369" s="35">
        <v>8981.0</v>
      </c>
      <c r="Q369" s="35">
        <v>9.0</v>
      </c>
      <c r="R369" s="35">
        <v>7801.0</v>
      </c>
      <c r="S369" s="35">
        <v>2.0</v>
      </c>
      <c r="T369" s="35">
        <v>1008.0</v>
      </c>
      <c r="U369" s="35">
        <v>172.0</v>
      </c>
      <c r="V369" s="35">
        <v>174.0</v>
      </c>
      <c r="W369" s="35">
        <v>27.0</v>
      </c>
      <c r="X369" s="35">
        <v>19.0</v>
      </c>
      <c r="Y369" s="35">
        <v>3.0</v>
      </c>
      <c r="Z369" s="35">
        <v>2540.0</v>
      </c>
      <c r="AA369" s="35">
        <v>2498.0</v>
      </c>
      <c r="AB369" s="35">
        <v>1338.0</v>
      </c>
      <c r="AC369" s="35">
        <v>3836.0</v>
      </c>
      <c r="AD369" s="35">
        <v>271608.0</v>
      </c>
      <c r="AE369" s="35">
        <v>2498.0</v>
      </c>
      <c r="AF369" s="35">
        <v>192810.0</v>
      </c>
      <c r="AG369" s="35">
        <v>1338.0</v>
      </c>
      <c r="AH369" s="35">
        <v>78798.0</v>
      </c>
    </row>
    <row r="370" ht="14.25" customHeight="1">
      <c r="A370" s="34">
        <v>44256.0</v>
      </c>
      <c r="B370" s="35">
        <v>360.0</v>
      </c>
      <c r="C370" s="35">
        <v>312.0</v>
      </c>
      <c r="D370" s="35">
        <v>151216.0</v>
      </c>
      <c r="E370" s="35">
        <v>11346.0</v>
      </c>
      <c r="F370" s="35">
        <v>2873663.0</v>
      </c>
      <c r="G370" s="35">
        <v>11706.0</v>
      </c>
      <c r="H370" s="35">
        <v>3024879.0</v>
      </c>
      <c r="I370" s="35">
        <v>321.0</v>
      </c>
      <c r="J370" s="35">
        <v>276.0</v>
      </c>
      <c r="K370" s="35">
        <v>127011.0</v>
      </c>
      <c r="L370" s="35">
        <v>1377.0</v>
      </c>
      <c r="M370" s="35">
        <v>667992.0</v>
      </c>
      <c r="N370" s="35">
        <v>795003.0</v>
      </c>
      <c r="O370" s="35">
        <v>14.0</v>
      </c>
      <c r="P370" s="35">
        <v>8995.0</v>
      </c>
      <c r="Q370" s="35">
        <v>22.0</v>
      </c>
      <c r="R370" s="35">
        <v>7823.0</v>
      </c>
      <c r="S370" s="35">
        <v>4.0</v>
      </c>
      <c r="T370" s="35">
        <v>1012.0</v>
      </c>
      <c r="U370" s="35">
        <v>160.0</v>
      </c>
      <c r="V370" s="35">
        <v>169.0</v>
      </c>
      <c r="W370" s="35">
        <v>25.0</v>
      </c>
      <c r="X370" s="35">
        <v>17.0</v>
      </c>
      <c r="Y370" s="35">
        <v>5.0</v>
      </c>
      <c r="Z370" s="35">
        <v>2545.0</v>
      </c>
      <c r="AA370" s="35">
        <v>4795.0</v>
      </c>
      <c r="AB370" s="35">
        <v>1483.0</v>
      </c>
      <c r="AC370" s="35">
        <v>6278.0</v>
      </c>
      <c r="AD370" s="35">
        <v>277886.0</v>
      </c>
      <c r="AE370" s="35">
        <v>4795.0</v>
      </c>
      <c r="AF370" s="35">
        <v>197605.0</v>
      </c>
      <c r="AG370" s="35">
        <v>1483.0</v>
      </c>
      <c r="AH370" s="35">
        <v>80281.0</v>
      </c>
    </row>
    <row r="371" ht="14.25" customHeight="1">
      <c r="A371" s="34">
        <v>44257.0</v>
      </c>
      <c r="B371" s="35">
        <v>481.0</v>
      </c>
      <c r="C371" s="35">
        <v>345.0</v>
      </c>
      <c r="D371" s="35">
        <v>151697.0</v>
      </c>
      <c r="E371" s="35">
        <v>20851.0</v>
      </c>
      <c r="F371" s="35">
        <v>2894514.0</v>
      </c>
      <c r="G371" s="35">
        <v>21332.0</v>
      </c>
      <c r="H371" s="35">
        <v>3046211.0</v>
      </c>
      <c r="I371" s="35">
        <v>426.0</v>
      </c>
      <c r="J371" s="35">
        <v>305.0</v>
      </c>
      <c r="K371" s="35">
        <v>127437.0</v>
      </c>
      <c r="L371" s="35">
        <v>1708.0</v>
      </c>
      <c r="M371" s="35">
        <v>669700.0</v>
      </c>
      <c r="N371" s="35">
        <v>797137.0</v>
      </c>
      <c r="O371" s="35">
        <v>23.0</v>
      </c>
      <c r="P371" s="35">
        <v>9018.0</v>
      </c>
      <c r="Q371" s="35">
        <v>22.0</v>
      </c>
      <c r="R371" s="35">
        <v>7845.0</v>
      </c>
      <c r="S371" s="35">
        <v>0.0</v>
      </c>
      <c r="T371" s="35">
        <v>1012.0</v>
      </c>
      <c r="U371" s="35">
        <v>161.0</v>
      </c>
      <c r="V371" s="35">
        <v>164.0</v>
      </c>
      <c r="W371" s="35">
        <v>25.0</v>
      </c>
      <c r="X371" s="35">
        <v>18.0</v>
      </c>
      <c r="Y371" s="35">
        <v>0.0</v>
      </c>
      <c r="Z371" s="35">
        <v>2545.0</v>
      </c>
      <c r="AA371" s="35">
        <v>6188.0</v>
      </c>
      <c r="AB371" s="35">
        <v>1275.0</v>
      </c>
      <c r="AC371" s="35">
        <v>7463.0</v>
      </c>
      <c r="AD371" s="35">
        <v>285349.0</v>
      </c>
      <c r="AE371" s="35">
        <v>6188.0</v>
      </c>
      <c r="AF371" s="35">
        <v>203793.0</v>
      </c>
      <c r="AG371" s="35">
        <v>1275.0</v>
      </c>
      <c r="AH371" s="35">
        <v>81556.0</v>
      </c>
    </row>
    <row r="372" ht="14.25" customHeight="1">
      <c r="A372" s="34">
        <v>44258.0</v>
      </c>
      <c r="B372" s="35">
        <v>474.0</v>
      </c>
      <c r="C372" s="35">
        <v>438.0</v>
      </c>
      <c r="D372" s="35">
        <v>152171.0</v>
      </c>
      <c r="E372" s="35">
        <v>24014.0</v>
      </c>
      <c r="F372" s="35">
        <v>2918528.0</v>
      </c>
      <c r="G372" s="35">
        <v>24488.0</v>
      </c>
      <c r="H372" s="35">
        <v>3070699.0</v>
      </c>
      <c r="I372" s="35">
        <v>420.0</v>
      </c>
      <c r="J372" s="35">
        <v>389.0</v>
      </c>
      <c r="K372" s="35">
        <v>127857.0</v>
      </c>
      <c r="L372" s="35">
        <v>1829.0</v>
      </c>
      <c r="M372" s="35">
        <v>671529.0</v>
      </c>
      <c r="N372" s="35">
        <v>799386.0</v>
      </c>
      <c r="O372" s="35">
        <v>16.0</v>
      </c>
      <c r="P372" s="35">
        <v>9034.0</v>
      </c>
      <c r="Q372" s="35">
        <v>23.0</v>
      </c>
      <c r="R372" s="35">
        <v>7868.0</v>
      </c>
      <c r="S372" s="35">
        <v>2.0</v>
      </c>
      <c r="T372" s="35">
        <v>1014.0</v>
      </c>
      <c r="U372" s="35">
        <v>152.0</v>
      </c>
      <c r="V372" s="35">
        <v>158.0</v>
      </c>
      <c r="W372" s="35">
        <v>25.0</v>
      </c>
      <c r="X372" s="35">
        <v>17.0</v>
      </c>
      <c r="Y372" s="35">
        <v>3.0</v>
      </c>
      <c r="Z372" s="35">
        <v>2548.0</v>
      </c>
      <c r="AA372" s="35">
        <v>7588.0</v>
      </c>
      <c r="AB372" s="35">
        <v>3139.0</v>
      </c>
      <c r="AC372" s="35">
        <v>10727.0</v>
      </c>
      <c r="AD372" s="35">
        <v>296076.0</v>
      </c>
      <c r="AE372" s="35">
        <v>7588.0</v>
      </c>
      <c r="AF372" s="35">
        <v>211381.0</v>
      </c>
      <c r="AG372" s="35">
        <v>3139.0</v>
      </c>
      <c r="AH372" s="35">
        <v>84695.0</v>
      </c>
    </row>
    <row r="373" ht="14.25" customHeight="1">
      <c r="A373" s="34">
        <v>44259.0</v>
      </c>
      <c r="B373" s="35">
        <v>432.0</v>
      </c>
      <c r="C373" s="35">
        <v>462.0</v>
      </c>
      <c r="D373" s="35">
        <v>152603.0</v>
      </c>
      <c r="E373" s="35">
        <v>20735.0</v>
      </c>
      <c r="F373" s="35">
        <v>2939263.0</v>
      </c>
      <c r="G373" s="35">
        <v>21167.0</v>
      </c>
      <c r="H373" s="35">
        <v>3091866.0</v>
      </c>
      <c r="I373" s="35">
        <v>383.0</v>
      </c>
      <c r="J373" s="35">
        <v>410.0</v>
      </c>
      <c r="K373" s="35">
        <v>128240.0</v>
      </c>
      <c r="L373" s="35">
        <v>1744.0</v>
      </c>
      <c r="M373" s="35">
        <v>673273.0</v>
      </c>
      <c r="N373" s="35">
        <v>801513.0</v>
      </c>
      <c r="O373" s="38">
        <v>21.0</v>
      </c>
      <c r="P373" s="38">
        <v>9055.0</v>
      </c>
      <c r="Q373" s="38">
        <v>29.0</v>
      </c>
      <c r="R373" s="38">
        <v>7897.0</v>
      </c>
      <c r="S373" s="38">
        <v>2.0</v>
      </c>
      <c r="T373" s="38">
        <v>1016.0</v>
      </c>
      <c r="U373" s="38">
        <v>142.0</v>
      </c>
      <c r="V373" s="38">
        <v>152.0</v>
      </c>
      <c r="W373" s="38">
        <v>24.0</v>
      </c>
      <c r="X373" s="38">
        <v>17.0</v>
      </c>
      <c r="Y373" s="35">
        <v>3.0</v>
      </c>
      <c r="Z373" s="35">
        <v>2551.0</v>
      </c>
      <c r="AA373" s="35">
        <v>6641.0</v>
      </c>
      <c r="AB373" s="35">
        <v>2742.0</v>
      </c>
      <c r="AC373" s="35">
        <v>9383.0</v>
      </c>
      <c r="AD373" s="35">
        <v>305459.0</v>
      </c>
      <c r="AE373" s="35">
        <v>6641.0</v>
      </c>
      <c r="AF373" s="35">
        <v>218022.0</v>
      </c>
      <c r="AG373" s="35">
        <v>2742.0</v>
      </c>
      <c r="AH373" s="35">
        <v>87437.0</v>
      </c>
    </row>
    <row r="374" ht="14.25" customHeight="1">
      <c r="A374" s="34">
        <v>44260.0</v>
      </c>
      <c r="B374" s="35">
        <v>423.0</v>
      </c>
      <c r="C374" s="35">
        <v>443.0</v>
      </c>
      <c r="D374" s="35">
        <v>153026.0</v>
      </c>
      <c r="E374" s="35">
        <v>18651.0</v>
      </c>
      <c r="F374" s="35">
        <v>2957914.0</v>
      </c>
      <c r="G374" s="35">
        <v>19074.0</v>
      </c>
      <c r="H374" s="35">
        <v>3110940.0</v>
      </c>
      <c r="I374" s="35">
        <v>354.0</v>
      </c>
      <c r="J374" s="35">
        <v>386.0</v>
      </c>
      <c r="K374" s="35">
        <v>128594.0</v>
      </c>
      <c r="L374" s="35">
        <v>1868.0</v>
      </c>
      <c r="M374" s="35">
        <v>675141.0</v>
      </c>
      <c r="N374" s="35">
        <v>803735.0</v>
      </c>
      <c r="O374" s="38">
        <v>19.0</v>
      </c>
      <c r="P374" s="38">
        <v>9074.0</v>
      </c>
      <c r="Q374" s="38">
        <v>18.0</v>
      </c>
      <c r="R374" s="38">
        <v>7915.0</v>
      </c>
      <c r="S374" s="38">
        <v>2.0</v>
      </c>
      <c r="T374" s="38">
        <v>1018.0</v>
      </c>
      <c r="U374" s="38">
        <v>141.0</v>
      </c>
      <c r="V374" s="38">
        <v>145.0</v>
      </c>
      <c r="W374" s="38">
        <v>24.0</v>
      </c>
      <c r="X374" s="38">
        <v>16.0</v>
      </c>
      <c r="Y374" s="35">
        <v>3.0</v>
      </c>
      <c r="Z374" s="35">
        <v>2554.0</v>
      </c>
      <c r="AA374" s="35">
        <v>6258.0</v>
      </c>
      <c r="AB374" s="35">
        <v>2773.0</v>
      </c>
      <c r="AC374" s="35">
        <v>9031.0</v>
      </c>
      <c r="AD374" s="35">
        <v>314490.0</v>
      </c>
      <c r="AE374" s="35">
        <v>6258.0</v>
      </c>
      <c r="AF374" s="35">
        <v>224280.0</v>
      </c>
      <c r="AG374" s="35">
        <v>2773.0</v>
      </c>
      <c r="AH374" s="35">
        <v>90210.0</v>
      </c>
    </row>
    <row r="375" ht="14.25" customHeight="1">
      <c r="A375" s="34">
        <v>44261.0</v>
      </c>
      <c r="B375" s="35">
        <v>299.0</v>
      </c>
      <c r="C375" s="35">
        <v>385.0</v>
      </c>
      <c r="D375" s="35">
        <v>153325.0</v>
      </c>
      <c r="E375" s="35">
        <v>13414.0</v>
      </c>
      <c r="F375" s="35">
        <v>2971328.0</v>
      </c>
      <c r="G375" s="35">
        <v>13713.0</v>
      </c>
      <c r="H375" s="35">
        <v>3124653.0</v>
      </c>
      <c r="I375" s="35">
        <v>244.0</v>
      </c>
      <c r="J375" s="35">
        <v>327.0</v>
      </c>
      <c r="K375" s="35">
        <v>128838.0</v>
      </c>
      <c r="L375" s="35">
        <v>1461.0</v>
      </c>
      <c r="M375" s="35">
        <v>676602.0</v>
      </c>
      <c r="N375" s="35">
        <v>805440.0</v>
      </c>
      <c r="O375" s="38">
        <v>17.0</v>
      </c>
      <c r="P375" s="38">
        <v>9091.0</v>
      </c>
      <c r="Q375" s="38">
        <v>16.0</v>
      </c>
      <c r="R375" s="38">
        <v>7931.0</v>
      </c>
      <c r="S375" s="38">
        <v>1.0</v>
      </c>
      <c r="T375" s="38">
        <v>1019.0</v>
      </c>
      <c r="U375" s="38">
        <v>141.0</v>
      </c>
      <c r="V375" s="38">
        <v>141.0</v>
      </c>
      <c r="W375" s="38">
        <v>22.0</v>
      </c>
      <c r="X375" s="38">
        <v>18.0</v>
      </c>
      <c r="Y375" s="35">
        <v>1.0</v>
      </c>
      <c r="Z375" s="35">
        <v>2555.0</v>
      </c>
      <c r="AA375" s="35">
        <v>7448.0</v>
      </c>
      <c r="AB375" s="35">
        <v>2333.0</v>
      </c>
      <c r="AC375" s="35">
        <v>9781.0</v>
      </c>
      <c r="AD375" s="35">
        <v>324271.0</v>
      </c>
      <c r="AE375" s="35">
        <v>7448.0</v>
      </c>
      <c r="AF375" s="35">
        <v>231728.0</v>
      </c>
      <c r="AG375" s="35">
        <v>2720.0</v>
      </c>
      <c r="AH375" s="35">
        <v>92930.0</v>
      </c>
    </row>
    <row r="376" ht="14.25" customHeight="1">
      <c r="A376" s="34">
        <v>44262.0</v>
      </c>
      <c r="B376" s="35">
        <v>246.0</v>
      </c>
      <c r="C376" s="35">
        <v>323.0</v>
      </c>
      <c r="D376" s="35">
        <v>153571.0</v>
      </c>
      <c r="E376" s="35">
        <v>5078.0</v>
      </c>
      <c r="F376" s="35">
        <v>2976406.0</v>
      </c>
      <c r="G376" s="35">
        <v>5324.0</v>
      </c>
      <c r="H376" s="35">
        <v>3129977.0</v>
      </c>
      <c r="I376" s="35">
        <v>203.0</v>
      </c>
      <c r="J376" s="35">
        <v>267.0</v>
      </c>
      <c r="K376" s="35">
        <v>129041.0</v>
      </c>
      <c r="L376" s="35">
        <v>681.0</v>
      </c>
      <c r="M376" s="35">
        <v>677283.0</v>
      </c>
      <c r="N376" s="35">
        <v>806324.0</v>
      </c>
      <c r="O376" s="38">
        <v>13.0</v>
      </c>
      <c r="P376" s="38">
        <v>9104.0</v>
      </c>
      <c r="Q376" s="38">
        <v>6.0</v>
      </c>
      <c r="R376" s="38">
        <v>7937.0</v>
      </c>
      <c r="S376" s="38">
        <v>0.0</v>
      </c>
      <c r="T376" s="38">
        <v>1019.0</v>
      </c>
      <c r="U376" s="38">
        <v>148.0</v>
      </c>
      <c r="V376" s="38">
        <v>143.0</v>
      </c>
      <c r="W376" s="38">
        <v>21.0</v>
      </c>
      <c r="X376" s="38">
        <v>17.0</v>
      </c>
      <c r="Y376" s="35">
        <v>4.0</v>
      </c>
      <c r="Z376" s="35">
        <v>2559.0</v>
      </c>
      <c r="AA376" s="35">
        <v>2648.0</v>
      </c>
      <c r="AB376" s="35">
        <v>368.0</v>
      </c>
      <c r="AC376" s="35">
        <v>3016.0</v>
      </c>
      <c r="AD376" s="35">
        <v>327287.0</v>
      </c>
      <c r="AE376" s="35">
        <v>2648.0</v>
      </c>
      <c r="AF376" s="35">
        <v>234376.0</v>
      </c>
      <c r="AG376" s="35">
        <v>746.0</v>
      </c>
      <c r="AH376" s="35">
        <v>93676.0</v>
      </c>
    </row>
    <row r="377" ht="14.25" customHeight="1">
      <c r="A377" s="34">
        <v>44263.0</v>
      </c>
      <c r="B377" s="35">
        <v>361.0</v>
      </c>
      <c r="C377" s="35">
        <v>302.0</v>
      </c>
      <c r="D377" s="35">
        <v>153932.0</v>
      </c>
      <c r="E377" s="35">
        <v>12053.0</v>
      </c>
      <c r="F377" s="35">
        <v>2988459.0</v>
      </c>
      <c r="G377" s="35">
        <v>12414.0</v>
      </c>
      <c r="H377" s="35">
        <v>3142391.0</v>
      </c>
      <c r="I377" s="35">
        <v>302.0</v>
      </c>
      <c r="J377" s="35">
        <v>250.0</v>
      </c>
      <c r="K377" s="35">
        <v>129343.0</v>
      </c>
      <c r="L377" s="35">
        <v>1384.0</v>
      </c>
      <c r="M377" s="35">
        <v>678667.0</v>
      </c>
      <c r="N377" s="35">
        <v>808010.0</v>
      </c>
      <c r="O377" s="38">
        <v>23.0</v>
      </c>
      <c r="P377" s="38">
        <v>9127.0</v>
      </c>
      <c r="Q377" s="38">
        <v>22.0</v>
      </c>
      <c r="R377" s="38">
        <v>7959.0</v>
      </c>
      <c r="S377" s="38">
        <v>1.0</v>
      </c>
      <c r="T377" s="38">
        <v>1020.0</v>
      </c>
      <c r="U377" s="38">
        <v>148.0</v>
      </c>
      <c r="V377" s="38">
        <v>146.0</v>
      </c>
      <c r="W377" s="38">
        <v>21.0</v>
      </c>
      <c r="X377" s="38">
        <v>17.0</v>
      </c>
      <c r="Y377" s="35">
        <v>1.0</v>
      </c>
      <c r="Z377" s="35">
        <v>2560.0</v>
      </c>
      <c r="AA377" s="35">
        <v>4448.0</v>
      </c>
      <c r="AB377" s="35">
        <v>1614.0</v>
      </c>
      <c r="AC377" s="35">
        <v>6062.0</v>
      </c>
      <c r="AD377" s="35">
        <v>333349.0</v>
      </c>
      <c r="AE377" s="35">
        <v>4448.0</v>
      </c>
      <c r="AF377" s="35">
        <v>238824.0</v>
      </c>
      <c r="AG377" s="35">
        <v>2112.0</v>
      </c>
      <c r="AH377" s="35">
        <v>95788.0</v>
      </c>
    </row>
    <row r="378" ht="14.25" customHeight="1">
      <c r="A378" s="34">
        <v>44264.0</v>
      </c>
      <c r="B378" s="35">
        <v>419.0</v>
      </c>
      <c r="C378" s="35">
        <v>342.0</v>
      </c>
      <c r="D378" s="35">
        <v>154351.0</v>
      </c>
      <c r="E378" s="35">
        <v>19373.0</v>
      </c>
      <c r="F378" s="35">
        <v>3007832.0</v>
      </c>
      <c r="G378" s="35">
        <v>19792.0</v>
      </c>
      <c r="H378" s="35">
        <v>3162183.0</v>
      </c>
      <c r="I378" s="35">
        <v>375.0</v>
      </c>
      <c r="J378" s="35">
        <v>293.0</v>
      </c>
      <c r="K378" s="35">
        <v>129718.0</v>
      </c>
      <c r="L378" s="35">
        <v>1839.0</v>
      </c>
      <c r="M378" s="35">
        <v>680506.0</v>
      </c>
      <c r="N378" s="35">
        <v>810224.0</v>
      </c>
      <c r="O378" s="38">
        <v>23.0</v>
      </c>
      <c r="P378" s="38">
        <v>9150.0</v>
      </c>
      <c r="Q378" s="38">
        <v>24.0</v>
      </c>
      <c r="R378" s="38">
        <v>7983.0</v>
      </c>
      <c r="S378" s="38">
        <v>1.0</v>
      </c>
      <c r="T378" s="38">
        <v>1021.0</v>
      </c>
      <c r="U378" s="38">
        <v>146.0</v>
      </c>
      <c r="V378" s="38">
        <v>147.0</v>
      </c>
      <c r="W378" s="38">
        <v>25.0</v>
      </c>
      <c r="X378" s="38">
        <v>18.0</v>
      </c>
      <c r="Y378" s="35">
        <v>1.0</v>
      </c>
      <c r="Z378" s="35">
        <v>2561.0</v>
      </c>
      <c r="AA378" s="35">
        <v>5015.0</v>
      </c>
      <c r="AB378" s="35">
        <v>2457.0</v>
      </c>
      <c r="AC378" s="35">
        <v>7472.0</v>
      </c>
      <c r="AD378" s="35">
        <v>340821.0</v>
      </c>
      <c r="AE378" s="35">
        <v>5015.0</v>
      </c>
      <c r="AF378" s="35">
        <v>243839.0</v>
      </c>
      <c r="AG378" s="35">
        <v>3237.0</v>
      </c>
      <c r="AH378" s="35">
        <v>99025.0</v>
      </c>
    </row>
    <row r="379" ht="14.25" customHeight="1">
      <c r="A379" s="34">
        <v>44265.0</v>
      </c>
      <c r="B379" s="35">
        <v>539.0</v>
      </c>
      <c r="C379" s="35">
        <v>440.0</v>
      </c>
      <c r="D379" s="35">
        <v>154890.0</v>
      </c>
      <c r="E379" s="35">
        <v>25318.0</v>
      </c>
      <c r="F379" s="35">
        <v>3033150.0</v>
      </c>
      <c r="G379" s="35">
        <v>25857.0</v>
      </c>
      <c r="H379" s="35">
        <v>3188040.0</v>
      </c>
      <c r="I379" s="35">
        <v>469.0</v>
      </c>
      <c r="J379" s="35">
        <v>382.0</v>
      </c>
      <c r="K379" s="35">
        <v>130187.0</v>
      </c>
      <c r="L379" s="35">
        <v>2055.0</v>
      </c>
      <c r="M379" s="35">
        <v>682561.0</v>
      </c>
      <c r="N379" s="35">
        <v>812748.0</v>
      </c>
      <c r="O379" s="38">
        <v>17.0</v>
      </c>
      <c r="P379" s="38">
        <v>9167.0</v>
      </c>
      <c r="Q379" s="38">
        <v>25.0</v>
      </c>
      <c r="R379" s="38">
        <v>8008.0</v>
      </c>
      <c r="S379" s="38">
        <v>0.0</v>
      </c>
      <c r="T379" s="38">
        <v>1021.0</v>
      </c>
      <c r="U379" s="38">
        <v>138.0</v>
      </c>
      <c r="V379" s="38">
        <v>144.0</v>
      </c>
      <c r="W379" s="38">
        <v>24.0</v>
      </c>
      <c r="X379" s="38">
        <v>19.0</v>
      </c>
      <c r="Y379" s="35">
        <v>4.0</v>
      </c>
      <c r="Z379" s="35">
        <v>2565.0</v>
      </c>
      <c r="AA379" s="35">
        <v>5515.0</v>
      </c>
      <c r="AB379" s="35">
        <v>2085.0</v>
      </c>
      <c r="AC379" s="35">
        <v>7600.0</v>
      </c>
      <c r="AD379" s="35">
        <v>348421.0</v>
      </c>
      <c r="AE379" s="35">
        <v>5515.0</v>
      </c>
      <c r="AF379" s="35">
        <v>249354.0</v>
      </c>
      <c r="AG379" s="35">
        <v>2624.0</v>
      </c>
      <c r="AH379" s="35">
        <v>101649.0</v>
      </c>
    </row>
    <row r="380" ht="14.25" customHeight="1">
      <c r="A380" s="34">
        <v>44266.0</v>
      </c>
      <c r="B380" s="35">
        <v>369.0</v>
      </c>
      <c r="C380" s="35">
        <v>442.0</v>
      </c>
      <c r="D380" s="35">
        <v>155259.0</v>
      </c>
      <c r="E380" s="35">
        <v>16843.0</v>
      </c>
      <c r="F380" s="35">
        <v>3049993.0</v>
      </c>
      <c r="G380" s="35">
        <v>17212.0</v>
      </c>
      <c r="H380" s="35">
        <v>3205252.0</v>
      </c>
      <c r="I380" s="35">
        <v>315.0</v>
      </c>
      <c r="J380" s="35">
        <v>386.0</v>
      </c>
      <c r="K380" s="35">
        <v>130502.0</v>
      </c>
      <c r="L380" s="35">
        <v>1837.0</v>
      </c>
      <c r="M380" s="35">
        <v>684398.0</v>
      </c>
      <c r="N380" s="35">
        <v>814900.0</v>
      </c>
      <c r="Y380" s="35">
        <v>2.0</v>
      </c>
      <c r="Z380" s="35">
        <v>2567.0</v>
      </c>
      <c r="AA380" s="35">
        <v>4603.0</v>
      </c>
      <c r="AB380" s="35">
        <v>2150.0</v>
      </c>
      <c r="AC380" s="35">
        <v>6753.0</v>
      </c>
      <c r="AD380" s="35">
        <v>355174.0</v>
      </c>
      <c r="AE380" s="35">
        <v>4603.0</v>
      </c>
      <c r="AF380" s="35">
        <v>253957.0</v>
      </c>
      <c r="AG380" s="35">
        <v>2699.0</v>
      </c>
      <c r="AH380" s="35">
        <v>104348.0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39"/>
      <c r="B1" s="40" t="s">
        <v>39</v>
      </c>
      <c r="C1" s="41"/>
      <c r="D1" s="40" t="s">
        <v>40</v>
      </c>
      <c r="E1" s="41"/>
      <c r="F1" s="40" t="s">
        <v>41</v>
      </c>
      <c r="G1" s="41"/>
      <c r="H1" s="40" t="s">
        <v>42</v>
      </c>
      <c r="I1" s="41"/>
      <c r="J1" s="42" t="s">
        <v>43</v>
      </c>
      <c r="K1" s="41"/>
      <c r="L1" s="43" t="s">
        <v>44</v>
      </c>
      <c r="M1" s="41"/>
      <c r="N1" s="43" t="s">
        <v>45</v>
      </c>
      <c r="O1" s="41"/>
    </row>
    <row r="2" ht="14.25" customHeight="1">
      <c r="A2" s="44" t="s">
        <v>46</v>
      </c>
      <c r="B2" s="45" t="s">
        <v>47</v>
      </c>
      <c r="C2" s="41"/>
      <c r="D2" s="46" t="s">
        <v>48</v>
      </c>
      <c r="E2" s="41"/>
      <c r="F2" s="46" t="s">
        <v>49</v>
      </c>
      <c r="G2" s="41"/>
      <c r="H2" s="47" t="s">
        <v>50</v>
      </c>
      <c r="I2" s="41"/>
      <c r="J2" s="47" t="s">
        <v>51</v>
      </c>
      <c r="K2" s="41"/>
      <c r="L2" s="47" t="s">
        <v>52</v>
      </c>
      <c r="M2" s="41"/>
      <c r="N2" s="47" t="s">
        <v>53</v>
      </c>
      <c r="O2" s="48"/>
    </row>
    <row r="3" ht="14.25" customHeight="1">
      <c r="A3" s="49" t="s">
        <v>54</v>
      </c>
      <c r="B3" s="50">
        <v>23835.0</v>
      </c>
      <c r="C3" s="51">
        <v>0.03</v>
      </c>
      <c r="D3" s="52">
        <v>2815.0</v>
      </c>
      <c r="E3" s="53">
        <v>0.02</v>
      </c>
      <c r="F3" s="54">
        <v>75.0</v>
      </c>
      <c r="G3" s="55">
        <v>0.01</v>
      </c>
      <c r="H3" s="54" t="s">
        <v>55</v>
      </c>
      <c r="I3" s="56" t="s">
        <v>38</v>
      </c>
      <c r="J3" s="57">
        <v>0.0</v>
      </c>
      <c r="K3" s="58">
        <v>0.0</v>
      </c>
      <c r="L3" s="57">
        <v>0.0</v>
      </c>
      <c r="M3" s="58">
        <v>0.0</v>
      </c>
      <c r="N3" s="57">
        <v>0.0</v>
      </c>
      <c r="O3" s="58">
        <v>0.0</v>
      </c>
    </row>
    <row r="4" ht="14.25" customHeight="1">
      <c r="A4" s="59">
        <v>43960.0</v>
      </c>
      <c r="B4" s="50">
        <v>31348.0</v>
      </c>
      <c r="C4" s="51">
        <v>0.04</v>
      </c>
      <c r="D4" s="52">
        <v>3507.0</v>
      </c>
      <c r="E4" s="53">
        <v>0.03</v>
      </c>
      <c r="F4" s="54">
        <v>22.0</v>
      </c>
      <c r="G4" s="56" t="s">
        <v>56</v>
      </c>
      <c r="H4" s="54">
        <v>0.0</v>
      </c>
      <c r="I4" s="55">
        <v>0.0</v>
      </c>
      <c r="J4" s="57">
        <v>0.0</v>
      </c>
      <c r="K4" s="58">
        <v>0.0</v>
      </c>
      <c r="L4" s="57">
        <v>0.0</v>
      </c>
      <c r="M4" s="58">
        <v>0.0</v>
      </c>
      <c r="N4" s="57">
        <v>0.0</v>
      </c>
      <c r="O4" s="58">
        <v>0.0</v>
      </c>
    </row>
    <row r="5" ht="14.25" customHeight="1">
      <c r="A5" s="59">
        <v>44118.0</v>
      </c>
      <c r="B5" s="50">
        <v>32475.0</v>
      </c>
      <c r="C5" s="51">
        <v>0.04</v>
      </c>
      <c r="D5" s="52">
        <v>4502.0</v>
      </c>
      <c r="E5" s="53">
        <v>0.04</v>
      </c>
      <c r="F5" s="54">
        <v>33.0</v>
      </c>
      <c r="G5" s="56" t="s">
        <v>56</v>
      </c>
      <c r="H5" s="54" t="s">
        <v>55</v>
      </c>
      <c r="I5" s="60" t="s">
        <v>38</v>
      </c>
      <c r="J5" s="61" t="s">
        <v>55</v>
      </c>
      <c r="K5" s="61" t="s">
        <v>38</v>
      </c>
      <c r="L5" s="61">
        <v>0.0</v>
      </c>
      <c r="M5" s="62">
        <v>0.0</v>
      </c>
      <c r="N5" s="61" t="s">
        <v>55</v>
      </c>
      <c r="O5" s="61" t="s">
        <v>38</v>
      </c>
    </row>
    <row r="6" ht="14.25" customHeight="1">
      <c r="A6" s="49" t="s">
        <v>57</v>
      </c>
      <c r="B6" s="50">
        <v>38339.0</v>
      </c>
      <c r="C6" s="51">
        <v>0.05</v>
      </c>
      <c r="D6" s="52">
        <v>5995.0</v>
      </c>
      <c r="E6" s="53">
        <v>0.05</v>
      </c>
      <c r="F6" s="54">
        <v>57.0</v>
      </c>
      <c r="G6" s="55">
        <v>0.01</v>
      </c>
      <c r="H6" s="54">
        <v>0.0</v>
      </c>
      <c r="I6" s="53">
        <v>0.0</v>
      </c>
      <c r="J6" s="61">
        <v>603.0</v>
      </c>
      <c r="K6" s="61" t="s">
        <v>56</v>
      </c>
      <c r="L6" s="61">
        <v>327.0</v>
      </c>
      <c r="M6" s="61" t="s">
        <v>56</v>
      </c>
      <c r="N6" s="61">
        <v>930.0</v>
      </c>
      <c r="O6" s="61" t="s">
        <v>56</v>
      </c>
    </row>
    <row r="7" ht="15.0" customHeight="1">
      <c r="A7" s="49" t="s">
        <v>58</v>
      </c>
      <c r="B7" s="50">
        <v>81699.0</v>
      </c>
      <c r="C7" s="51">
        <v>0.11</v>
      </c>
      <c r="D7" s="63">
        <v>14392.0</v>
      </c>
      <c r="E7" s="53">
        <v>0.12</v>
      </c>
      <c r="F7" s="54">
        <v>225.0</v>
      </c>
      <c r="G7" s="55">
        <v>0.02</v>
      </c>
      <c r="H7" s="54" t="s">
        <v>55</v>
      </c>
      <c r="I7" s="60" t="s">
        <v>38</v>
      </c>
      <c r="J7" s="61">
        <v>6167.0</v>
      </c>
      <c r="K7" s="62">
        <v>0.03</v>
      </c>
      <c r="L7" s="61">
        <v>3989.0</v>
      </c>
      <c r="M7" s="62">
        <v>0.05</v>
      </c>
      <c r="N7" s="61">
        <v>10150.0</v>
      </c>
      <c r="O7" s="62">
        <v>0.04</v>
      </c>
    </row>
    <row r="8" ht="15.0" customHeight="1">
      <c r="A8" s="49" t="s">
        <v>59</v>
      </c>
      <c r="B8" s="50">
        <v>63213.0</v>
      </c>
      <c r="C8" s="51">
        <v>0.08</v>
      </c>
      <c r="D8" s="63">
        <v>10948.0</v>
      </c>
      <c r="E8" s="53">
        <v>0.09</v>
      </c>
      <c r="F8" s="54">
        <v>287.0</v>
      </c>
      <c r="G8" s="55">
        <v>0.03</v>
      </c>
      <c r="H8" s="54" t="s">
        <v>55</v>
      </c>
      <c r="I8" s="60" t="s">
        <v>38</v>
      </c>
      <c r="J8" s="61">
        <v>7863.0</v>
      </c>
      <c r="K8" s="62">
        <v>0.04</v>
      </c>
      <c r="L8" s="61">
        <v>5371.0</v>
      </c>
      <c r="M8" s="62">
        <v>0.07</v>
      </c>
      <c r="N8" s="61">
        <v>13228.0</v>
      </c>
      <c r="O8" s="62">
        <v>0.05</v>
      </c>
    </row>
    <row r="9" ht="15.0" customHeight="1">
      <c r="A9" s="49" t="s">
        <v>60</v>
      </c>
      <c r="B9" s="50">
        <v>112437.0</v>
      </c>
      <c r="C9" s="51">
        <v>0.15</v>
      </c>
      <c r="D9" s="63">
        <v>19294.0</v>
      </c>
      <c r="E9" s="53">
        <v>0.16</v>
      </c>
      <c r="F9" s="54">
        <v>562.0</v>
      </c>
      <c r="G9" s="55">
        <v>0.06</v>
      </c>
      <c r="H9" s="54">
        <v>11.0</v>
      </c>
      <c r="I9" s="56" t="s">
        <v>56</v>
      </c>
      <c r="J9" s="57">
        <v>17004.0</v>
      </c>
      <c r="K9" s="58">
        <v>0.08</v>
      </c>
      <c r="L9" s="57">
        <v>11410.0</v>
      </c>
      <c r="M9" s="58">
        <v>0.14</v>
      </c>
      <c r="N9" s="57">
        <v>28398.0</v>
      </c>
      <c r="O9" s="58">
        <v>0.1</v>
      </c>
    </row>
    <row r="10" ht="15.0" customHeight="1">
      <c r="A10" s="49" t="s">
        <v>61</v>
      </c>
      <c r="B10" s="50">
        <v>91838.0</v>
      </c>
      <c r="C10" s="51">
        <v>0.12</v>
      </c>
      <c r="D10" s="63">
        <v>16530.0</v>
      </c>
      <c r="E10" s="53">
        <v>0.13</v>
      </c>
      <c r="F10" s="54">
        <v>773.0</v>
      </c>
      <c r="G10" s="55">
        <v>0.09</v>
      </c>
      <c r="H10" s="54">
        <v>32.0</v>
      </c>
      <c r="I10" s="55">
        <v>0.01</v>
      </c>
      <c r="J10" s="57">
        <v>17750.0</v>
      </c>
      <c r="K10" s="58">
        <v>0.09</v>
      </c>
      <c r="L10" s="57">
        <v>11838.0</v>
      </c>
      <c r="M10" s="58">
        <v>0.14</v>
      </c>
      <c r="N10" s="57">
        <v>29558.0</v>
      </c>
      <c r="O10" s="58">
        <v>0.1</v>
      </c>
    </row>
    <row r="11" ht="14.25" customHeight="1">
      <c r="A11" s="49" t="s">
        <v>62</v>
      </c>
      <c r="B11" s="50">
        <v>107542.0</v>
      </c>
      <c r="C11" s="51">
        <v>0.14</v>
      </c>
      <c r="D11" s="63">
        <v>18314.0</v>
      </c>
      <c r="E11" s="53">
        <v>0.15</v>
      </c>
      <c r="F11" s="54">
        <v>1290.0</v>
      </c>
      <c r="G11" s="55">
        <v>0.14</v>
      </c>
      <c r="H11" s="54">
        <v>111.0</v>
      </c>
      <c r="I11" s="55">
        <v>0.04</v>
      </c>
      <c r="J11" s="57">
        <v>24616.0</v>
      </c>
      <c r="K11" s="58">
        <v>0.12</v>
      </c>
      <c r="L11" s="57">
        <v>15665.0</v>
      </c>
      <c r="M11" s="58">
        <v>0.19</v>
      </c>
      <c r="N11" s="57">
        <v>40252.0</v>
      </c>
      <c r="O11" s="58">
        <v>0.14</v>
      </c>
    </row>
    <row r="12" ht="14.25" customHeight="1">
      <c r="A12" s="49" t="s">
        <v>63</v>
      </c>
      <c r="B12" s="50">
        <v>89725.0</v>
      </c>
      <c r="C12" s="51">
        <v>0.12</v>
      </c>
      <c r="D12" s="63">
        <v>13144.0</v>
      </c>
      <c r="E12" s="53">
        <v>0.11</v>
      </c>
      <c r="F12" s="54">
        <v>1748.0</v>
      </c>
      <c r="G12" s="55">
        <v>0.19</v>
      </c>
      <c r="H12" s="54">
        <v>302.0</v>
      </c>
      <c r="I12" s="55">
        <v>0.12</v>
      </c>
      <c r="J12" s="57">
        <v>47880.0</v>
      </c>
      <c r="K12" s="58">
        <v>0.24</v>
      </c>
      <c r="L12" s="57">
        <v>13936.0</v>
      </c>
      <c r="M12" s="58">
        <v>0.17</v>
      </c>
      <c r="N12" s="57">
        <v>61808.0</v>
      </c>
      <c r="O12" s="58">
        <v>0.22</v>
      </c>
    </row>
    <row r="13" ht="14.25" customHeight="1">
      <c r="A13" s="49" t="s">
        <v>64</v>
      </c>
      <c r="B13" s="50">
        <v>48280.0</v>
      </c>
      <c r="C13" s="51">
        <v>0.06</v>
      </c>
      <c r="D13" s="63">
        <v>6894.0</v>
      </c>
      <c r="E13" s="53">
        <v>0.06</v>
      </c>
      <c r="F13" s="54">
        <v>1868.0</v>
      </c>
      <c r="G13" s="55">
        <v>0.21</v>
      </c>
      <c r="H13" s="54">
        <v>573.0</v>
      </c>
      <c r="I13" s="55">
        <v>0.23</v>
      </c>
      <c r="J13" s="57">
        <v>49704.0</v>
      </c>
      <c r="K13" s="58">
        <v>0.24</v>
      </c>
      <c r="L13" s="57">
        <v>9145.0</v>
      </c>
      <c r="M13" s="58">
        <v>0.11</v>
      </c>
      <c r="N13" s="57">
        <v>58848.0</v>
      </c>
      <c r="O13" s="58">
        <v>0.21</v>
      </c>
    </row>
    <row r="14" ht="14.25" customHeight="1">
      <c r="A14" s="49" t="s">
        <v>65</v>
      </c>
      <c r="B14" s="50">
        <v>21252.0</v>
      </c>
      <c r="C14" s="51">
        <v>0.03</v>
      </c>
      <c r="D14" s="63">
        <v>4313.0</v>
      </c>
      <c r="E14" s="53">
        <v>0.04</v>
      </c>
      <c r="F14" s="54">
        <v>1470.0</v>
      </c>
      <c r="G14" s="55">
        <v>0.16</v>
      </c>
      <c r="H14" s="54">
        <v>813.0</v>
      </c>
      <c r="I14" s="55">
        <v>0.32</v>
      </c>
      <c r="J14" s="57">
        <v>23996.0</v>
      </c>
      <c r="K14" s="58">
        <v>0.12</v>
      </c>
      <c r="L14" s="57">
        <v>7377.0</v>
      </c>
      <c r="M14" s="58">
        <v>0.09</v>
      </c>
      <c r="N14" s="57">
        <v>31373.0</v>
      </c>
      <c r="O14" s="58">
        <v>0.11</v>
      </c>
    </row>
    <row r="15" ht="14.25" customHeight="1">
      <c r="A15" s="49" t="s">
        <v>66</v>
      </c>
      <c r="B15" s="50">
        <v>8703.0</v>
      </c>
      <c r="C15" s="51">
        <v>0.01</v>
      </c>
      <c r="D15" s="63">
        <v>2432.0</v>
      </c>
      <c r="E15" s="53">
        <v>0.02</v>
      </c>
      <c r="F15" s="54">
        <v>667.0</v>
      </c>
      <c r="G15" s="53">
        <v>0.07</v>
      </c>
      <c r="H15" s="54">
        <v>697.0</v>
      </c>
      <c r="I15" s="55">
        <v>0.27</v>
      </c>
      <c r="J15" s="57">
        <v>7515.0</v>
      </c>
      <c r="K15" s="58">
        <v>0.04</v>
      </c>
      <c r="L15" s="57">
        <v>3517.0</v>
      </c>
      <c r="M15" s="58">
        <v>0.04</v>
      </c>
      <c r="N15" s="57">
        <v>11032.0</v>
      </c>
      <c r="O15" s="58">
        <v>0.04</v>
      </c>
    </row>
    <row r="16" ht="14.25" customHeight="1">
      <c r="A16" s="49" t="s">
        <v>67</v>
      </c>
      <c r="B16" s="50">
        <v>1093.0</v>
      </c>
      <c r="C16" s="60" t="s">
        <v>38</v>
      </c>
      <c r="D16" s="63">
        <v>7.0</v>
      </c>
      <c r="E16" s="60" t="s">
        <v>38</v>
      </c>
      <c r="F16" s="54">
        <v>8.0</v>
      </c>
      <c r="G16" s="56" t="s">
        <v>38</v>
      </c>
      <c r="H16" s="63">
        <v>0.0</v>
      </c>
      <c r="I16" s="60" t="s">
        <v>38</v>
      </c>
      <c r="J16" s="61">
        <v>0.0</v>
      </c>
      <c r="K16" s="61" t="s">
        <v>38</v>
      </c>
      <c r="L16" s="61">
        <v>0.0</v>
      </c>
      <c r="M16" s="61" t="s">
        <v>38</v>
      </c>
      <c r="N16" s="61">
        <v>0.0</v>
      </c>
      <c r="O16" s="61" t="s">
        <v>38</v>
      </c>
    </row>
    <row r="17" ht="14.25" customHeight="1">
      <c r="A17" s="44" t="s">
        <v>68</v>
      </c>
      <c r="B17" s="64"/>
      <c r="C17" s="65"/>
      <c r="D17" s="64"/>
      <c r="E17" s="65"/>
      <c r="F17" s="66"/>
      <c r="G17" s="67"/>
      <c r="H17" s="66"/>
      <c r="I17" s="67"/>
      <c r="J17" s="68"/>
      <c r="K17" s="68"/>
      <c r="L17" s="68"/>
      <c r="M17" s="68"/>
      <c r="N17" s="68"/>
      <c r="O17" s="68"/>
    </row>
    <row r="18" ht="15.0" customHeight="1">
      <c r="A18" s="49" t="s">
        <v>69</v>
      </c>
      <c r="B18" s="50">
        <v>55126.0</v>
      </c>
      <c r="C18" s="51">
        <v>0.16</v>
      </c>
      <c r="D18" s="63">
        <v>31466.0</v>
      </c>
      <c r="E18" s="53">
        <v>0.3</v>
      </c>
      <c r="F18" s="69">
        <v>1904.0</v>
      </c>
      <c r="G18" s="70">
        <v>0.26</v>
      </c>
      <c r="H18" s="71">
        <v>211.0</v>
      </c>
      <c r="I18" s="70">
        <v>0.1</v>
      </c>
      <c r="J18" s="72">
        <v>14323.0</v>
      </c>
      <c r="K18" s="73">
        <v>0.08</v>
      </c>
      <c r="L18" s="72">
        <v>6080.0</v>
      </c>
      <c r="M18" s="73">
        <v>0.09</v>
      </c>
      <c r="N18" s="72">
        <v>20400.0</v>
      </c>
      <c r="O18" s="73">
        <v>0.09</v>
      </c>
    </row>
    <row r="19" ht="14.25" customHeight="1">
      <c r="A19" s="49" t="s">
        <v>70</v>
      </c>
      <c r="B19" s="50">
        <v>4730.0</v>
      </c>
      <c r="C19" s="51">
        <v>0.01</v>
      </c>
      <c r="D19" s="63">
        <v>324.0</v>
      </c>
      <c r="E19" s="60" t="s">
        <v>56</v>
      </c>
      <c r="F19" s="69">
        <v>20.0</v>
      </c>
      <c r="G19" s="74" t="s">
        <v>56</v>
      </c>
      <c r="H19" s="71" t="s">
        <v>55</v>
      </c>
      <c r="I19" s="60" t="s">
        <v>38</v>
      </c>
      <c r="J19" s="61">
        <v>382.0</v>
      </c>
      <c r="K19" s="61" t="s">
        <v>56</v>
      </c>
      <c r="L19" s="61">
        <v>146.0</v>
      </c>
      <c r="M19" s="61" t="s">
        <v>56</v>
      </c>
      <c r="N19" s="61">
        <v>528.0</v>
      </c>
      <c r="O19" s="61" t="s">
        <v>56</v>
      </c>
    </row>
    <row r="20" ht="14.25" customHeight="1">
      <c r="A20" s="49" t="s">
        <v>71</v>
      </c>
      <c r="B20" s="50">
        <v>8863.0</v>
      </c>
      <c r="C20" s="51">
        <v>0.03</v>
      </c>
      <c r="D20" s="63">
        <v>2381.0</v>
      </c>
      <c r="E20" s="53">
        <v>0.02</v>
      </c>
      <c r="F20" s="69">
        <v>167.0</v>
      </c>
      <c r="G20" s="70">
        <v>0.02</v>
      </c>
      <c r="H20" s="71">
        <v>38.0</v>
      </c>
      <c r="I20" s="70">
        <v>0.02</v>
      </c>
      <c r="J20" s="72">
        <v>3000.0</v>
      </c>
      <c r="K20" s="73">
        <v>0.02</v>
      </c>
      <c r="L20" s="72">
        <v>1215.0</v>
      </c>
      <c r="M20" s="73">
        <v>0.02</v>
      </c>
      <c r="N20" s="72">
        <v>4214.0</v>
      </c>
      <c r="O20" s="73">
        <v>0.02</v>
      </c>
    </row>
    <row r="21" ht="14.25" customHeight="1">
      <c r="A21" s="49" t="s">
        <v>72</v>
      </c>
      <c r="B21" s="50">
        <v>18663.0</v>
      </c>
      <c r="C21" s="51">
        <v>0.06</v>
      </c>
      <c r="D21" s="63">
        <v>7878.0</v>
      </c>
      <c r="E21" s="53">
        <v>0.07</v>
      </c>
      <c r="F21" s="69">
        <v>602.0</v>
      </c>
      <c r="G21" s="70">
        <v>0.08</v>
      </c>
      <c r="H21" s="71">
        <v>106.0</v>
      </c>
      <c r="I21" s="70">
        <v>0.05</v>
      </c>
      <c r="J21" s="72">
        <v>6191.0</v>
      </c>
      <c r="K21" s="73">
        <v>0.04</v>
      </c>
      <c r="L21" s="72">
        <v>2745.0</v>
      </c>
      <c r="M21" s="73">
        <v>0.04</v>
      </c>
      <c r="N21" s="72">
        <v>8936.0</v>
      </c>
      <c r="O21" s="73">
        <v>0.04</v>
      </c>
    </row>
    <row r="22" ht="15.0" customHeight="1">
      <c r="A22" s="49" t="s">
        <v>73</v>
      </c>
      <c r="B22" s="50">
        <v>533.0</v>
      </c>
      <c r="C22" s="75" t="s">
        <v>56</v>
      </c>
      <c r="D22" s="63">
        <v>0.0</v>
      </c>
      <c r="E22" s="53">
        <v>0.0</v>
      </c>
      <c r="F22" s="69">
        <v>0.0</v>
      </c>
      <c r="G22" s="70">
        <v>0.0</v>
      </c>
      <c r="H22" s="71">
        <v>0.0</v>
      </c>
      <c r="I22" s="70">
        <v>0.0</v>
      </c>
      <c r="J22" s="72">
        <v>297.0</v>
      </c>
      <c r="K22" s="72" t="s">
        <v>56</v>
      </c>
      <c r="L22" s="72">
        <v>92.0</v>
      </c>
      <c r="M22" s="72" t="s">
        <v>56</v>
      </c>
      <c r="N22" s="72">
        <v>389.0</v>
      </c>
      <c r="O22" s="72" t="s">
        <v>56</v>
      </c>
    </row>
    <row r="23" ht="15.0" customHeight="1">
      <c r="A23" s="49" t="s">
        <v>74</v>
      </c>
      <c r="B23" s="50">
        <v>223552.0</v>
      </c>
      <c r="C23" s="51">
        <v>0.67</v>
      </c>
      <c r="D23" s="63">
        <v>60693.0</v>
      </c>
      <c r="E23" s="53">
        <v>0.57</v>
      </c>
      <c r="F23" s="69">
        <v>4354.0</v>
      </c>
      <c r="G23" s="70">
        <v>0.6</v>
      </c>
      <c r="H23" s="71">
        <v>1834.0</v>
      </c>
      <c r="I23" s="70">
        <v>0.84</v>
      </c>
      <c r="J23" s="72">
        <v>137346.0</v>
      </c>
      <c r="K23" s="73">
        <v>0.81</v>
      </c>
      <c r="L23" s="72">
        <v>49872.0</v>
      </c>
      <c r="M23" s="73">
        <v>0.77</v>
      </c>
      <c r="N23" s="72">
        <v>187153.0</v>
      </c>
      <c r="O23" s="73">
        <v>0.8</v>
      </c>
    </row>
    <row r="24" ht="14.25" customHeight="1">
      <c r="A24" s="49" t="s">
        <v>75</v>
      </c>
      <c r="B24" s="50">
        <v>20416.0</v>
      </c>
      <c r="C24" s="51">
        <v>0.06</v>
      </c>
      <c r="D24" s="63">
        <v>2372.0</v>
      </c>
      <c r="E24" s="53">
        <v>0.02</v>
      </c>
      <c r="F24" s="69">
        <v>206.0</v>
      </c>
      <c r="G24" s="70">
        <v>0.03</v>
      </c>
      <c r="H24" s="71" t="s">
        <v>55</v>
      </c>
      <c r="I24" s="74" t="s">
        <v>38</v>
      </c>
      <c r="J24" s="72">
        <v>8411.0</v>
      </c>
      <c r="K24" s="73">
        <v>0.05</v>
      </c>
      <c r="L24" s="72">
        <v>4635.0</v>
      </c>
      <c r="M24" s="73">
        <v>0.07</v>
      </c>
      <c r="N24" s="72">
        <v>13021.0</v>
      </c>
      <c r="O24" s="73">
        <v>0.06</v>
      </c>
    </row>
    <row r="25" ht="14.25" customHeight="1">
      <c r="A25" s="49" t="s">
        <v>76</v>
      </c>
      <c r="B25" s="50">
        <v>3955.0</v>
      </c>
      <c r="C25" s="51">
        <v>0.01</v>
      </c>
      <c r="D25" s="63">
        <v>1242.0</v>
      </c>
      <c r="E25" s="53">
        <v>0.01</v>
      </c>
      <c r="F25" s="69">
        <v>40.0</v>
      </c>
      <c r="G25" s="70">
        <v>0.01</v>
      </c>
      <c r="H25" s="71" t="s">
        <v>55</v>
      </c>
      <c r="I25" s="60" t="s">
        <v>38</v>
      </c>
      <c r="J25" s="61" t="s">
        <v>38</v>
      </c>
      <c r="K25" s="61" t="s">
        <v>38</v>
      </c>
      <c r="L25" s="61" t="s">
        <v>38</v>
      </c>
      <c r="M25" s="61" t="s">
        <v>38</v>
      </c>
      <c r="N25" s="61" t="s">
        <v>38</v>
      </c>
      <c r="O25" s="61" t="s">
        <v>38</v>
      </c>
    </row>
    <row r="26" ht="14.25" customHeight="1">
      <c r="A26" s="49" t="s">
        <v>77</v>
      </c>
      <c r="B26" s="50">
        <v>9477.0</v>
      </c>
      <c r="C26" s="60" t="s">
        <v>38</v>
      </c>
      <c r="D26" s="63">
        <v>2507.0</v>
      </c>
      <c r="E26" s="60" t="s">
        <v>38</v>
      </c>
      <c r="F26" s="69">
        <v>94.0</v>
      </c>
      <c r="G26" s="60" t="s">
        <v>38</v>
      </c>
      <c r="H26" s="71">
        <v>0.0</v>
      </c>
      <c r="I26" s="60" t="s">
        <v>38</v>
      </c>
      <c r="J26" s="61">
        <v>0.0</v>
      </c>
      <c r="K26" s="61" t="s">
        <v>38</v>
      </c>
      <c r="L26" s="61">
        <v>0.0</v>
      </c>
      <c r="M26" s="61" t="s">
        <v>38</v>
      </c>
      <c r="N26" s="61">
        <v>0.0</v>
      </c>
      <c r="O26" s="61" t="s">
        <v>38</v>
      </c>
    </row>
    <row r="27" ht="14.25" customHeight="1">
      <c r="A27" s="49" t="s">
        <v>78</v>
      </c>
      <c r="B27" s="50">
        <v>406464.0</v>
      </c>
      <c r="C27" s="60" t="s">
        <v>38</v>
      </c>
      <c r="D27" s="63">
        <v>14224.0</v>
      </c>
      <c r="E27" s="60" t="s">
        <v>38</v>
      </c>
      <c r="F27" s="69">
        <v>1698.0</v>
      </c>
      <c r="G27" s="75" t="s">
        <v>38</v>
      </c>
      <c r="H27" s="71">
        <v>352.0</v>
      </c>
      <c r="I27" s="60" t="s">
        <v>38</v>
      </c>
      <c r="J27" s="61">
        <v>33149.0</v>
      </c>
      <c r="K27" s="61" t="s">
        <v>38</v>
      </c>
      <c r="L27" s="61">
        <v>17790.0</v>
      </c>
      <c r="M27" s="61" t="s">
        <v>38</v>
      </c>
      <c r="N27" s="61">
        <v>50937.0</v>
      </c>
      <c r="O27" s="61" t="s">
        <v>38</v>
      </c>
    </row>
    <row r="28" ht="14.25" customHeight="1">
      <c r="A28" s="44" t="s">
        <v>79</v>
      </c>
      <c r="B28" s="76"/>
      <c r="C28" s="77"/>
      <c r="D28" s="78"/>
      <c r="E28" s="79"/>
      <c r="F28" s="78"/>
      <c r="G28" s="79"/>
      <c r="H28" s="80"/>
      <c r="I28" s="81"/>
      <c r="J28" s="82"/>
      <c r="K28" s="82"/>
      <c r="L28" s="82"/>
      <c r="M28" s="82"/>
      <c r="N28" s="82"/>
      <c r="O28" s="82"/>
    </row>
    <row r="29" ht="14.25" customHeight="1">
      <c r="A29" s="49" t="s">
        <v>80</v>
      </c>
      <c r="B29" s="50">
        <v>353469.0</v>
      </c>
      <c r="C29" s="51">
        <v>0.54</v>
      </c>
      <c r="D29" s="63">
        <v>62722.0</v>
      </c>
      <c r="E29" s="53">
        <v>0.53</v>
      </c>
      <c r="F29" s="71">
        <v>4337.0</v>
      </c>
      <c r="G29" s="51">
        <v>0.5</v>
      </c>
      <c r="H29" s="71">
        <v>1321.0</v>
      </c>
      <c r="I29" s="70">
        <v>0.52</v>
      </c>
      <c r="J29" s="72">
        <v>122956.0</v>
      </c>
      <c r="K29" s="73">
        <v>0.61</v>
      </c>
      <c r="L29" s="72">
        <v>53566.0</v>
      </c>
      <c r="M29" s="73">
        <v>0.65</v>
      </c>
      <c r="N29" s="72">
        <v>176452.0</v>
      </c>
      <c r="O29" s="73">
        <v>0.62</v>
      </c>
    </row>
    <row r="30" ht="14.25" customHeight="1">
      <c r="A30" s="49" t="s">
        <v>81</v>
      </c>
      <c r="B30" s="50">
        <v>299277.0</v>
      </c>
      <c r="C30" s="51">
        <v>0.46</v>
      </c>
      <c r="D30" s="63">
        <v>55377.0</v>
      </c>
      <c r="E30" s="53">
        <v>0.47</v>
      </c>
      <c r="F30" s="71">
        <v>4353.0</v>
      </c>
      <c r="G30" s="51">
        <v>0.5</v>
      </c>
      <c r="H30" s="71">
        <v>1224.0</v>
      </c>
      <c r="I30" s="70">
        <v>0.48</v>
      </c>
      <c r="J30" s="72">
        <v>79980.0</v>
      </c>
      <c r="K30" s="73">
        <v>0.39</v>
      </c>
      <c r="L30" s="72">
        <v>28934.0</v>
      </c>
      <c r="M30" s="73">
        <v>0.35</v>
      </c>
      <c r="N30" s="72">
        <v>108888.0</v>
      </c>
      <c r="O30" s="73">
        <v>0.38</v>
      </c>
    </row>
    <row r="31" ht="14.25" customHeight="1">
      <c r="A31" s="49" t="s">
        <v>82</v>
      </c>
      <c r="B31" s="50">
        <v>193.0</v>
      </c>
      <c r="C31" s="75" t="s">
        <v>56</v>
      </c>
      <c r="D31" s="63">
        <v>167.0</v>
      </c>
      <c r="E31" s="60" t="s">
        <v>56</v>
      </c>
      <c r="F31" s="71">
        <v>14.0</v>
      </c>
      <c r="G31" s="75" t="s">
        <v>56</v>
      </c>
      <c r="H31" s="71" t="s">
        <v>55</v>
      </c>
      <c r="I31" s="74" t="s">
        <v>38</v>
      </c>
      <c r="J31" s="72">
        <v>0.0</v>
      </c>
      <c r="K31" s="73">
        <v>0.0</v>
      </c>
      <c r="L31" s="72">
        <v>0.0</v>
      </c>
      <c r="M31" s="73">
        <v>0.0</v>
      </c>
      <c r="N31" s="72">
        <v>0.0</v>
      </c>
      <c r="O31" s="73">
        <v>0.0</v>
      </c>
    </row>
    <row r="32" ht="14.25" customHeight="1">
      <c r="A32" s="49" t="s">
        <v>67</v>
      </c>
      <c r="B32" s="50">
        <v>98840.0</v>
      </c>
      <c r="C32" s="75" t="s">
        <v>38</v>
      </c>
      <c r="D32" s="63">
        <v>4821.0</v>
      </c>
      <c r="E32" s="60" t="s">
        <v>38</v>
      </c>
      <c r="F32" s="50">
        <v>381.0</v>
      </c>
      <c r="G32" s="75" t="s">
        <v>38</v>
      </c>
      <c r="H32" s="71">
        <v>0.0</v>
      </c>
      <c r="I32" s="60" t="s">
        <v>38</v>
      </c>
      <c r="J32" s="61">
        <v>163.0</v>
      </c>
      <c r="K32" s="61" t="s">
        <v>38</v>
      </c>
      <c r="L32" s="61">
        <v>75.0</v>
      </c>
      <c r="M32" s="61" t="s">
        <v>38</v>
      </c>
      <c r="N32" s="61">
        <v>238.0</v>
      </c>
      <c r="O32" s="61" t="s">
        <v>38</v>
      </c>
    </row>
    <row r="33">
      <c r="A33" s="83" t="s">
        <v>83</v>
      </c>
      <c r="B33" s="84"/>
      <c r="C33" s="79"/>
      <c r="D33" s="85"/>
      <c r="E33" s="85"/>
      <c r="F33" s="78"/>
      <c r="G33" s="85"/>
      <c r="H33" s="85"/>
      <c r="I33" s="85"/>
      <c r="J33" s="86"/>
      <c r="K33" s="86"/>
      <c r="L33" s="86"/>
      <c r="M33" s="86"/>
      <c r="N33" s="86"/>
      <c r="O33" s="86"/>
    </row>
    <row r="34" ht="14.25" customHeight="1">
      <c r="A34" s="49" t="s">
        <v>84</v>
      </c>
      <c r="B34" s="87" t="s">
        <v>38</v>
      </c>
      <c r="C34" s="75" t="s">
        <v>38</v>
      </c>
      <c r="D34" s="60">
        <v>2955.0</v>
      </c>
      <c r="E34" s="53">
        <v>0.05</v>
      </c>
      <c r="F34" s="50">
        <v>92.0</v>
      </c>
      <c r="G34" s="51">
        <v>0.03</v>
      </c>
      <c r="H34" s="74" t="s">
        <v>38</v>
      </c>
      <c r="I34" s="74" t="s">
        <v>38</v>
      </c>
      <c r="J34" s="72" t="s">
        <v>38</v>
      </c>
      <c r="K34" s="72" t="s">
        <v>38</v>
      </c>
      <c r="L34" s="72" t="s">
        <v>38</v>
      </c>
      <c r="M34" s="72" t="s">
        <v>38</v>
      </c>
      <c r="N34" s="72" t="s">
        <v>38</v>
      </c>
      <c r="O34" s="72" t="s">
        <v>38</v>
      </c>
    </row>
    <row r="35" ht="14.25" customHeight="1">
      <c r="A35" s="49" t="s">
        <v>85</v>
      </c>
      <c r="B35" s="87" t="s">
        <v>38</v>
      </c>
      <c r="C35" s="75" t="s">
        <v>38</v>
      </c>
      <c r="D35" s="60">
        <v>61170.0</v>
      </c>
      <c r="E35" s="53">
        <v>0.95</v>
      </c>
      <c r="F35" s="50">
        <v>3151.0</v>
      </c>
      <c r="G35" s="51">
        <v>0.97</v>
      </c>
      <c r="H35" s="74" t="s">
        <v>38</v>
      </c>
      <c r="I35" s="74" t="s">
        <v>38</v>
      </c>
      <c r="J35" s="72" t="s">
        <v>38</v>
      </c>
      <c r="K35" s="72" t="s">
        <v>38</v>
      </c>
      <c r="L35" s="72" t="s">
        <v>38</v>
      </c>
      <c r="M35" s="72" t="s">
        <v>38</v>
      </c>
      <c r="N35" s="72" t="s">
        <v>38</v>
      </c>
      <c r="O35" s="72" t="s">
        <v>38</v>
      </c>
    </row>
    <row r="36" ht="14.25" customHeight="1">
      <c r="A36" s="49" t="s">
        <v>86</v>
      </c>
      <c r="B36" s="75" t="s">
        <v>38</v>
      </c>
      <c r="C36" s="75" t="s">
        <v>38</v>
      </c>
      <c r="D36" s="60">
        <v>58962.0</v>
      </c>
      <c r="E36" s="60" t="s">
        <v>38</v>
      </c>
      <c r="F36" s="75">
        <v>5842.0</v>
      </c>
      <c r="G36" s="75" t="s">
        <v>38</v>
      </c>
      <c r="H36" s="74" t="s">
        <v>38</v>
      </c>
      <c r="I36" s="74" t="s">
        <v>38</v>
      </c>
      <c r="J36" s="72" t="s">
        <v>38</v>
      </c>
      <c r="K36" s="72" t="s">
        <v>38</v>
      </c>
      <c r="L36" s="72" t="s">
        <v>38</v>
      </c>
      <c r="M36" s="72" t="s">
        <v>38</v>
      </c>
      <c r="N36" s="72" t="s">
        <v>38</v>
      </c>
      <c r="O36" s="72" t="s">
        <v>38</v>
      </c>
    </row>
    <row r="37" ht="14.25" customHeight="1">
      <c r="A37" s="88" t="s">
        <v>87</v>
      </c>
      <c r="B37" s="89"/>
      <c r="C37" s="89"/>
      <c r="D37" s="90"/>
      <c r="E37" s="90"/>
      <c r="F37" s="89"/>
      <c r="G37" s="89"/>
      <c r="H37" s="91"/>
      <c r="I37" s="91"/>
      <c r="J37" s="92"/>
      <c r="K37" s="92"/>
      <c r="L37" s="92"/>
      <c r="M37" s="92"/>
      <c r="N37" s="92"/>
      <c r="O37" s="92"/>
    </row>
    <row r="38" ht="14.25" customHeight="1">
      <c r="A38" s="49" t="s">
        <v>88</v>
      </c>
      <c r="B38" s="75" t="s">
        <v>38</v>
      </c>
      <c r="C38" s="75" t="s">
        <v>38</v>
      </c>
      <c r="D38" s="60">
        <v>39550.0</v>
      </c>
      <c r="E38" s="53">
        <v>0.53</v>
      </c>
      <c r="F38" s="75">
        <v>4541.0</v>
      </c>
      <c r="G38" s="51">
        <v>0.5</v>
      </c>
      <c r="H38" s="74" t="s">
        <v>38</v>
      </c>
      <c r="I38" s="74" t="s">
        <v>38</v>
      </c>
      <c r="J38" s="72" t="s">
        <v>38</v>
      </c>
      <c r="K38" s="72" t="s">
        <v>38</v>
      </c>
      <c r="L38" s="72" t="s">
        <v>38</v>
      </c>
      <c r="M38" s="72" t="s">
        <v>38</v>
      </c>
      <c r="N38" s="72" t="s">
        <v>38</v>
      </c>
      <c r="O38" s="72" t="s">
        <v>38</v>
      </c>
    </row>
    <row r="39" ht="14.25" customHeight="1">
      <c r="A39" s="49" t="s">
        <v>89</v>
      </c>
      <c r="B39" s="75" t="s">
        <v>38</v>
      </c>
      <c r="C39" s="75" t="s">
        <v>38</v>
      </c>
      <c r="D39" s="60">
        <v>34552.0</v>
      </c>
      <c r="E39" s="53">
        <v>0.46</v>
      </c>
      <c r="F39" s="75">
        <v>4524.0</v>
      </c>
      <c r="G39" s="51">
        <v>0.5</v>
      </c>
      <c r="H39" s="74" t="s">
        <v>38</v>
      </c>
      <c r="I39" s="74" t="s">
        <v>38</v>
      </c>
      <c r="J39" s="72" t="s">
        <v>38</v>
      </c>
      <c r="K39" s="72" t="s">
        <v>38</v>
      </c>
      <c r="L39" s="72" t="s">
        <v>38</v>
      </c>
      <c r="M39" s="72" t="s">
        <v>38</v>
      </c>
      <c r="N39" s="72" t="s">
        <v>38</v>
      </c>
      <c r="O39" s="72" t="s">
        <v>38</v>
      </c>
    </row>
    <row r="40" ht="14.25" customHeight="1">
      <c r="A40" s="49" t="s">
        <v>90</v>
      </c>
      <c r="B40" s="75" t="s">
        <v>38</v>
      </c>
      <c r="C40" s="75" t="s">
        <v>38</v>
      </c>
      <c r="D40" s="60">
        <v>501.0</v>
      </c>
      <c r="E40" s="53">
        <v>0.01</v>
      </c>
      <c r="F40" s="75">
        <v>0.0</v>
      </c>
      <c r="G40" s="51">
        <v>0.0</v>
      </c>
      <c r="H40" s="74" t="s">
        <v>38</v>
      </c>
      <c r="I40" s="74" t="s">
        <v>38</v>
      </c>
      <c r="J40" s="72" t="s">
        <v>38</v>
      </c>
      <c r="K40" s="72" t="s">
        <v>38</v>
      </c>
      <c r="L40" s="72" t="s">
        <v>38</v>
      </c>
      <c r="M40" s="72" t="s">
        <v>38</v>
      </c>
      <c r="N40" s="72" t="s">
        <v>38</v>
      </c>
      <c r="O40" s="72" t="s">
        <v>38</v>
      </c>
    </row>
    <row r="41" ht="14.25" customHeight="1">
      <c r="A41" s="49" t="s">
        <v>82</v>
      </c>
      <c r="B41" s="75" t="s">
        <v>38</v>
      </c>
      <c r="C41" s="75" t="s">
        <v>38</v>
      </c>
      <c r="D41" s="60">
        <v>226.0</v>
      </c>
      <c r="E41" s="60" t="s">
        <v>56</v>
      </c>
      <c r="F41" s="75" t="s">
        <v>55</v>
      </c>
      <c r="G41" s="75" t="s">
        <v>38</v>
      </c>
      <c r="H41" s="74" t="s">
        <v>38</v>
      </c>
      <c r="I41" s="74" t="s">
        <v>38</v>
      </c>
      <c r="J41" s="72" t="s">
        <v>38</v>
      </c>
      <c r="K41" s="72" t="s">
        <v>38</v>
      </c>
      <c r="L41" s="72" t="s">
        <v>38</v>
      </c>
      <c r="M41" s="72" t="s">
        <v>38</v>
      </c>
      <c r="N41" s="72" t="s">
        <v>38</v>
      </c>
      <c r="O41" s="72" t="s">
        <v>38</v>
      </c>
    </row>
    <row r="42" ht="14.25" customHeight="1">
      <c r="A42" s="49" t="s">
        <v>77</v>
      </c>
      <c r="B42" s="75" t="s">
        <v>38</v>
      </c>
      <c r="C42" s="75" t="s">
        <v>38</v>
      </c>
      <c r="D42" s="60">
        <v>22319.0</v>
      </c>
      <c r="E42" s="60" t="s">
        <v>38</v>
      </c>
      <c r="F42" s="75">
        <v>0.0</v>
      </c>
      <c r="G42" s="75" t="s">
        <v>38</v>
      </c>
      <c r="H42" s="74" t="s">
        <v>38</v>
      </c>
      <c r="I42" s="74" t="s">
        <v>38</v>
      </c>
      <c r="J42" s="72" t="s">
        <v>38</v>
      </c>
      <c r="K42" s="72" t="s">
        <v>38</v>
      </c>
      <c r="L42" s="72" t="s">
        <v>38</v>
      </c>
      <c r="M42" s="72" t="s">
        <v>38</v>
      </c>
      <c r="N42" s="72" t="s">
        <v>38</v>
      </c>
      <c r="O42" s="72" t="s">
        <v>38</v>
      </c>
    </row>
    <row r="43" ht="14.25" customHeight="1">
      <c r="A43" s="49" t="s">
        <v>86</v>
      </c>
      <c r="B43" s="75" t="s">
        <v>38</v>
      </c>
      <c r="C43" s="75" t="s">
        <v>38</v>
      </c>
      <c r="D43" s="60">
        <v>25939.0</v>
      </c>
      <c r="E43" s="60" t="s">
        <v>38</v>
      </c>
      <c r="F43" s="75">
        <v>18.0</v>
      </c>
      <c r="G43" s="75" t="s">
        <v>38</v>
      </c>
      <c r="H43" s="74" t="s">
        <v>38</v>
      </c>
      <c r="I43" s="74" t="s">
        <v>38</v>
      </c>
      <c r="J43" s="72" t="s">
        <v>38</v>
      </c>
      <c r="K43" s="72" t="s">
        <v>38</v>
      </c>
      <c r="L43" s="72" t="s">
        <v>38</v>
      </c>
      <c r="M43" s="72" t="s">
        <v>38</v>
      </c>
      <c r="N43" s="72" t="s">
        <v>38</v>
      </c>
      <c r="O43" s="72" t="s">
        <v>38</v>
      </c>
    </row>
    <row r="44" ht="14.25" customHeight="1">
      <c r="A44" s="88" t="s">
        <v>91</v>
      </c>
      <c r="B44" s="93"/>
      <c r="C44" s="79"/>
      <c r="D44" s="94"/>
      <c r="E44" s="94"/>
      <c r="F44" s="85"/>
      <c r="G44" s="85"/>
      <c r="H44" s="95"/>
      <c r="I44" s="95"/>
      <c r="J44" s="96"/>
      <c r="K44" s="96"/>
      <c r="L44" s="96"/>
      <c r="M44" s="96"/>
      <c r="N44" s="96"/>
      <c r="O44" s="96"/>
    </row>
    <row r="45" ht="14.25" customHeight="1">
      <c r="A45" s="49" t="s">
        <v>92</v>
      </c>
      <c r="B45" s="75" t="s">
        <v>38</v>
      </c>
      <c r="C45" s="75" t="s">
        <v>38</v>
      </c>
      <c r="D45" s="60">
        <v>40.0</v>
      </c>
      <c r="E45" s="60" t="s">
        <v>56</v>
      </c>
      <c r="F45" s="75">
        <v>5.0</v>
      </c>
      <c r="G45" s="75" t="s">
        <v>56</v>
      </c>
      <c r="H45" s="74" t="s">
        <v>38</v>
      </c>
      <c r="I45" s="74" t="s">
        <v>38</v>
      </c>
      <c r="J45" s="72" t="s">
        <v>38</v>
      </c>
      <c r="K45" s="72" t="s">
        <v>38</v>
      </c>
      <c r="L45" s="72" t="s">
        <v>38</v>
      </c>
      <c r="M45" s="72" t="s">
        <v>38</v>
      </c>
      <c r="N45" s="72" t="s">
        <v>38</v>
      </c>
      <c r="O45" s="72" t="s">
        <v>38</v>
      </c>
    </row>
    <row r="46" ht="14.25" customHeight="1">
      <c r="A46" s="49" t="s">
        <v>93</v>
      </c>
      <c r="B46" s="75" t="s">
        <v>38</v>
      </c>
      <c r="C46" s="75" t="s">
        <v>38</v>
      </c>
      <c r="D46" s="60">
        <v>613.0</v>
      </c>
      <c r="E46" s="53">
        <v>0.01</v>
      </c>
      <c r="F46" s="75">
        <v>7.0</v>
      </c>
      <c r="G46" s="75" t="s">
        <v>56</v>
      </c>
      <c r="H46" s="74" t="s">
        <v>38</v>
      </c>
      <c r="I46" s="74" t="s">
        <v>38</v>
      </c>
      <c r="J46" s="72" t="s">
        <v>38</v>
      </c>
      <c r="K46" s="72" t="s">
        <v>38</v>
      </c>
      <c r="L46" s="72" t="s">
        <v>38</v>
      </c>
      <c r="M46" s="72" t="s">
        <v>38</v>
      </c>
      <c r="N46" s="72" t="s">
        <v>38</v>
      </c>
      <c r="O46" s="72" t="s">
        <v>38</v>
      </c>
    </row>
    <row r="47" ht="14.25" customHeight="1">
      <c r="A47" s="49" t="s">
        <v>94</v>
      </c>
      <c r="B47" s="75" t="s">
        <v>38</v>
      </c>
      <c r="C47" s="75" t="s">
        <v>38</v>
      </c>
      <c r="D47" s="60">
        <v>1099.0</v>
      </c>
      <c r="E47" s="53">
        <v>0.02</v>
      </c>
      <c r="F47" s="75">
        <v>38.0</v>
      </c>
      <c r="G47" s="51">
        <v>0.01</v>
      </c>
      <c r="H47" s="74" t="s">
        <v>38</v>
      </c>
      <c r="I47" s="74" t="s">
        <v>38</v>
      </c>
      <c r="J47" s="72" t="s">
        <v>38</v>
      </c>
      <c r="K47" s="72" t="s">
        <v>38</v>
      </c>
      <c r="L47" s="72" t="s">
        <v>38</v>
      </c>
      <c r="M47" s="72" t="s">
        <v>38</v>
      </c>
      <c r="N47" s="72" t="s">
        <v>38</v>
      </c>
      <c r="O47" s="72" t="s">
        <v>38</v>
      </c>
    </row>
    <row r="48" ht="14.25" customHeight="1">
      <c r="A48" s="49" t="s">
        <v>95</v>
      </c>
      <c r="B48" s="75" t="s">
        <v>38</v>
      </c>
      <c r="C48" s="75" t="s">
        <v>38</v>
      </c>
      <c r="D48" s="60">
        <v>130.0</v>
      </c>
      <c r="E48" s="60" t="s">
        <v>56</v>
      </c>
      <c r="F48" s="75" t="s">
        <v>55</v>
      </c>
      <c r="G48" s="75" t="s">
        <v>38</v>
      </c>
      <c r="H48" s="74" t="s">
        <v>38</v>
      </c>
      <c r="I48" s="74" t="s">
        <v>38</v>
      </c>
      <c r="J48" s="72" t="s">
        <v>38</v>
      </c>
      <c r="K48" s="72" t="s">
        <v>38</v>
      </c>
      <c r="L48" s="72" t="s">
        <v>38</v>
      </c>
      <c r="M48" s="72" t="s">
        <v>38</v>
      </c>
      <c r="N48" s="72" t="s">
        <v>38</v>
      </c>
      <c r="O48" s="72" t="s">
        <v>38</v>
      </c>
    </row>
    <row r="49" ht="14.25" customHeight="1">
      <c r="A49" s="49" t="s">
        <v>96</v>
      </c>
      <c r="B49" s="75" t="s">
        <v>38</v>
      </c>
      <c r="C49" s="75" t="s">
        <v>38</v>
      </c>
      <c r="D49" s="60">
        <v>64481.0</v>
      </c>
      <c r="E49" s="53">
        <v>0.96</v>
      </c>
      <c r="F49" s="75">
        <v>3327.0</v>
      </c>
      <c r="G49" s="51">
        <v>0.98</v>
      </c>
      <c r="H49" s="74" t="s">
        <v>38</v>
      </c>
      <c r="I49" s="74" t="s">
        <v>38</v>
      </c>
      <c r="J49" s="72" t="s">
        <v>38</v>
      </c>
      <c r="K49" s="72" t="s">
        <v>38</v>
      </c>
      <c r="L49" s="72" t="s">
        <v>38</v>
      </c>
      <c r="M49" s="72" t="s">
        <v>38</v>
      </c>
      <c r="N49" s="72" t="s">
        <v>38</v>
      </c>
      <c r="O49" s="72" t="s">
        <v>38</v>
      </c>
    </row>
    <row r="50" ht="14.25" customHeight="1">
      <c r="A50" s="49" t="s">
        <v>82</v>
      </c>
      <c r="B50" s="75" t="s">
        <v>38</v>
      </c>
      <c r="C50" s="75" t="s">
        <v>38</v>
      </c>
      <c r="D50" s="60">
        <v>598.0</v>
      </c>
      <c r="E50" s="53">
        <v>0.01</v>
      </c>
      <c r="F50" s="75">
        <v>13.0</v>
      </c>
      <c r="G50" s="75" t="s">
        <v>56</v>
      </c>
      <c r="H50" s="74" t="s">
        <v>38</v>
      </c>
      <c r="I50" s="74" t="s">
        <v>38</v>
      </c>
      <c r="J50" s="72" t="s">
        <v>38</v>
      </c>
      <c r="K50" s="72" t="s">
        <v>38</v>
      </c>
      <c r="L50" s="72" t="s">
        <v>38</v>
      </c>
      <c r="M50" s="72" t="s">
        <v>38</v>
      </c>
      <c r="N50" s="72" t="s">
        <v>38</v>
      </c>
      <c r="O50" s="72" t="s">
        <v>38</v>
      </c>
    </row>
    <row r="51" ht="14.25" customHeight="1">
      <c r="A51" s="49" t="s">
        <v>77</v>
      </c>
      <c r="B51" s="75" t="s">
        <v>38</v>
      </c>
      <c r="C51" s="75" t="s">
        <v>38</v>
      </c>
      <c r="D51" s="60">
        <v>27452.0</v>
      </c>
      <c r="E51" s="60" t="s">
        <v>38</v>
      </c>
      <c r="F51" s="75">
        <v>2024.0</v>
      </c>
      <c r="G51" s="75" t="s">
        <v>38</v>
      </c>
      <c r="H51" s="74" t="s">
        <v>38</v>
      </c>
      <c r="I51" s="74" t="s">
        <v>38</v>
      </c>
      <c r="J51" s="72" t="s">
        <v>38</v>
      </c>
      <c r="K51" s="72" t="s">
        <v>38</v>
      </c>
      <c r="L51" s="72" t="s">
        <v>38</v>
      </c>
      <c r="M51" s="72" t="s">
        <v>38</v>
      </c>
      <c r="N51" s="72" t="s">
        <v>38</v>
      </c>
      <c r="O51" s="72" t="s">
        <v>38</v>
      </c>
    </row>
    <row r="52" ht="14.25" customHeight="1">
      <c r="A52" s="49" t="s">
        <v>86</v>
      </c>
      <c r="B52" s="75" t="s">
        <v>38</v>
      </c>
      <c r="C52" s="75" t="s">
        <v>38</v>
      </c>
      <c r="D52" s="60">
        <v>28674.0</v>
      </c>
      <c r="E52" s="60" t="s">
        <v>38</v>
      </c>
      <c r="F52" s="75">
        <v>3670.0</v>
      </c>
      <c r="G52" s="75" t="s">
        <v>38</v>
      </c>
      <c r="H52" s="74" t="s">
        <v>38</v>
      </c>
      <c r="I52" s="74" t="s">
        <v>38</v>
      </c>
      <c r="J52" s="72" t="s">
        <v>38</v>
      </c>
      <c r="K52" s="72" t="s">
        <v>38</v>
      </c>
      <c r="L52" s="72" t="s">
        <v>38</v>
      </c>
      <c r="M52" s="72" t="s">
        <v>38</v>
      </c>
      <c r="N52" s="72" t="s">
        <v>38</v>
      </c>
      <c r="O52" s="72" t="s">
        <v>38</v>
      </c>
    </row>
    <row r="53" ht="14.25" customHeight="1">
      <c r="A53" s="97" t="s">
        <v>97</v>
      </c>
      <c r="J53" s="97"/>
      <c r="K53" s="97"/>
      <c r="L53" s="97"/>
      <c r="M53" s="97"/>
      <c r="N53" s="97"/>
      <c r="O53" s="97"/>
    </row>
    <row r="54" ht="14.25" customHeight="1">
      <c r="A54" s="98" t="s">
        <v>98</v>
      </c>
      <c r="M54" s="98"/>
      <c r="N54" s="98"/>
      <c r="O54" s="98"/>
    </row>
    <row r="55" ht="14.25" customHeight="1">
      <c r="M55" s="98"/>
      <c r="N55" s="98"/>
      <c r="O55" s="98"/>
    </row>
    <row r="56" ht="1.5" customHeight="1">
      <c r="M56" s="98"/>
      <c r="N56" s="98"/>
      <c r="O56" s="98"/>
    </row>
    <row r="57" ht="37.5" customHeight="1">
      <c r="M57" s="98"/>
      <c r="N57" s="98"/>
      <c r="O57" s="98"/>
    </row>
    <row r="58" ht="14.25" customHeight="1">
      <c r="A58" s="97" t="s">
        <v>99</v>
      </c>
      <c r="B58" s="99">
        <v>44265.0</v>
      </c>
      <c r="D58" s="100"/>
      <c r="E58" s="100"/>
      <c r="F58" s="100"/>
      <c r="G58" s="100"/>
      <c r="H58" s="100"/>
      <c r="I58" s="100"/>
      <c r="J58" s="100"/>
      <c r="K58" s="100"/>
      <c r="L58" s="100"/>
      <c r="M58" s="100"/>
      <c r="N58" s="100"/>
      <c r="O58" s="100"/>
    </row>
  </sheetData>
  <mergeCells count="16">
    <mergeCell ref="B1:C1"/>
    <mergeCell ref="D1:E1"/>
    <mergeCell ref="F1:G1"/>
    <mergeCell ref="H1:I1"/>
    <mergeCell ref="J1:K1"/>
    <mergeCell ref="L1:M1"/>
    <mergeCell ref="N1:O1"/>
    <mergeCell ref="A54:L57"/>
    <mergeCell ref="B58:C58"/>
    <mergeCell ref="B2:C2"/>
    <mergeCell ref="D2:E2"/>
    <mergeCell ref="F2:G2"/>
    <mergeCell ref="H2:I2"/>
    <mergeCell ref="J2:K2"/>
    <mergeCell ref="L2:M2"/>
    <mergeCell ref="A53:I5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1" t="s">
        <v>100</v>
      </c>
      <c r="G1" s="102"/>
      <c r="H1" s="102"/>
      <c r="I1" s="102"/>
      <c r="J1" s="102"/>
      <c r="K1" s="103"/>
      <c r="L1" s="104"/>
      <c r="M1" s="105"/>
      <c r="N1" s="104"/>
    </row>
    <row r="2">
      <c r="A2" s="106" t="s">
        <v>101</v>
      </c>
      <c r="F2" s="104"/>
      <c r="G2" s="104"/>
      <c r="H2" s="104"/>
      <c r="I2" s="104"/>
      <c r="J2" s="104"/>
      <c r="K2" s="107"/>
      <c r="L2" s="104"/>
      <c r="M2" s="104"/>
      <c r="N2" s="104"/>
    </row>
    <row r="3">
      <c r="A3" s="106" t="s">
        <v>0</v>
      </c>
      <c r="B3" s="108">
        <v>44265.0</v>
      </c>
      <c r="C3" s="104"/>
      <c r="D3" s="104"/>
      <c r="E3" s="104"/>
      <c r="F3" s="104"/>
      <c r="G3" s="104"/>
      <c r="H3" s="104"/>
      <c r="I3" s="104"/>
      <c r="J3" s="104"/>
      <c r="K3" s="107"/>
      <c r="L3" s="104"/>
      <c r="M3" s="104"/>
      <c r="N3" s="104"/>
    </row>
    <row r="4">
      <c r="A4" s="109"/>
      <c r="B4" s="104"/>
      <c r="C4" s="104"/>
      <c r="D4" s="104"/>
      <c r="E4" s="104"/>
      <c r="F4" s="104"/>
      <c r="G4" s="104"/>
      <c r="H4" s="104"/>
      <c r="I4" s="104"/>
      <c r="J4" s="104"/>
      <c r="K4" s="104"/>
      <c r="L4" s="104"/>
      <c r="M4" s="104"/>
      <c r="N4" s="104"/>
    </row>
    <row r="5" ht="39.75" customHeight="1">
      <c r="A5" s="110" t="s">
        <v>102</v>
      </c>
      <c r="B5" s="111"/>
      <c r="C5" s="111"/>
      <c r="D5" s="111"/>
      <c r="E5" s="111"/>
      <c r="F5" s="111"/>
      <c r="G5" s="111"/>
      <c r="H5" s="111"/>
      <c r="I5" s="111"/>
      <c r="J5" s="111"/>
      <c r="K5" s="41"/>
      <c r="L5" s="112"/>
      <c r="M5" s="112"/>
      <c r="N5" s="112"/>
    </row>
    <row r="6">
      <c r="A6" s="104"/>
      <c r="B6" s="113"/>
      <c r="C6" s="104"/>
      <c r="D6" s="104"/>
      <c r="E6" s="104"/>
      <c r="F6" s="104"/>
      <c r="G6" s="104"/>
      <c r="H6" s="104"/>
      <c r="I6" s="104"/>
      <c r="J6" s="104"/>
      <c r="K6" s="104"/>
      <c r="L6" s="104"/>
      <c r="M6" s="104"/>
      <c r="N6" s="104"/>
    </row>
    <row r="7">
      <c r="A7" s="114" t="s">
        <v>103</v>
      </c>
      <c r="B7" s="115" t="s">
        <v>54</v>
      </c>
      <c r="C7" s="116">
        <v>43960.0</v>
      </c>
      <c r="D7" s="116">
        <v>44118.0</v>
      </c>
      <c r="E7" s="115" t="s">
        <v>57</v>
      </c>
      <c r="F7" s="115" t="s">
        <v>58</v>
      </c>
      <c r="G7" s="115" t="s">
        <v>59</v>
      </c>
      <c r="H7" s="115" t="s">
        <v>60</v>
      </c>
      <c r="I7" s="115" t="s">
        <v>61</v>
      </c>
      <c r="J7" s="115" t="s">
        <v>62</v>
      </c>
      <c r="K7" s="115" t="s">
        <v>63</v>
      </c>
      <c r="L7" s="115" t="s">
        <v>64</v>
      </c>
      <c r="M7" s="115" t="s">
        <v>104</v>
      </c>
      <c r="N7" s="115" t="s">
        <v>105</v>
      </c>
    </row>
    <row r="8">
      <c r="A8" s="117" t="s">
        <v>106</v>
      </c>
      <c r="B8" s="74">
        <v>0.0</v>
      </c>
      <c r="C8" s="74">
        <v>0.0</v>
      </c>
      <c r="D8" s="74">
        <v>0.0</v>
      </c>
      <c r="E8" s="74" t="s">
        <v>55</v>
      </c>
      <c r="F8" s="74">
        <v>0.0</v>
      </c>
      <c r="G8" s="74">
        <v>0.0</v>
      </c>
      <c r="H8" s="74">
        <v>0.0</v>
      </c>
      <c r="I8" s="74" t="s">
        <v>55</v>
      </c>
      <c r="J8" s="74">
        <v>0.0</v>
      </c>
      <c r="K8" s="74" t="s">
        <v>55</v>
      </c>
      <c r="L8" s="74">
        <v>0.0</v>
      </c>
      <c r="M8" s="74">
        <v>0.0</v>
      </c>
      <c r="N8" s="74" t="s">
        <v>55</v>
      </c>
    </row>
    <row r="9">
      <c r="A9" s="117" t="s">
        <v>107</v>
      </c>
      <c r="B9" s="74" t="s">
        <v>55</v>
      </c>
      <c r="C9" s="74" t="s">
        <v>55</v>
      </c>
      <c r="D9" s="74">
        <v>0.0</v>
      </c>
      <c r="E9" s="74" t="s">
        <v>55</v>
      </c>
      <c r="F9" s="74">
        <v>0.0</v>
      </c>
      <c r="G9" s="74" t="s">
        <v>55</v>
      </c>
      <c r="H9" s="74" t="s">
        <v>55</v>
      </c>
      <c r="I9" s="74" t="s">
        <v>55</v>
      </c>
      <c r="J9" s="74" t="s">
        <v>55</v>
      </c>
      <c r="K9" s="74" t="s">
        <v>55</v>
      </c>
      <c r="L9" s="74" t="s">
        <v>55</v>
      </c>
      <c r="M9" s="74">
        <v>0.0</v>
      </c>
      <c r="N9" s="74">
        <v>15.0</v>
      </c>
    </row>
    <row r="10">
      <c r="A10" s="117" t="s">
        <v>108</v>
      </c>
      <c r="B10" s="74">
        <v>0.0</v>
      </c>
      <c r="C10" s="74">
        <v>0.0</v>
      </c>
      <c r="D10" s="74">
        <v>0.0</v>
      </c>
      <c r="E10" s="74" t="s">
        <v>55</v>
      </c>
      <c r="F10" s="74">
        <v>8.0</v>
      </c>
      <c r="G10" s="74">
        <v>6.0</v>
      </c>
      <c r="H10" s="74">
        <v>9.0</v>
      </c>
      <c r="I10" s="74">
        <v>14.0</v>
      </c>
      <c r="J10" s="74">
        <v>15.0</v>
      </c>
      <c r="K10" s="74">
        <v>6.0</v>
      </c>
      <c r="L10" s="74">
        <v>7.0</v>
      </c>
      <c r="M10" s="74">
        <v>0.0</v>
      </c>
      <c r="N10" s="74">
        <v>66.0</v>
      </c>
    </row>
    <row r="11">
      <c r="A11" s="117" t="s">
        <v>109</v>
      </c>
      <c r="B11" s="74">
        <v>0.0</v>
      </c>
      <c r="C11" s="74">
        <v>0.0</v>
      </c>
      <c r="D11" s="74">
        <v>0.0</v>
      </c>
      <c r="E11" s="74">
        <v>0.0</v>
      </c>
      <c r="F11" s="74">
        <v>12.0</v>
      </c>
      <c r="G11" s="74">
        <v>19.0</v>
      </c>
      <c r="H11" s="74">
        <v>36.0</v>
      </c>
      <c r="I11" s="74">
        <v>31.0</v>
      </c>
      <c r="J11" s="74">
        <v>48.0</v>
      </c>
      <c r="K11" s="74">
        <v>34.0</v>
      </c>
      <c r="L11" s="74">
        <v>19.0</v>
      </c>
      <c r="M11" s="74">
        <v>14.0</v>
      </c>
      <c r="N11" s="74">
        <v>213.0</v>
      </c>
    </row>
    <row r="12">
      <c r="A12" s="117" t="s">
        <v>110</v>
      </c>
      <c r="B12" s="74">
        <v>0.0</v>
      </c>
      <c r="C12" s="74" t="s">
        <v>55</v>
      </c>
      <c r="D12" s="74">
        <v>0.0</v>
      </c>
      <c r="E12" s="74">
        <v>7.0</v>
      </c>
      <c r="F12" s="74">
        <v>23.0</v>
      </c>
      <c r="G12" s="74">
        <v>43.0</v>
      </c>
      <c r="H12" s="74">
        <v>89.0</v>
      </c>
      <c r="I12" s="74">
        <v>85.0</v>
      </c>
      <c r="J12" s="74">
        <v>119.0</v>
      </c>
      <c r="K12" s="74">
        <v>117.0</v>
      </c>
      <c r="L12" s="74">
        <v>62.0</v>
      </c>
      <c r="M12" s="74">
        <v>78.0</v>
      </c>
      <c r="N12" s="74">
        <v>624.0</v>
      </c>
    </row>
    <row r="13">
      <c r="A13" s="117" t="s">
        <v>111</v>
      </c>
      <c r="B13" s="74">
        <v>9.0</v>
      </c>
      <c r="C13" s="74" t="s">
        <v>55</v>
      </c>
      <c r="D13" s="74">
        <v>7.0</v>
      </c>
      <c r="E13" s="74">
        <v>36.0</v>
      </c>
      <c r="F13" s="74">
        <v>127.0</v>
      </c>
      <c r="G13" s="74">
        <v>136.0</v>
      </c>
      <c r="H13" s="74">
        <v>226.0</v>
      </c>
      <c r="I13" s="74">
        <v>287.0</v>
      </c>
      <c r="J13" s="74">
        <v>358.0</v>
      </c>
      <c r="K13" s="74">
        <v>263.0</v>
      </c>
      <c r="L13" s="74">
        <v>157.0</v>
      </c>
      <c r="M13" s="74">
        <v>218.0</v>
      </c>
      <c r="N13" s="118">
        <v>1827.0</v>
      </c>
    </row>
    <row r="14">
      <c r="A14" s="117" t="s">
        <v>112</v>
      </c>
      <c r="B14" s="74">
        <v>19.0</v>
      </c>
      <c r="C14" s="74">
        <v>18.0</v>
      </c>
      <c r="D14" s="74">
        <v>21.0</v>
      </c>
      <c r="E14" s="74">
        <v>43.0</v>
      </c>
      <c r="F14" s="74">
        <v>144.0</v>
      </c>
      <c r="G14" s="74">
        <v>158.0</v>
      </c>
      <c r="H14" s="74">
        <v>309.0</v>
      </c>
      <c r="I14" s="74">
        <v>339.0</v>
      </c>
      <c r="J14" s="74">
        <v>340.0</v>
      </c>
      <c r="K14" s="74">
        <v>217.0</v>
      </c>
      <c r="L14" s="74">
        <v>135.0</v>
      </c>
      <c r="M14" s="74">
        <v>189.0</v>
      </c>
      <c r="N14" s="118">
        <v>1932.0</v>
      </c>
    </row>
    <row r="15">
      <c r="A15" s="117" t="s">
        <v>113</v>
      </c>
      <c r="B15" s="74">
        <v>26.0</v>
      </c>
      <c r="C15" s="74">
        <v>19.0</v>
      </c>
      <c r="D15" s="74">
        <v>30.0</v>
      </c>
      <c r="E15" s="74">
        <v>58.0</v>
      </c>
      <c r="F15" s="74">
        <v>206.0</v>
      </c>
      <c r="G15" s="74">
        <v>181.0</v>
      </c>
      <c r="H15" s="74">
        <v>440.0</v>
      </c>
      <c r="I15" s="74">
        <v>377.0</v>
      </c>
      <c r="J15" s="74">
        <v>416.0</v>
      </c>
      <c r="K15" s="74">
        <v>274.0</v>
      </c>
      <c r="L15" s="74">
        <v>200.0</v>
      </c>
      <c r="M15" s="74">
        <v>296.0</v>
      </c>
      <c r="N15" s="118">
        <v>2523.0</v>
      </c>
    </row>
    <row r="16">
      <c r="A16" s="117" t="s">
        <v>114</v>
      </c>
      <c r="B16" s="74">
        <v>48.0</v>
      </c>
      <c r="C16" s="74">
        <v>34.0</v>
      </c>
      <c r="D16" s="74">
        <v>35.0</v>
      </c>
      <c r="E16" s="74">
        <v>61.0</v>
      </c>
      <c r="F16" s="74">
        <v>167.0</v>
      </c>
      <c r="G16" s="74">
        <v>153.0</v>
      </c>
      <c r="H16" s="74">
        <v>325.0</v>
      </c>
      <c r="I16" s="74">
        <v>315.0</v>
      </c>
      <c r="J16" s="74">
        <v>291.0</v>
      </c>
      <c r="K16" s="74">
        <v>199.0</v>
      </c>
      <c r="L16" s="74">
        <v>150.0</v>
      </c>
      <c r="M16" s="74">
        <v>215.0</v>
      </c>
      <c r="N16" s="118">
        <v>1993.0</v>
      </c>
    </row>
    <row r="17">
      <c r="A17" s="117" t="s">
        <v>115</v>
      </c>
      <c r="B17" s="74">
        <v>26.0</v>
      </c>
      <c r="C17" s="74">
        <v>26.0</v>
      </c>
      <c r="D17" s="74">
        <v>29.0</v>
      </c>
      <c r="E17" s="74">
        <v>52.0</v>
      </c>
      <c r="F17" s="74">
        <v>142.0</v>
      </c>
      <c r="G17" s="74">
        <v>159.0</v>
      </c>
      <c r="H17" s="74">
        <v>264.0</v>
      </c>
      <c r="I17" s="74">
        <v>264.0</v>
      </c>
      <c r="J17" s="74">
        <v>252.0</v>
      </c>
      <c r="K17" s="74">
        <v>191.0</v>
      </c>
      <c r="L17" s="74">
        <v>147.0</v>
      </c>
      <c r="M17" s="74">
        <v>296.0</v>
      </c>
      <c r="N17" s="118">
        <v>1848.0</v>
      </c>
    </row>
    <row r="18">
      <c r="A18" s="117" t="s">
        <v>116</v>
      </c>
      <c r="B18" s="74">
        <v>18.0</v>
      </c>
      <c r="C18" s="74">
        <v>19.0</v>
      </c>
      <c r="D18" s="74">
        <v>27.0</v>
      </c>
      <c r="E18" s="74">
        <v>40.0</v>
      </c>
      <c r="F18" s="74">
        <v>120.0</v>
      </c>
      <c r="G18" s="74">
        <v>132.0</v>
      </c>
      <c r="H18" s="74">
        <v>248.0</v>
      </c>
      <c r="I18" s="74">
        <v>202.0</v>
      </c>
      <c r="J18" s="74">
        <v>214.0</v>
      </c>
      <c r="K18" s="74">
        <v>140.0</v>
      </c>
      <c r="L18" s="74">
        <v>96.0</v>
      </c>
      <c r="M18" s="74">
        <v>198.0</v>
      </c>
      <c r="N18" s="118">
        <v>1454.0</v>
      </c>
    </row>
    <row r="19">
      <c r="A19" s="117" t="s">
        <v>117</v>
      </c>
      <c r="B19" s="74">
        <v>25.0</v>
      </c>
      <c r="C19" s="74">
        <v>25.0</v>
      </c>
      <c r="D19" s="74">
        <v>12.0</v>
      </c>
      <c r="E19" s="74">
        <v>31.0</v>
      </c>
      <c r="F19" s="74">
        <v>117.0</v>
      </c>
      <c r="G19" s="74">
        <v>100.0</v>
      </c>
      <c r="H19" s="74">
        <v>184.0</v>
      </c>
      <c r="I19" s="74">
        <v>174.0</v>
      </c>
      <c r="J19" s="74">
        <v>126.0</v>
      </c>
      <c r="K19" s="74">
        <v>112.0</v>
      </c>
      <c r="L19" s="74">
        <v>72.0</v>
      </c>
      <c r="M19" s="74">
        <v>112.0</v>
      </c>
      <c r="N19" s="118">
        <v>1090.0</v>
      </c>
    </row>
    <row r="20">
      <c r="A20" s="117" t="s">
        <v>118</v>
      </c>
      <c r="B20" s="74">
        <v>19.0</v>
      </c>
      <c r="C20" s="74">
        <v>22.0</v>
      </c>
      <c r="D20" s="74">
        <v>18.0</v>
      </c>
      <c r="E20" s="74">
        <v>21.0</v>
      </c>
      <c r="F20" s="74">
        <v>75.0</v>
      </c>
      <c r="G20" s="74">
        <v>73.0</v>
      </c>
      <c r="H20" s="74">
        <v>152.0</v>
      </c>
      <c r="I20" s="74">
        <v>130.0</v>
      </c>
      <c r="J20" s="74">
        <v>100.0</v>
      </c>
      <c r="K20" s="74">
        <v>74.0</v>
      </c>
      <c r="L20" s="74">
        <v>57.0</v>
      </c>
      <c r="M20" s="74">
        <v>96.0</v>
      </c>
      <c r="N20" s="74">
        <v>837.0</v>
      </c>
    </row>
    <row r="21">
      <c r="A21" s="117" t="s">
        <v>119</v>
      </c>
      <c r="B21" s="74">
        <v>9.0</v>
      </c>
      <c r="C21" s="74">
        <v>16.0</v>
      </c>
      <c r="D21" s="74">
        <v>20.0</v>
      </c>
      <c r="E21" s="74">
        <v>15.0</v>
      </c>
      <c r="F21" s="74">
        <v>59.0</v>
      </c>
      <c r="G21" s="74">
        <v>57.0</v>
      </c>
      <c r="H21" s="74">
        <v>95.0</v>
      </c>
      <c r="I21" s="74">
        <v>109.0</v>
      </c>
      <c r="J21" s="74">
        <v>84.0</v>
      </c>
      <c r="K21" s="74">
        <v>58.0</v>
      </c>
      <c r="L21" s="74">
        <v>31.0</v>
      </c>
      <c r="M21" s="74">
        <v>57.0</v>
      </c>
      <c r="N21" s="74">
        <v>610.0</v>
      </c>
    </row>
    <row r="22">
      <c r="A22" s="117" t="s">
        <v>120</v>
      </c>
      <c r="B22" s="74">
        <v>16.0</v>
      </c>
      <c r="C22" s="74" t="s">
        <v>55</v>
      </c>
      <c r="D22" s="74">
        <v>9.0</v>
      </c>
      <c r="E22" s="74">
        <v>11.0</v>
      </c>
      <c r="F22" s="74">
        <v>55.0</v>
      </c>
      <c r="G22" s="74">
        <v>45.0</v>
      </c>
      <c r="H22" s="74">
        <v>70.0</v>
      </c>
      <c r="I22" s="74">
        <v>51.0</v>
      </c>
      <c r="J22" s="74">
        <v>57.0</v>
      </c>
      <c r="K22" s="74">
        <v>45.0</v>
      </c>
      <c r="L22" s="74">
        <v>32.0</v>
      </c>
      <c r="M22" s="74">
        <v>64.0</v>
      </c>
      <c r="N22" s="74">
        <v>458.0</v>
      </c>
    </row>
    <row r="23">
      <c r="A23" s="117" t="s">
        <v>121</v>
      </c>
      <c r="B23" s="74">
        <v>7.0</v>
      </c>
      <c r="C23" s="74">
        <v>5.0</v>
      </c>
      <c r="D23" s="74">
        <v>13.0</v>
      </c>
      <c r="E23" s="74">
        <v>14.0</v>
      </c>
      <c r="F23" s="74">
        <v>34.0</v>
      </c>
      <c r="G23" s="74">
        <v>37.0</v>
      </c>
      <c r="H23" s="74">
        <v>48.0</v>
      </c>
      <c r="I23" s="74">
        <v>36.0</v>
      </c>
      <c r="J23" s="74">
        <v>52.0</v>
      </c>
      <c r="K23" s="74">
        <v>31.0</v>
      </c>
      <c r="L23" s="74">
        <v>30.0</v>
      </c>
      <c r="M23" s="74">
        <v>47.0</v>
      </c>
      <c r="N23" s="74">
        <v>354.0</v>
      </c>
    </row>
    <row r="24">
      <c r="A24" s="117" t="s">
        <v>122</v>
      </c>
      <c r="B24" s="74">
        <v>8.0</v>
      </c>
      <c r="C24" s="74">
        <v>6.0</v>
      </c>
      <c r="D24" s="74">
        <v>6.0</v>
      </c>
      <c r="E24" s="74">
        <v>13.0</v>
      </c>
      <c r="F24" s="74">
        <v>76.0</v>
      </c>
      <c r="G24" s="74">
        <v>43.0</v>
      </c>
      <c r="H24" s="74">
        <v>62.0</v>
      </c>
      <c r="I24" s="74">
        <v>42.0</v>
      </c>
      <c r="J24" s="74">
        <v>34.0</v>
      </c>
      <c r="K24" s="74">
        <v>34.0</v>
      </c>
      <c r="L24" s="74">
        <v>9.0</v>
      </c>
      <c r="M24" s="74">
        <v>23.0</v>
      </c>
      <c r="N24" s="74">
        <v>356.0</v>
      </c>
    </row>
    <row r="25">
      <c r="A25" s="117" t="s">
        <v>123</v>
      </c>
      <c r="B25" s="74">
        <v>11.0</v>
      </c>
      <c r="C25" s="74">
        <v>14.0</v>
      </c>
      <c r="D25" s="74" t="s">
        <v>55</v>
      </c>
      <c r="E25" s="74">
        <v>21.0</v>
      </c>
      <c r="F25" s="74">
        <v>33.0</v>
      </c>
      <c r="G25" s="74">
        <v>40.0</v>
      </c>
      <c r="H25" s="74">
        <v>36.0</v>
      </c>
      <c r="I25" s="74">
        <v>32.0</v>
      </c>
      <c r="J25" s="74">
        <v>41.0</v>
      </c>
      <c r="K25" s="74">
        <v>16.0</v>
      </c>
      <c r="L25" s="74">
        <v>13.0</v>
      </c>
      <c r="M25" s="74">
        <v>12.0</v>
      </c>
      <c r="N25" s="74">
        <v>271.0</v>
      </c>
    </row>
    <row r="26">
      <c r="A26" s="117" t="s">
        <v>124</v>
      </c>
      <c r="B26" s="74" t="s">
        <v>55</v>
      </c>
      <c r="C26" s="74" t="s">
        <v>55</v>
      </c>
      <c r="D26" s="74">
        <v>8.0</v>
      </c>
      <c r="E26" s="74">
        <v>36.0</v>
      </c>
      <c r="F26" s="74">
        <v>44.0</v>
      </c>
      <c r="G26" s="74">
        <v>46.0</v>
      </c>
      <c r="H26" s="74">
        <v>66.0</v>
      </c>
      <c r="I26" s="74">
        <v>48.0</v>
      </c>
      <c r="J26" s="74">
        <v>34.0</v>
      </c>
      <c r="K26" s="74">
        <v>28.0</v>
      </c>
      <c r="L26" s="74">
        <v>16.0</v>
      </c>
      <c r="M26" s="74">
        <v>11.0</v>
      </c>
      <c r="N26" s="74">
        <v>342.0</v>
      </c>
    </row>
    <row r="27">
      <c r="A27" s="117" t="s">
        <v>125</v>
      </c>
      <c r="B27" s="74">
        <v>10.0</v>
      </c>
      <c r="C27" s="74">
        <v>12.0</v>
      </c>
      <c r="D27" s="74">
        <v>15.0</v>
      </c>
      <c r="E27" s="74">
        <v>21.0</v>
      </c>
      <c r="F27" s="74">
        <v>56.0</v>
      </c>
      <c r="G27" s="74">
        <v>58.0</v>
      </c>
      <c r="H27" s="74">
        <v>85.0</v>
      </c>
      <c r="I27" s="74">
        <v>64.0</v>
      </c>
      <c r="J27" s="74">
        <v>48.0</v>
      </c>
      <c r="K27" s="74">
        <v>47.0</v>
      </c>
      <c r="L27" s="74">
        <v>14.0</v>
      </c>
      <c r="M27" s="74">
        <v>6.0</v>
      </c>
      <c r="N27" s="74">
        <v>436.0</v>
      </c>
    </row>
    <row r="28">
      <c r="A28" s="117" t="s">
        <v>126</v>
      </c>
      <c r="B28" s="74">
        <v>10.0</v>
      </c>
      <c r="C28" s="74">
        <v>13.0</v>
      </c>
      <c r="D28" s="74">
        <v>19.0</v>
      </c>
      <c r="E28" s="74">
        <v>52.0</v>
      </c>
      <c r="F28" s="74">
        <v>86.0</v>
      </c>
      <c r="G28" s="74">
        <v>86.0</v>
      </c>
      <c r="H28" s="74">
        <v>142.0</v>
      </c>
      <c r="I28" s="74">
        <v>77.0</v>
      </c>
      <c r="J28" s="74">
        <v>71.0</v>
      </c>
      <c r="K28" s="74">
        <v>54.0</v>
      </c>
      <c r="L28" s="74">
        <v>23.0</v>
      </c>
      <c r="M28" s="74">
        <v>13.0</v>
      </c>
      <c r="N28" s="74">
        <v>646.0</v>
      </c>
    </row>
    <row r="29">
      <c r="A29" s="117" t="s">
        <v>127</v>
      </c>
      <c r="B29" s="74">
        <v>19.0</v>
      </c>
      <c r="C29" s="74">
        <v>26.0</v>
      </c>
      <c r="D29" s="74">
        <v>22.0</v>
      </c>
      <c r="E29" s="74">
        <v>47.0</v>
      </c>
      <c r="F29" s="74">
        <v>87.0</v>
      </c>
      <c r="G29" s="74">
        <v>76.0</v>
      </c>
      <c r="H29" s="74">
        <v>121.0</v>
      </c>
      <c r="I29" s="74">
        <v>102.0</v>
      </c>
      <c r="J29" s="74">
        <v>84.0</v>
      </c>
      <c r="K29" s="74">
        <v>57.0</v>
      </c>
      <c r="L29" s="74">
        <v>31.0</v>
      </c>
      <c r="M29" s="74">
        <v>11.0</v>
      </c>
      <c r="N29" s="74">
        <v>684.0</v>
      </c>
    </row>
    <row r="30">
      <c r="A30" s="117" t="s">
        <v>128</v>
      </c>
      <c r="B30" s="74">
        <v>14.0</v>
      </c>
      <c r="C30" s="74">
        <v>23.0</v>
      </c>
      <c r="D30" s="74">
        <v>22.0</v>
      </c>
      <c r="E30" s="74">
        <v>37.0</v>
      </c>
      <c r="F30" s="74">
        <v>94.0</v>
      </c>
      <c r="G30" s="74">
        <v>74.0</v>
      </c>
      <c r="H30" s="74">
        <v>123.0</v>
      </c>
      <c r="I30" s="74">
        <v>98.0</v>
      </c>
      <c r="J30" s="74">
        <v>86.0</v>
      </c>
      <c r="K30" s="74">
        <v>61.0</v>
      </c>
      <c r="L30" s="74">
        <v>33.0</v>
      </c>
      <c r="M30" s="74">
        <v>32.0</v>
      </c>
      <c r="N30" s="74">
        <v>697.0</v>
      </c>
    </row>
    <row r="31">
      <c r="A31" s="117" t="s">
        <v>129</v>
      </c>
      <c r="B31" s="74">
        <v>17.0</v>
      </c>
      <c r="C31" s="74">
        <v>8.0</v>
      </c>
      <c r="D31" s="74">
        <v>23.0</v>
      </c>
      <c r="E31" s="74">
        <v>35.0</v>
      </c>
      <c r="F31" s="74">
        <v>95.0</v>
      </c>
      <c r="G31" s="74">
        <v>69.0</v>
      </c>
      <c r="H31" s="74">
        <v>98.0</v>
      </c>
      <c r="I31" s="74">
        <v>78.0</v>
      </c>
      <c r="J31" s="74">
        <v>89.0</v>
      </c>
      <c r="K31" s="74">
        <v>38.0</v>
      </c>
      <c r="L31" s="74">
        <v>32.0</v>
      </c>
      <c r="M31" s="74">
        <v>28.0</v>
      </c>
      <c r="N31" s="74">
        <v>611.0</v>
      </c>
    </row>
    <row r="32">
      <c r="A32" s="117" t="s">
        <v>130</v>
      </c>
      <c r="B32" s="74">
        <v>15.0</v>
      </c>
      <c r="C32" s="74">
        <v>19.0</v>
      </c>
      <c r="D32" s="74">
        <v>23.0</v>
      </c>
      <c r="E32" s="74">
        <v>42.0</v>
      </c>
      <c r="F32" s="74">
        <v>113.0</v>
      </c>
      <c r="G32" s="74">
        <v>63.0</v>
      </c>
      <c r="H32" s="74">
        <v>101.0</v>
      </c>
      <c r="I32" s="74">
        <v>95.0</v>
      </c>
      <c r="J32" s="74">
        <v>84.0</v>
      </c>
      <c r="K32" s="74">
        <v>50.0</v>
      </c>
      <c r="L32" s="74">
        <v>39.0</v>
      </c>
      <c r="M32" s="74">
        <v>26.0</v>
      </c>
      <c r="N32" s="74">
        <v>670.0</v>
      </c>
    </row>
    <row r="33">
      <c r="A33" s="117" t="s">
        <v>131</v>
      </c>
      <c r="B33" s="74">
        <v>8.0</v>
      </c>
      <c r="C33" s="74">
        <v>11.0</v>
      </c>
      <c r="D33" s="74">
        <v>10.0</v>
      </c>
      <c r="E33" s="74">
        <v>32.0</v>
      </c>
      <c r="F33" s="74">
        <v>87.0</v>
      </c>
      <c r="G33" s="74">
        <v>39.0</v>
      </c>
      <c r="H33" s="74">
        <v>88.0</v>
      </c>
      <c r="I33" s="74">
        <v>84.0</v>
      </c>
      <c r="J33" s="74">
        <v>71.0</v>
      </c>
      <c r="K33" s="74">
        <v>44.0</v>
      </c>
      <c r="L33" s="74">
        <v>31.0</v>
      </c>
      <c r="M33" s="74">
        <v>35.0</v>
      </c>
      <c r="N33" s="74">
        <v>540.0</v>
      </c>
    </row>
    <row r="34">
      <c r="A34" s="117" t="s">
        <v>132</v>
      </c>
      <c r="B34" s="119">
        <v>8.0</v>
      </c>
      <c r="C34" s="119">
        <v>15.0</v>
      </c>
      <c r="D34" s="119">
        <v>12.0</v>
      </c>
      <c r="E34" s="119">
        <v>32.0</v>
      </c>
      <c r="F34" s="119">
        <v>83.0</v>
      </c>
      <c r="G34" s="119">
        <v>38.0</v>
      </c>
      <c r="H34" s="119">
        <v>86.0</v>
      </c>
      <c r="I34" s="119">
        <v>60.0</v>
      </c>
      <c r="J34" s="119">
        <v>65.0</v>
      </c>
      <c r="K34" s="119">
        <v>44.0</v>
      </c>
      <c r="L34" s="119">
        <v>27.0</v>
      </c>
      <c r="M34" s="119">
        <v>15.0</v>
      </c>
      <c r="N34" s="119">
        <v>486.0</v>
      </c>
    </row>
    <row r="35">
      <c r="A35" s="117" t="s">
        <v>133</v>
      </c>
      <c r="B35" s="119">
        <v>9.0</v>
      </c>
      <c r="C35" s="119">
        <v>12.0</v>
      </c>
      <c r="D35" s="119">
        <v>18.0</v>
      </c>
      <c r="E35" s="119">
        <v>38.0</v>
      </c>
      <c r="F35" s="119">
        <v>63.0</v>
      </c>
      <c r="G35" s="119">
        <v>38.0</v>
      </c>
      <c r="H35" s="119">
        <v>74.0</v>
      </c>
      <c r="I35" s="119">
        <v>60.0</v>
      </c>
      <c r="J35" s="119">
        <v>66.0</v>
      </c>
      <c r="K35" s="119">
        <v>64.0</v>
      </c>
      <c r="L35" s="119">
        <v>38.0</v>
      </c>
      <c r="M35" s="119">
        <v>60.0</v>
      </c>
      <c r="N35" s="119">
        <v>540.0</v>
      </c>
    </row>
    <row r="36">
      <c r="A36" s="117" t="s">
        <v>134</v>
      </c>
      <c r="B36" s="119">
        <v>16.0</v>
      </c>
      <c r="C36" s="119">
        <v>16.0</v>
      </c>
      <c r="D36" s="119">
        <v>33.0</v>
      </c>
      <c r="E36" s="119">
        <v>28.0</v>
      </c>
      <c r="F36" s="119">
        <v>233.0</v>
      </c>
      <c r="G36" s="119">
        <v>61.0</v>
      </c>
      <c r="H36" s="119">
        <v>84.0</v>
      </c>
      <c r="I36" s="119">
        <v>80.0</v>
      </c>
      <c r="J36" s="119">
        <v>67.0</v>
      </c>
      <c r="K36" s="119">
        <v>37.0</v>
      </c>
      <c r="L36" s="119">
        <v>24.0</v>
      </c>
      <c r="M36" s="119">
        <v>41.0</v>
      </c>
      <c r="N36" s="119">
        <v>720.0</v>
      </c>
    </row>
    <row r="37">
      <c r="A37" s="117" t="s">
        <v>135</v>
      </c>
      <c r="B37" s="119">
        <v>25.0</v>
      </c>
      <c r="C37" s="119">
        <v>23.0</v>
      </c>
      <c r="D37" s="119">
        <v>19.0</v>
      </c>
      <c r="E37" s="119">
        <v>44.0</v>
      </c>
      <c r="F37" s="119">
        <v>145.0</v>
      </c>
      <c r="G37" s="119">
        <v>63.0</v>
      </c>
      <c r="H37" s="119">
        <v>94.0</v>
      </c>
      <c r="I37" s="119">
        <v>75.0</v>
      </c>
      <c r="J37" s="119">
        <v>89.0</v>
      </c>
      <c r="K37" s="119">
        <v>50.0</v>
      </c>
      <c r="L37" s="119">
        <v>37.0</v>
      </c>
      <c r="M37" s="119">
        <v>49.0</v>
      </c>
      <c r="N37" s="119">
        <v>713.0</v>
      </c>
    </row>
    <row r="38">
      <c r="A38" s="117" t="s">
        <v>136</v>
      </c>
      <c r="B38" s="119">
        <v>16.0</v>
      </c>
      <c r="C38" s="119">
        <v>24.0</v>
      </c>
      <c r="D38" s="119">
        <v>38.0</v>
      </c>
      <c r="E38" s="119">
        <v>53.0</v>
      </c>
      <c r="F38" s="119">
        <v>242.0</v>
      </c>
      <c r="G38" s="119">
        <v>94.0</v>
      </c>
      <c r="H38" s="119">
        <v>142.0</v>
      </c>
      <c r="I38" s="119">
        <v>88.0</v>
      </c>
      <c r="J38" s="119">
        <v>115.0</v>
      </c>
      <c r="K38" s="119">
        <v>66.0</v>
      </c>
      <c r="L38" s="119">
        <v>37.0</v>
      </c>
      <c r="M38" s="119">
        <v>46.0</v>
      </c>
      <c r="N38" s="119">
        <v>961.0</v>
      </c>
    </row>
    <row r="39">
      <c r="A39" s="117" t="s">
        <v>137</v>
      </c>
      <c r="B39" s="119">
        <v>15.0</v>
      </c>
      <c r="C39" s="119">
        <v>28.0</v>
      </c>
      <c r="D39" s="119">
        <v>47.0</v>
      </c>
      <c r="E39" s="119">
        <v>68.0</v>
      </c>
      <c r="F39" s="119">
        <v>261.0</v>
      </c>
      <c r="G39" s="119">
        <v>106.0</v>
      </c>
      <c r="H39" s="119">
        <v>166.0</v>
      </c>
      <c r="I39" s="119">
        <v>152.0</v>
      </c>
      <c r="J39" s="119">
        <v>193.0</v>
      </c>
      <c r="K39" s="119">
        <v>106.0</v>
      </c>
      <c r="L39" s="119">
        <v>42.0</v>
      </c>
      <c r="M39" s="119">
        <v>38.0</v>
      </c>
      <c r="N39" s="119">
        <v>1222.0</v>
      </c>
    </row>
    <row r="40">
      <c r="A40" s="117" t="s">
        <v>138</v>
      </c>
      <c r="B40" s="119">
        <v>29.0</v>
      </c>
      <c r="C40" s="119">
        <v>44.0</v>
      </c>
      <c r="D40" s="119">
        <v>46.0</v>
      </c>
      <c r="E40" s="119">
        <v>89.0</v>
      </c>
      <c r="F40" s="119">
        <v>215.0</v>
      </c>
      <c r="G40" s="119">
        <v>156.0</v>
      </c>
      <c r="H40" s="119">
        <v>229.0</v>
      </c>
      <c r="I40" s="119">
        <v>202.0</v>
      </c>
      <c r="J40" s="119">
        <v>238.0</v>
      </c>
      <c r="K40" s="119">
        <v>172.0</v>
      </c>
      <c r="L40" s="119">
        <v>67.0</v>
      </c>
      <c r="M40" s="119">
        <v>50.0</v>
      </c>
      <c r="N40" s="119">
        <v>1537.0</v>
      </c>
    </row>
    <row r="41">
      <c r="A41" s="117" t="s">
        <v>139</v>
      </c>
      <c r="B41" s="119">
        <v>43.0</v>
      </c>
      <c r="C41" s="119">
        <v>59.0</v>
      </c>
      <c r="D41" s="119">
        <v>92.0</v>
      </c>
      <c r="E41" s="119">
        <v>121.0</v>
      </c>
      <c r="F41" s="119">
        <v>275.0</v>
      </c>
      <c r="G41" s="119">
        <v>270.0</v>
      </c>
      <c r="H41" s="119">
        <v>481.0</v>
      </c>
      <c r="I41" s="119">
        <v>380.0</v>
      </c>
      <c r="J41" s="119">
        <v>337.0</v>
      </c>
      <c r="K41" s="119">
        <v>235.0</v>
      </c>
      <c r="L41" s="119">
        <v>111.0</v>
      </c>
      <c r="M41" s="119">
        <v>64.0</v>
      </c>
      <c r="N41" s="119">
        <v>2468.0</v>
      </c>
    </row>
    <row r="42">
      <c r="A42" s="117" t="s">
        <v>140</v>
      </c>
      <c r="B42" s="119">
        <v>61.0</v>
      </c>
      <c r="C42" s="119">
        <v>71.0</v>
      </c>
      <c r="D42" s="119">
        <v>124.0</v>
      </c>
      <c r="E42" s="119">
        <v>141.0</v>
      </c>
      <c r="F42" s="119">
        <v>314.0</v>
      </c>
      <c r="G42" s="119">
        <v>267.0</v>
      </c>
      <c r="H42" s="119">
        <v>463.0</v>
      </c>
      <c r="I42" s="119">
        <v>449.0</v>
      </c>
      <c r="J42" s="119">
        <v>420.0</v>
      </c>
      <c r="K42" s="119">
        <v>289.0</v>
      </c>
      <c r="L42" s="119">
        <v>154.0</v>
      </c>
      <c r="M42" s="119">
        <v>97.0</v>
      </c>
      <c r="N42" s="119">
        <v>2850.0</v>
      </c>
    </row>
    <row r="43">
      <c r="A43" s="117" t="s">
        <v>141</v>
      </c>
      <c r="B43" s="119">
        <v>65.0</v>
      </c>
      <c r="C43" s="119">
        <v>115.0</v>
      </c>
      <c r="D43" s="119">
        <v>152.0</v>
      </c>
      <c r="E43" s="119">
        <v>199.0</v>
      </c>
      <c r="F43" s="119">
        <v>390.0</v>
      </c>
      <c r="G43" s="119">
        <v>347.0</v>
      </c>
      <c r="H43" s="119">
        <v>585.0</v>
      </c>
      <c r="I43" s="119">
        <v>492.0</v>
      </c>
      <c r="J43" s="119">
        <v>592.0</v>
      </c>
      <c r="K43" s="119">
        <v>397.0</v>
      </c>
      <c r="L43" s="119">
        <v>206.0</v>
      </c>
      <c r="M43" s="119">
        <v>192.0</v>
      </c>
      <c r="N43" s="119">
        <v>3732.0</v>
      </c>
    </row>
    <row r="44">
      <c r="A44" s="117" t="s">
        <v>142</v>
      </c>
      <c r="B44" s="119">
        <v>115.0</v>
      </c>
      <c r="C44" s="119">
        <v>124.0</v>
      </c>
      <c r="D44" s="119">
        <v>207.0</v>
      </c>
      <c r="E44" s="119">
        <v>274.0</v>
      </c>
      <c r="F44" s="119">
        <v>610.0</v>
      </c>
      <c r="G44" s="119">
        <v>564.0</v>
      </c>
      <c r="H44" s="119">
        <v>916.0</v>
      </c>
      <c r="I44" s="119">
        <v>766.0</v>
      </c>
      <c r="J44" s="119">
        <v>889.0</v>
      </c>
      <c r="K44" s="119">
        <v>608.0</v>
      </c>
      <c r="L44" s="119">
        <v>268.0</v>
      </c>
      <c r="M44" s="119">
        <v>207.0</v>
      </c>
      <c r="N44" s="119">
        <v>5548.0</v>
      </c>
    </row>
    <row r="45">
      <c r="A45" s="117" t="s">
        <v>143</v>
      </c>
      <c r="B45" s="119">
        <v>133.0</v>
      </c>
      <c r="C45" s="119">
        <v>151.0</v>
      </c>
      <c r="D45" s="119">
        <v>237.0</v>
      </c>
      <c r="E45" s="119">
        <v>303.0</v>
      </c>
      <c r="F45" s="119">
        <v>778.0</v>
      </c>
      <c r="G45" s="119">
        <v>611.0</v>
      </c>
      <c r="H45" s="119">
        <v>1070.0</v>
      </c>
      <c r="I45" s="119">
        <v>886.0</v>
      </c>
      <c r="J45" s="119">
        <v>1038.0</v>
      </c>
      <c r="K45" s="119">
        <v>692.0</v>
      </c>
      <c r="L45" s="119">
        <v>320.0</v>
      </c>
      <c r="M45" s="119">
        <v>237.0</v>
      </c>
      <c r="N45" s="119">
        <v>6456.0</v>
      </c>
    </row>
    <row r="46">
      <c r="A46" s="117" t="s">
        <v>144</v>
      </c>
      <c r="B46" s="119">
        <v>128.0</v>
      </c>
      <c r="C46" s="119">
        <v>181.0</v>
      </c>
      <c r="D46" s="119">
        <v>204.0</v>
      </c>
      <c r="E46" s="119">
        <v>253.0</v>
      </c>
      <c r="F46" s="119">
        <v>559.0</v>
      </c>
      <c r="G46" s="119">
        <v>521.0</v>
      </c>
      <c r="H46" s="119">
        <v>966.0</v>
      </c>
      <c r="I46" s="119">
        <v>805.0</v>
      </c>
      <c r="J46" s="119">
        <v>935.0</v>
      </c>
      <c r="K46" s="119">
        <v>628.0</v>
      </c>
      <c r="L46" s="119">
        <v>331.0</v>
      </c>
      <c r="M46" s="119">
        <v>370.0</v>
      </c>
      <c r="N46" s="119">
        <v>5881.0</v>
      </c>
    </row>
    <row r="47">
      <c r="A47" s="117" t="s">
        <v>145</v>
      </c>
      <c r="B47" s="119">
        <v>185.0</v>
      </c>
      <c r="C47" s="119">
        <v>246.0</v>
      </c>
      <c r="D47" s="119">
        <v>361.0</v>
      </c>
      <c r="E47" s="119">
        <v>412.0</v>
      </c>
      <c r="F47" s="119">
        <v>909.0</v>
      </c>
      <c r="G47" s="119">
        <v>758.0</v>
      </c>
      <c r="H47" s="119">
        <v>1382.0</v>
      </c>
      <c r="I47" s="119">
        <v>1224.0</v>
      </c>
      <c r="J47" s="119">
        <v>1362.0</v>
      </c>
      <c r="K47" s="119">
        <v>1007.0</v>
      </c>
      <c r="L47" s="119">
        <v>481.0</v>
      </c>
      <c r="M47" s="119">
        <v>454.0</v>
      </c>
      <c r="N47" s="119">
        <v>8781.0</v>
      </c>
    </row>
    <row r="48">
      <c r="A48" s="117" t="s">
        <v>146</v>
      </c>
      <c r="B48" s="119">
        <v>218.0</v>
      </c>
      <c r="C48" s="119">
        <v>259.0</v>
      </c>
      <c r="D48" s="119">
        <v>301.0</v>
      </c>
      <c r="E48" s="119">
        <v>363.0</v>
      </c>
      <c r="F48" s="119">
        <v>821.0</v>
      </c>
      <c r="G48" s="119">
        <v>708.0</v>
      </c>
      <c r="H48" s="119">
        <v>1244.0</v>
      </c>
      <c r="I48" s="119">
        <v>1109.0</v>
      </c>
      <c r="J48" s="119">
        <v>1321.0</v>
      </c>
      <c r="K48" s="119">
        <v>900.0</v>
      </c>
      <c r="L48" s="119">
        <v>450.0</v>
      </c>
      <c r="M48" s="119">
        <v>381.0</v>
      </c>
      <c r="N48" s="119">
        <v>8075.0</v>
      </c>
    </row>
    <row r="49" ht="15.75" customHeight="1">
      <c r="A49" s="117" t="s">
        <v>147</v>
      </c>
      <c r="B49" s="119">
        <v>164.0</v>
      </c>
      <c r="C49" s="119">
        <v>176.0</v>
      </c>
      <c r="D49" s="119">
        <v>242.0</v>
      </c>
      <c r="E49" s="119">
        <v>294.0</v>
      </c>
      <c r="F49" s="119">
        <v>561.0</v>
      </c>
      <c r="G49" s="119">
        <v>514.0</v>
      </c>
      <c r="H49" s="119">
        <v>926.0</v>
      </c>
      <c r="I49" s="119">
        <v>787.0</v>
      </c>
      <c r="J49" s="119">
        <v>932.0</v>
      </c>
      <c r="K49" s="119">
        <v>723.0</v>
      </c>
      <c r="L49" s="119">
        <v>360.0</v>
      </c>
      <c r="M49" s="119">
        <v>365.0</v>
      </c>
      <c r="N49" s="119">
        <v>6045.0</v>
      </c>
    </row>
    <row r="50" ht="15.75" customHeight="1">
      <c r="A50" s="117" t="s">
        <v>148</v>
      </c>
      <c r="B50" s="119">
        <v>120.0</v>
      </c>
      <c r="C50" s="119">
        <v>142.0</v>
      </c>
      <c r="D50" s="119">
        <v>190.0</v>
      </c>
      <c r="E50" s="119">
        <v>222.0</v>
      </c>
      <c r="F50" s="119">
        <v>501.0</v>
      </c>
      <c r="G50" s="119">
        <v>409.0</v>
      </c>
      <c r="H50" s="119">
        <v>718.0</v>
      </c>
      <c r="I50" s="119">
        <v>634.0</v>
      </c>
      <c r="J50" s="119">
        <v>756.0</v>
      </c>
      <c r="K50" s="119">
        <v>598.0</v>
      </c>
      <c r="L50" s="119">
        <v>297.0</v>
      </c>
      <c r="M50" s="119">
        <v>329.0</v>
      </c>
      <c r="N50" s="119">
        <v>4916.0</v>
      </c>
    </row>
    <row r="51" ht="15.75" customHeight="1">
      <c r="A51" s="117" t="s">
        <v>149</v>
      </c>
      <c r="B51" s="119">
        <v>153.0</v>
      </c>
      <c r="C51" s="119">
        <v>191.0</v>
      </c>
      <c r="D51" s="119">
        <v>277.0</v>
      </c>
      <c r="E51" s="119">
        <v>334.0</v>
      </c>
      <c r="F51" s="119">
        <v>705.0</v>
      </c>
      <c r="G51" s="119">
        <v>652.0</v>
      </c>
      <c r="H51" s="119">
        <v>1060.0</v>
      </c>
      <c r="I51" s="119">
        <v>867.0</v>
      </c>
      <c r="J51" s="119">
        <v>956.0</v>
      </c>
      <c r="K51" s="119">
        <v>786.0</v>
      </c>
      <c r="L51" s="119">
        <v>409.0</v>
      </c>
      <c r="M51" s="119">
        <v>355.0</v>
      </c>
      <c r="N51" s="119">
        <v>6745.0</v>
      </c>
    </row>
    <row r="52" ht="15.75" customHeight="1">
      <c r="A52" s="117" t="s">
        <v>150</v>
      </c>
      <c r="B52" s="119">
        <v>195.0</v>
      </c>
      <c r="C52" s="119">
        <v>224.0</v>
      </c>
      <c r="D52" s="119">
        <v>320.0</v>
      </c>
      <c r="E52" s="119">
        <v>421.0</v>
      </c>
      <c r="F52" s="119">
        <v>861.0</v>
      </c>
      <c r="G52" s="119">
        <v>730.0</v>
      </c>
      <c r="H52" s="119">
        <v>1291.0</v>
      </c>
      <c r="I52" s="119">
        <v>974.0</v>
      </c>
      <c r="J52" s="119">
        <v>1144.0</v>
      </c>
      <c r="K52" s="119">
        <v>802.0</v>
      </c>
      <c r="L52" s="119">
        <v>376.0</v>
      </c>
      <c r="M52" s="119">
        <v>296.0</v>
      </c>
      <c r="N52" s="119">
        <v>7635.0</v>
      </c>
    </row>
    <row r="53" ht="15.75" customHeight="1">
      <c r="A53" s="117" t="s">
        <v>151</v>
      </c>
      <c r="B53" s="119">
        <v>154.0</v>
      </c>
      <c r="C53" s="119">
        <v>223.0</v>
      </c>
      <c r="D53" s="119">
        <v>278.0</v>
      </c>
      <c r="E53" s="119">
        <v>359.0</v>
      </c>
      <c r="F53" s="119">
        <v>642.0</v>
      </c>
      <c r="G53" s="119">
        <v>501.0</v>
      </c>
      <c r="H53" s="119">
        <v>808.0</v>
      </c>
      <c r="I53" s="119">
        <v>770.0</v>
      </c>
      <c r="J53" s="119">
        <v>856.0</v>
      </c>
      <c r="K53" s="119">
        <v>575.0</v>
      </c>
      <c r="L53" s="119">
        <v>319.0</v>
      </c>
      <c r="M53" s="119">
        <v>274.0</v>
      </c>
      <c r="N53" s="119">
        <v>5759.0</v>
      </c>
    </row>
    <row r="54" ht="15.75" customHeight="1">
      <c r="A54" s="117" t="s">
        <v>152</v>
      </c>
      <c r="B54" s="119">
        <v>140.0</v>
      </c>
      <c r="C54" s="119">
        <v>198.0</v>
      </c>
      <c r="D54" s="119">
        <v>226.0</v>
      </c>
      <c r="E54" s="119">
        <v>258.0</v>
      </c>
      <c r="F54" s="119">
        <v>523.0</v>
      </c>
      <c r="G54" s="119">
        <v>383.0</v>
      </c>
      <c r="H54" s="119">
        <v>730.0</v>
      </c>
      <c r="I54" s="119">
        <v>601.0</v>
      </c>
      <c r="J54" s="119">
        <v>762.0</v>
      </c>
      <c r="K54" s="119">
        <v>583.0</v>
      </c>
      <c r="L54" s="119">
        <v>284.0</v>
      </c>
      <c r="M54" s="119">
        <v>242.0</v>
      </c>
      <c r="N54" s="119">
        <v>4930.0</v>
      </c>
    </row>
    <row r="55" ht="15.75" customHeight="1">
      <c r="A55" s="117" t="s">
        <v>153</v>
      </c>
      <c r="B55" s="119">
        <v>118.0</v>
      </c>
      <c r="C55" s="119">
        <v>166.0</v>
      </c>
      <c r="D55" s="119">
        <v>189.0</v>
      </c>
      <c r="E55" s="119">
        <v>202.0</v>
      </c>
      <c r="F55" s="119">
        <v>498.0</v>
      </c>
      <c r="G55" s="119">
        <v>311.0</v>
      </c>
      <c r="H55" s="119">
        <v>593.0</v>
      </c>
      <c r="I55" s="119">
        <v>493.0</v>
      </c>
      <c r="J55" s="119">
        <v>525.0</v>
      </c>
      <c r="K55" s="119">
        <v>453.0</v>
      </c>
      <c r="L55" s="119">
        <v>233.0</v>
      </c>
      <c r="M55" s="119">
        <v>184.0</v>
      </c>
      <c r="N55" s="119">
        <v>3965.0</v>
      </c>
    </row>
    <row r="56" ht="15.75" customHeight="1">
      <c r="A56" s="117" t="s">
        <v>154</v>
      </c>
      <c r="B56" s="119">
        <v>92.0</v>
      </c>
      <c r="C56" s="119">
        <v>130.0</v>
      </c>
      <c r="D56" s="119">
        <v>117.0</v>
      </c>
      <c r="E56" s="119">
        <v>171.0</v>
      </c>
      <c r="F56" s="119">
        <v>440.0</v>
      </c>
      <c r="G56" s="119">
        <v>230.0</v>
      </c>
      <c r="H56" s="119">
        <v>443.0</v>
      </c>
      <c r="I56" s="119">
        <v>358.0</v>
      </c>
      <c r="J56" s="119">
        <v>399.0</v>
      </c>
      <c r="K56" s="119">
        <v>319.0</v>
      </c>
      <c r="L56" s="119">
        <v>192.0</v>
      </c>
      <c r="M56" s="119">
        <v>132.0</v>
      </c>
      <c r="N56" s="119">
        <v>3023.0</v>
      </c>
    </row>
    <row r="57" ht="15.75" customHeight="1">
      <c r="A57" s="117" t="s">
        <v>155</v>
      </c>
      <c r="B57" s="119">
        <v>70.0</v>
      </c>
      <c r="C57" s="119">
        <v>96.0</v>
      </c>
      <c r="D57" s="119">
        <v>117.0</v>
      </c>
      <c r="E57" s="119">
        <v>145.0</v>
      </c>
      <c r="F57" s="119">
        <v>422.0</v>
      </c>
      <c r="G57" s="119">
        <v>218.0</v>
      </c>
      <c r="H57" s="119">
        <v>358.0</v>
      </c>
      <c r="I57" s="119">
        <v>267.0</v>
      </c>
      <c r="J57" s="119">
        <v>299.0</v>
      </c>
      <c r="K57" s="119">
        <v>226.0</v>
      </c>
      <c r="L57" s="119">
        <v>131.0</v>
      </c>
      <c r="M57" s="119">
        <v>76.0</v>
      </c>
      <c r="N57" s="119">
        <v>2427.0</v>
      </c>
    </row>
    <row r="58" ht="15.75" customHeight="1">
      <c r="A58" s="117" t="s">
        <v>156</v>
      </c>
      <c r="B58" s="119">
        <v>67.0</v>
      </c>
      <c r="C58" s="119">
        <v>79.0</v>
      </c>
      <c r="D58" s="119">
        <v>75.0</v>
      </c>
      <c r="E58" s="119">
        <v>119.0</v>
      </c>
      <c r="F58" s="119">
        <v>398.0</v>
      </c>
      <c r="G58" s="119">
        <v>161.0</v>
      </c>
      <c r="H58" s="119">
        <v>307.0</v>
      </c>
      <c r="I58" s="119">
        <v>262.0</v>
      </c>
      <c r="J58" s="119">
        <v>293.0</v>
      </c>
      <c r="K58" s="119">
        <v>207.0</v>
      </c>
      <c r="L58" s="119">
        <v>97.0</v>
      </c>
      <c r="M58" s="119">
        <v>43.0</v>
      </c>
      <c r="N58" s="119">
        <v>2108.0</v>
      </c>
    </row>
    <row r="59" ht="15.75" customHeight="1">
      <c r="A59" s="117" t="s">
        <v>157</v>
      </c>
      <c r="B59" s="119">
        <v>77.0</v>
      </c>
      <c r="C59" s="119">
        <v>95.0</v>
      </c>
      <c r="D59" s="119">
        <v>90.0</v>
      </c>
      <c r="E59" s="119">
        <v>198.0</v>
      </c>
      <c r="F59" s="119">
        <v>447.0</v>
      </c>
      <c r="G59" s="119">
        <v>179.0</v>
      </c>
      <c r="H59" s="119">
        <v>344.0</v>
      </c>
      <c r="I59" s="119">
        <v>292.0</v>
      </c>
      <c r="J59" s="119">
        <v>281.0</v>
      </c>
      <c r="K59" s="119">
        <v>213.0</v>
      </c>
      <c r="L59" s="119">
        <v>93.0</v>
      </c>
      <c r="M59" s="119">
        <v>37.0</v>
      </c>
      <c r="N59" s="119">
        <v>2346.0</v>
      </c>
    </row>
    <row r="60" ht="15.75" customHeight="1">
      <c r="A60" s="117" t="s">
        <v>158</v>
      </c>
      <c r="B60" s="119">
        <v>61.0</v>
      </c>
      <c r="C60" s="119">
        <v>93.0</v>
      </c>
      <c r="D60" s="119">
        <v>119.0</v>
      </c>
      <c r="E60" s="119">
        <v>126.0</v>
      </c>
      <c r="F60" s="119">
        <v>436.0</v>
      </c>
      <c r="G60" s="119">
        <v>164.0</v>
      </c>
      <c r="H60" s="119">
        <v>313.0</v>
      </c>
      <c r="I60" s="119">
        <v>261.0</v>
      </c>
      <c r="J60" s="119">
        <v>267.0</v>
      </c>
      <c r="K60" s="119">
        <v>171.0</v>
      </c>
      <c r="L60" s="119">
        <v>73.0</v>
      </c>
      <c r="M60" s="119">
        <v>34.0</v>
      </c>
      <c r="N60" s="119">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1" t="s">
        <v>159</v>
      </c>
      <c r="I1" s="102"/>
      <c r="J1" s="102"/>
      <c r="K1" s="103"/>
      <c r="L1" s="104"/>
      <c r="M1" s="105"/>
      <c r="N1" s="104"/>
    </row>
    <row r="2">
      <c r="A2" s="106" t="s">
        <v>160</v>
      </c>
    </row>
    <row r="3">
      <c r="A3" s="106" t="s">
        <v>0</v>
      </c>
      <c r="B3" s="108">
        <v>44265.0</v>
      </c>
      <c r="C3" s="104"/>
      <c r="D3" s="104"/>
      <c r="E3" s="104"/>
      <c r="F3" s="104"/>
      <c r="G3" s="104"/>
      <c r="H3" s="104"/>
      <c r="I3" s="104"/>
      <c r="J3" s="104"/>
      <c r="K3" s="107"/>
      <c r="L3" s="104"/>
      <c r="M3" s="104"/>
      <c r="N3" s="104"/>
    </row>
    <row r="4">
      <c r="A4" s="109"/>
      <c r="B4" s="104"/>
      <c r="C4" s="104"/>
      <c r="D4" s="104"/>
      <c r="E4" s="104"/>
      <c r="F4" s="104"/>
      <c r="G4" s="104"/>
      <c r="H4" s="104"/>
      <c r="I4" s="104"/>
      <c r="J4" s="104"/>
      <c r="K4" s="104"/>
      <c r="L4" s="104"/>
      <c r="M4" s="104"/>
      <c r="N4" s="104"/>
    </row>
    <row r="5" ht="45.0" customHeight="1">
      <c r="A5" s="110" t="s">
        <v>161</v>
      </c>
      <c r="B5" s="111"/>
      <c r="C5" s="111"/>
      <c r="D5" s="111"/>
      <c r="E5" s="111"/>
      <c r="F5" s="111"/>
      <c r="G5" s="111"/>
      <c r="H5" s="111"/>
      <c r="I5" s="111"/>
      <c r="J5" s="111"/>
      <c r="K5" s="41"/>
      <c r="L5" s="112"/>
      <c r="M5" s="112"/>
      <c r="N5" s="112"/>
    </row>
    <row r="6">
      <c r="A6" s="104"/>
      <c r="B6" s="113"/>
      <c r="C6" s="104"/>
      <c r="D6" s="104"/>
      <c r="E6" s="104"/>
      <c r="F6" s="104"/>
      <c r="G6" s="104"/>
      <c r="H6" s="104"/>
      <c r="I6" s="104"/>
      <c r="J6" s="104"/>
      <c r="K6" s="104"/>
      <c r="L6" s="104"/>
      <c r="M6" s="104"/>
      <c r="N6" s="104"/>
    </row>
    <row r="7">
      <c r="A7" s="114" t="s">
        <v>103</v>
      </c>
      <c r="B7" s="115" t="s">
        <v>54</v>
      </c>
      <c r="C7" s="116">
        <v>43960.0</v>
      </c>
      <c r="D7" s="116">
        <v>44118.0</v>
      </c>
      <c r="E7" s="115" t="s">
        <v>57</v>
      </c>
      <c r="F7" s="115" t="s">
        <v>58</v>
      </c>
      <c r="G7" s="115" t="s">
        <v>59</v>
      </c>
      <c r="H7" s="115" t="s">
        <v>60</v>
      </c>
      <c r="I7" s="115" t="s">
        <v>61</v>
      </c>
      <c r="J7" s="115" t="s">
        <v>62</v>
      </c>
      <c r="K7" s="115" t="s">
        <v>63</v>
      </c>
      <c r="L7" s="115" t="s">
        <v>64</v>
      </c>
      <c r="M7" s="115" t="s">
        <v>104</v>
      </c>
      <c r="N7" s="115" t="s">
        <v>105</v>
      </c>
    </row>
    <row r="8">
      <c r="A8" s="120" t="s">
        <v>162</v>
      </c>
      <c r="B8" s="121">
        <v>54674.0</v>
      </c>
      <c r="C8" s="121">
        <v>55056.0</v>
      </c>
      <c r="D8" s="121">
        <v>59042.0</v>
      </c>
      <c r="E8" s="121">
        <v>53510.0</v>
      </c>
      <c r="F8" s="121">
        <v>94840.0</v>
      </c>
      <c r="G8" s="121">
        <v>76614.0</v>
      </c>
      <c r="H8" s="121">
        <v>135376.0</v>
      </c>
      <c r="I8" s="121">
        <v>124761.0</v>
      </c>
      <c r="J8" s="121">
        <v>150318.0</v>
      </c>
      <c r="K8" s="121">
        <v>129990.0</v>
      </c>
      <c r="L8" s="121">
        <v>75393.0</v>
      </c>
      <c r="M8" s="121">
        <v>48713.0</v>
      </c>
      <c r="N8" s="122">
        <v>1056611.0</v>
      </c>
    </row>
    <row r="9">
      <c r="A9" s="117" t="s">
        <v>106</v>
      </c>
      <c r="B9" s="72">
        <v>0.0</v>
      </c>
      <c r="C9" s="72">
        <v>0.0</v>
      </c>
      <c r="D9" s="72">
        <v>0.0</v>
      </c>
      <c r="E9" s="72" t="s">
        <v>163</v>
      </c>
      <c r="F9" s="72">
        <v>0.0</v>
      </c>
      <c r="G9" s="72">
        <v>0.0</v>
      </c>
      <c r="H9" s="72">
        <v>0.0</v>
      </c>
      <c r="I9" s="72" t="s">
        <v>163</v>
      </c>
      <c r="J9" s="72">
        <v>0.0</v>
      </c>
      <c r="K9" s="72" t="s">
        <v>163</v>
      </c>
      <c r="L9" s="72">
        <v>0.0</v>
      </c>
      <c r="M9" s="72">
        <v>0.0</v>
      </c>
      <c r="N9" s="72" t="s">
        <v>163</v>
      </c>
    </row>
    <row r="10">
      <c r="A10" s="117" t="s">
        <v>107</v>
      </c>
      <c r="B10" s="72" t="s">
        <v>163</v>
      </c>
      <c r="C10" s="72" t="s">
        <v>163</v>
      </c>
      <c r="D10" s="72">
        <v>0.0</v>
      </c>
      <c r="E10" s="72" t="s">
        <v>163</v>
      </c>
      <c r="F10" s="72">
        <v>0.0</v>
      </c>
      <c r="G10" s="72" t="s">
        <v>163</v>
      </c>
      <c r="H10" s="72" t="s">
        <v>163</v>
      </c>
      <c r="I10" s="72" t="s">
        <v>163</v>
      </c>
      <c r="J10" s="72" t="s">
        <v>163</v>
      </c>
      <c r="K10" s="72" t="s">
        <v>163</v>
      </c>
      <c r="L10" s="72" t="s">
        <v>163</v>
      </c>
      <c r="M10" s="72">
        <v>0.0</v>
      </c>
      <c r="N10" s="72">
        <v>1.0</v>
      </c>
    </row>
    <row r="11">
      <c r="A11" s="117" t="s">
        <v>108</v>
      </c>
      <c r="B11" s="72">
        <v>0.0</v>
      </c>
      <c r="C11" s="72">
        <v>0.0</v>
      </c>
      <c r="D11" s="72">
        <v>0.0</v>
      </c>
      <c r="E11" s="72" t="s">
        <v>163</v>
      </c>
      <c r="F11" s="72">
        <v>8.0</v>
      </c>
      <c r="G11" s="72">
        <v>8.0</v>
      </c>
      <c r="H11" s="72">
        <v>7.0</v>
      </c>
      <c r="I11" s="72">
        <v>11.0</v>
      </c>
      <c r="J11" s="72">
        <v>10.0</v>
      </c>
      <c r="K11" s="72">
        <v>5.0</v>
      </c>
      <c r="L11" s="72">
        <v>9.0</v>
      </c>
      <c r="M11" s="72">
        <v>0.0</v>
      </c>
      <c r="N11" s="72">
        <v>6.0</v>
      </c>
    </row>
    <row r="12">
      <c r="A12" s="117" t="s">
        <v>109</v>
      </c>
      <c r="B12" s="72">
        <v>0.0</v>
      </c>
      <c r="C12" s="72">
        <v>0.0</v>
      </c>
      <c r="D12" s="72">
        <v>0.0</v>
      </c>
      <c r="E12" s="72">
        <v>0.0</v>
      </c>
      <c r="F12" s="72">
        <v>13.0</v>
      </c>
      <c r="G12" s="72">
        <v>25.0</v>
      </c>
      <c r="H12" s="72">
        <v>27.0</v>
      </c>
      <c r="I12" s="72">
        <v>25.0</v>
      </c>
      <c r="J12" s="72">
        <v>32.0</v>
      </c>
      <c r="K12" s="72">
        <v>26.0</v>
      </c>
      <c r="L12" s="72">
        <v>25.0</v>
      </c>
      <c r="M12" s="72">
        <v>29.0</v>
      </c>
      <c r="N12" s="72">
        <v>20.0</v>
      </c>
    </row>
    <row r="13">
      <c r="A13" s="117" t="s">
        <v>110</v>
      </c>
      <c r="B13" s="72">
        <v>0.0</v>
      </c>
      <c r="C13" s="72" t="s">
        <v>163</v>
      </c>
      <c r="D13" s="72">
        <v>0.0</v>
      </c>
      <c r="E13" s="72">
        <v>13.0</v>
      </c>
      <c r="F13" s="72">
        <v>24.0</v>
      </c>
      <c r="G13" s="72">
        <v>56.0</v>
      </c>
      <c r="H13" s="72">
        <v>66.0</v>
      </c>
      <c r="I13" s="72">
        <v>68.0</v>
      </c>
      <c r="J13" s="72">
        <v>79.0</v>
      </c>
      <c r="K13" s="72">
        <v>90.0</v>
      </c>
      <c r="L13" s="72">
        <v>82.0</v>
      </c>
      <c r="M13" s="72">
        <v>160.0</v>
      </c>
      <c r="N13" s="72">
        <v>59.0</v>
      </c>
    </row>
    <row r="14">
      <c r="A14" s="117" t="s">
        <v>111</v>
      </c>
      <c r="B14" s="72">
        <v>16.0</v>
      </c>
      <c r="C14" s="72" t="s">
        <v>163</v>
      </c>
      <c r="D14" s="72">
        <v>12.0</v>
      </c>
      <c r="E14" s="72">
        <v>67.0</v>
      </c>
      <c r="F14" s="72">
        <v>134.0</v>
      </c>
      <c r="G14" s="72">
        <v>178.0</v>
      </c>
      <c r="H14" s="72">
        <v>167.0</v>
      </c>
      <c r="I14" s="72">
        <v>230.0</v>
      </c>
      <c r="J14" s="72">
        <v>238.0</v>
      </c>
      <c r="K14" s="72">
        <v>202.0</v>
      </c>
      <c r="L14" s="72">
        <v>208.0</v>
      </c>
      <c r="M14" s="72">
        <v>448.0</v>
      </c>
      <c r="N14" s="72">
        <v>173.0</v>
      </c>
    </row>
    <row r="15">
      <c r="A15" s="117" t="s">
        <v>112</v>
      </c>
      <c r="B15" s="72">
        <v>35.0</v>
      </c>
      <c r="C15" s="72">
        <v>33.0</v>
      </c>
      <c r="D15" s="72">
        <v>36.0</v>
      </c>
      <c r="E15" s="72">
        <v>80.0</v>
      </c>
      <c r="F15" s="72">
        <v>152.0</v>
      </c>
      <c r="G15" s="72">
        <v>206.0</v>
      </c>
      <c r="H15" s="72">
        <v>228.0</v>
      </c>
      <c r="I15" s="72">
        <v>272.0</v>
      </c>
      <c r="J15" s="72">
        <v>226.0</v>
      </c>
      <c r="K15" s="72">
        <v>167.0</v>
      </c>
      <c r="L15" s="72">
        <v>179.0</v>
      </c>
      <c r="M15" s="72">
        <v>388.0</v>
      </c>
      <c r="N15" s="72">
        <v>183.0</v>
      </c>
    </row>
    <row r="16">
      <c r="A16" s="117" t="s">
        <v>113</v>
      </c>
      <c r="B16" s="72">
        <v>48.0</v>
      </c>
      <c r="C16" s="72">
        <v>35.0</v>
      </c>
      <c r="D16" s="72">
        <v>51.0</v>
      </c>
      <c r="E16" s="72">
        <v>108.0</v>
      </c>
      <c r="F16" s="72">
        <v>217.0</v>
      </c>
      <c r="G16" s="72">
        <v>236.0</v>
      </c>
      <c r="H16" s="72">
        <v>325.0</v>
      </c>
      <c r="I16" s="72">
        <v>302.0</v>
      </c>
      <c r="J16" s="72">
        <v>277.0</v>
      </c>
      <c r="K16" s="72">
        <v>211.0</v>
      </c>
      <c r="L16" s="72">
        <v>265.0</v>
      </c>
      <c r="M16" s="72">
        <v>608.0</v>
      </c>
      <c r="N16" s="72">
        <v>239.0</v>
      </c>
    </row>
    <row r="17">
      <c r="A17" s="117" t="s">
        <v>114</v>
      </c>
      <c r="B17" s="72">
        <v>88.0</v>
      </c>
      <c r="C17" s="72">
        <v>62.0</v>
      </c>
      <c r="D17" s="72">
        <v>59.0</v>
      </c>
      <c r="E17" s="72">
        <v>114.0</v>
      </c>
      <c r="F17" s="72">
        <v>176.0</v>
      </c>
      <c r="G17" s="72">
        <v>200.0</v>
      </c>
      <c r="H17" s="72">
        <v>240.0</v>
      </c>
      <c r="I17" s="72">
        <v>252.0</v>
      </c>
      <c r="J17" s="72">
        <v>194.0</v>
      </c>
      <c r="K17" s="72">
        <v>153.0</v>
      </c>
      <c r="L17" s="72">
        <v>199.0</v>
      </c>
      <c r="M17" s="72">
        <v>441.0</v>
      </c>
      <c r="N17" s="72">
        <v>189.0</v>
      </c>
    </row>
    <row r="18">
      <c r="A18" s="117" t="s">
        <v>115</v>
      </c>
      <c r="B18" s="72">
        <v>48.0</v>
      </c>
      <c r="C18" s="72">
        <v>47.0</v>
      </c>
      <c r="D18" s="72">
        <v>49.0</v>
      </c>
      <c r="E18" s="72">
        <v>97.0</v>
      </c>
      <c r="F18" s="72">
        <v>150.0</v>
      </c>
      <c r="G18" s="72">
        <v>208.0</v>
      </c>
      <c r="H18" s="72">
        <v>195.0</v>
      </c>
      <c r="I18" s="72">
        <v>212.0</v>
      </c>
      <c r="J18" s="72">
        <v>168.0</v>
      </c>
      <c r="K18" s="72">
        <v>147.0</v>
      </c>
      <c r="L18" s="72">
        <v>195.0</v>
      </c>
      <c r="M18" s="72">
        <v>608.0</v>
      </c>
      <c r="N18" s="72">
        <v>175.0</v>
      </c>
    </row>
    <row r="19">
      <c r="A19" s="117" t="s">
        <v>116</v>
      </c>
      <c r="B19" s="72">
        <v>33.0</v>
      </c>
      <c r="C19" s="72">
        <v>35.0</v>
      </c>
      <c r="D19" s="72">
        <v>46.0</v>
      </c>
      <c r="E19" s="72">
        <v>75.0</v>
      </c>
      <c r="F19" s="72">
        <v>127.0</v>
      </c>
      <c r="G19" s="72">
        <v>172.0</v>
      </c>
      <c r="H19" s="72">
        <v>183.0</v>
      </c>
      <c r="I19" s="72">
        <v>162.0</v>
      </c>
      <c r="J19" s="72">
        <v>142.0</v>
      </c>
      <c r="K19" s="72">
        <v>108.0</v>
      </c>
      <c r="L19" s="72">
        <v>127.0</v>
      </c>
      <c r="M19" s="72">
        <v>406.0</v>
      </c>
      <c r="N19" s="72">
        <v>138.0</v>
      </c>
    </row>
    <row r="20">
      <c r="A20" s="117" t="s">
        <v>117</v>
      </c>
      <c r="B20" s="72">
        <v>46.0</v>
      </c>
      <c r="C20" s="72">
        <v>45.0</v>
      </c>
      <c r="D20" s="72">
        <v>20.0</v>
      </c>
      <c r="E20" s="72">
        <v>58.0</v>
      </c>
      <c r="F20" s="72">
        <v>123.0</v>
      </c>
      <c r="G20" s="72">
        <v>131.0</v>
      </c>
      <c r="H20" s="72">
        <v>136.0</v>
      </c>
      <c r="I20" s="72">
        <v>139.0</v>
      </c>
      <c r="J20" s="72">
        <v>84.0</v>
      </c>
      <c r="K20" s="72">
        <v>86.0</v>
      </c>
      <c r="L20" s="72">
        <v>95.0</v>
      </c>
      <c r="M20" s="72">
        <v>230.0</v>
      </c>
      <c r="N20" s="72">
        <v>103.0</v>
      </c>
    </row>
    <row r="21">
      <c r="A21" s="117" t="s">
        <v>118</v>
      </c>
      <c r="B21" s="72">
        <v>35.0</v>
      </c>
      <c r="C21" s="72">
        <v>40.0</v>
      </c>
      <c r="D21" s="72">
        <v>30.0</v>
      </c>
      <c r="E21" s="72">
        <v>39.0</v>
      </c>
      <c r="F21" s="72">
        <v>79.0</v>
      </c>
      <c r="G21" s="72">
        <v>95.0</v>
      </c>
      <c r="H21" s="72">
        <v>112.0</v>
      </c>
      <c r="I21" s="72">
        <v>104.0</v>
      </c>
      <c r="J21" s="72">
        <v>67.0</v>
      </c>
      <c r="K21" s="72">
        <v>57.0</v>
      </c>
      <c r="L21" s="72">
        <v>76.0</v>
      </c>
      <c r="M21" s="72">
        <v>197.0</v>
      </c>
      <c r="N21" s="72">
        <v>79.0</v>
      </c>
    </row>
    <row r="22">
      <c r="A22" s="117" t="s">
        <v>119</v>
      </c>
      <c r="B22" s="72">
        <v>16.0</v>
      </c>
      <c r="C22" s="72">
        <v>29.0</v>
      </c>
      <c r="D22" s="72">
        <v>34.0</v>
      </c>
      <c r="E22" s="72">
        <v>28.0</v>
      </c>
      <c r="F22" s="72">
        <v>62.0</v>
      </c>
      <c r="G22" s="72">
        <v>74.0</v>
      </c>
      <c r="H22" s="72">
        <v>70.0</v>
      </c>
      <c r="I22" s="72">
        <v>87.0</v>
      </c>
      <c r="J22" s="72">
        <v>56.0</v>
      </c>
      <c r="K22" s="72">
        <v>45.0</v>
      </c>
      <c r="L22" s="72">
        <v>41.0</v>
      </c>
      <c r="M22" s="72">
        <v>117.0</v>
      </c>
      <c r="N22" s="72">
        <v>58.0</v>
      </c>
    </row>
    <row r="23">
      <c r="A23" s="117" t="s">
        <v>120</v>
      </c>
      <c r="B23" s="72">
        <v>29.0</v>
      </c>
      <c r="C23" s="72" t="s">
        <v>163</v>
      </c>
      <c r="D23" s="72">
        <v>15.0</v>
      </c>
      <c r="E23" s="72">
        <v>21.0</v>
      </c>
      <c r="F23" s="72">
        <v>58.0</v>
      </c>
      <c r="G23" s="72">
        <v>59.0</v>
      </c>
      <c r="H23" s="72">
        <v>52.0</v>
      </c>
      <c r="I23" s="72">
        <v>41.0</v>
      </c>
      <c r="J23" s="72">
        <v>38.0</v>
      </c>
      <c r="K23" s="72">
        <v>35.0</v>
      </c>
      <c r="L23" s="72">
        <v>42.0</v>
      </c>
      <c r="M23" s="72">
        <v>131.0</v>
      </c>
      <c r="N23" s="72">
        <v>43.0</v>
      </c>
    </row>
    <row r="24">
      <c r="A24" s="117" t="s">
        <v>121</v>
      </c>
      <c r="B24" s="72">
        <v>13.0</v>
      </c>
      <c r="C24" s="72">
        <v>9.0</v>
      </c>
      <c r="D24" s="72">
        <v>22.0</v>
      </c>
      <c r="E24" s="72">
        <v>26.0</v>
      </c>
      <c r="F24" s="72">
        <v>36.0</v>
      </c>
      <c r="G24" s="72">
        <v>48.0</v>
      </c>
      <c r="H24" s="72">
        <v>35.0</v>
      </c>
      <c r="I24" s="72">
        <v>29.0</v>
      </c>
      <c r="J24" s="72">
        <v>35.0</v>
      </c>
      <c r="K24" s="72">
        <v>24.0</v>
      </c>
      <c r="L24" s="72">
        <v>40.0</v>
      </c>
      <c r="M24" s="72">
        <v>96.0</v>
      </c>
      <c r="N24" s="72">
        <v>34.0</v>
      </c>
    </row>
    <row r="25">
      <c r="A25" s="117" t="s">
        <v>122</v>
      </c>
      <c r="B25" s="72">
        <v>15.0</v>
      </c>
      <c r="C25" s="72">
        <v>11.0</v>
      </c>
      <c r="D25" s="72">
        <v>10.0</v>
      </c>
      <c r="E25" s="72">
        <v>24.0</v>
      </c>
      <c r="F25" s="72">
        <v>80.0</v>
      </c>
      <c r="G25" s="72">
        <v>56.0</v>
      </c>
      <c r="H25" s="72">
        <v>46.0</v>
      </c>
      <c r="I25" s="72">
        <v>34.0</v>
      </c>
      <c r="J25" s="72">
        <v>23.0</v>
      </c>
      <c r="K25" s="72">
        <v>26.0</v>
      </c>
      <c r="L25" s="72">
        <v>12.0</v>
      </c>
      <c r="M25" s="72">
        <v>47.0</v>
      </c>
      <c r="N25" s="72">
        <v>34.0</v>
      </c>
    </row>
    <row r="26">
      <c r="A26" s="117" t="s">
        <v>123</v>
      </c>
      <c r="B26" s="72">
        <v>20.0</v>
      </c>
      <c r="C26" s="72">
        <v>25.0</v>
      </c>
      <c r="D26" s="72" t="s">
        <v>163</v>
      </c>
      <c r="E26" s="72">
        <v>39.0</v>
      </c>
      <c r="F26" s="72">
        <v>35.0</v>
      </c>
      <c r="G26" s="72">
        <v>52.0</v>
      </c>
      <c r="H26" s="72">
        <v>27.0</v>
      </c>
      <c r="I26" s="72">
        <v>26.0</v>
      </c>
      <c r="J26" s="72">
        <v>27.0</v>
      </c>
      <c r="K26" s="72">
        <v>12.0</v>
      </c>
      <c r="L26" s="72">
        <v>17.0</v>
      </c>
      <c r="M26" s="72">
        <v>25.0</v>
      </c>
      <c r="N26" s="72">
        <v>26.0</v>
      </c>
    </row>
    <row r="27">
      <c r="A27" s="117" t="s">
        <v>124</v>
      </c>
      <c r="B27" s="72" t="s">
        <v>163</v>
      </c>
      <c r="C27" s="72" t="s">
        <v>163</v>
      </c>
      <c r="D27" s="72">
        <v>14.0</v>
      </c>
      <c r="E27" s="72">
        <v>67.0</v>
      </c>
      <c r="F27" s="72">
        <v>46.0</v>
      </c>
      <c r="G27" s="72">
        <v>60.0</v>
      </c>
      <c r="H27" s="72">
        <v>49.0</v>
      </c>
      <c r="I27" s="72">
        <v>38.0</v>
      </c>
      <c r="J27" s="72">
        <v>23.0</v>
      </c>
      <c r="K27" s="72">
        <v>22.0</v>
      </c>
      <c r="L27" s="72">
        <v>21.0</v>
      </c>
      <c r="M27" s="72">
        <v>23.0</v>
      </c>
      <c r="N27" s="72">
        <v>32.0</v>
      </c>
    </row>
    <row r="28">
      <c r="A28" s="117" t="s">
        <v>125</v>
      </c>
      <c r="B28" s="72">
        <v>18.0</v>
      </c>
      <c r="C28" s="72">
        <v>22.0</v>
      </c>
      <c r="D28" s="72">
        <v>25.0</v>
      </c>
      <c r="E28" s="72">
        <v>39.0</v>
      </c>
      <c r="F28" s="72">
        <v>59.0</v>
      </c>
      <c r="G28" s="72">
        <v>76.0</v>
      </c>
      <c r="H28" s="72">
        <v>63.0</v>
      </c>
      <c r="I28" s="72">
        <v>51.0</v>
      </c>
      <c r="J28" s="72">
        <v>32.0</v>
      </c>
      <c r="K28" s="72">
        <v>36.0</v>
      </c>
      <c r="L28" s="72">
        <v>19.0</v>
      </c>
      <c r="M28" s="72">
        <v>12.0</v>
      </c>
      <c r="N28" s="72">
        <v>41.0</v>
      </c>
    </row>
    <row r="29">
      <c r="A29" s="117" t="s">
        <v>126</v>
      </c>
      <c r="B29" s="72">
        <v>18.0</v>
      </c>
      <c r="C29" s="72">
        <v>24.0</v>
      </c>
      <c r="D29" s="72">
        <v>32.0</v>
      </c>
      <c r="E29" s="72">
        <v>97.0</v>
      </c>
      <c r="F29" s="72">
        <v>91.0</v>
      </c>
      <c r="G29" s="72">
        <v>112.0</v>
      </c>
      <c r="H29" s="72">
        <v>105.0</v>
      </c>
      <c r="I29" s="72">
        <v>62.0</v>
      </c>
      <c r="J29" s="72">
        <v>47.0</v>
      </c>
      <c r="K29" s="72">
        <v>42.0</v>
      </c>
      <c r="L29" s="72">
        <v>31.0</v>
      </c>
      <c r="M29" s="72">
        <v>27.0</v>
      </c>
      <c r="N29" s="72">
        <v>61.0</v>
      </c>
    </row>
    <row r="30">
      <c r="A30" s="117" t="s">
        <v>127</v>
      </c>
      <c r="B30" s="72">
        <v>35.0</v>
      </c>
      <c r="C30" s="72">
        <v>47.0</v>
      </c>
      <c r="D30" s="72">
        <v>37.0</v>
      </c>
      <c r="E30" s="72">
        <v>88.0</v>
      </c>
      <c r="F30" s="72">
        <v>92.0</v>
      </c>
      <c r="G30" s="72">
        <v>99.0</v>
      </c>
      <c r="H30" s="72">
        <v>89.0</v>
      </c>
      <c r="I30" s="72">
        <v>82.0</v>
      </c>
      <c r="J30" s="72">
        <v>56.0</v>
      </c>
      <c r="K30" s="72">
        <v>44.0</v>
      </c>
      <c r="L30" s="72">
        <v>41.0</v>
      </c>
      <c r="M30" s="72">
        <v>23.0</v>
      </c>
      <c r="N30" s="72">
        <v>65.0</v>
      </c>
    </row>
    <row r="31">
      <c r="A31" s="117" t="s">
        <v>128</v>
      </c>
      <c r="B31" s="72">
        <v>26.0</v>
      </c>
      <c r="C31" s="72">
        <v>42.0</v>
      </c>
      <c r="D31" s="72">
        <v>37.0</v>
      </c>
      <c r="E31" s="72">
        <v>69.0</v>
      </c>
      <c r="F31" s="72">
        <v>99.0</v>
      </c>
      <c r="G31" s="72">
        <v>97.0</v>
      </c>
      <c r="H31" s="72">
        <v>91.0</v>
      </c>
      <c r="I31" s="72">
        <v>79.0</v>
      </c>
      <c r="J31" s="72">
        <v>57.0</v>
      </c>
      <c r="K31" s="72">
        <v>47.0</v>
      </c>
      <c r="L31" s="72">
        <v>44.0</v>
      </c>
      <c r="M31" s="72">
        <v>66.0</v>
      </c>
      <c r="N31" s="72">
        <v>66.0</v>
      </c>
    </row>
    <row r="32">
      <c r="A32" s="117" t="s">
        <v>129</v>
      </c>
      <c r="B32" s="72">
        <v>31.0</v>
      </c>
      <c r="C32" s="72">
        <v>15.0</v>
      </c>
      <c r="D32" s="72">
        <v>39.0</v>
      </c>
      <c r="E32" s="72">
        <v>65.0</v>
      </c>
      <c r="F32" s="72">
        <v>100.0</v>
      </c>
      <c r="G32" s="72">
        <v>90.0</v>
      </c>
      <c r="H32" s="72">
        <v>72.0</v>
      </c>
      <c r="I32" s="72">
        <v>63.0</v>
      </c>
      <c r="J32" s="72">
        <v>59.0</v>
      </c>
      <c r="K32" s="72">
        <v>29.0</v>
      </c>
      <c r="L32" s="72">
        <v>42.0</v>
      </c>
      <c r="M32" s="72">
        <v>57.0</v>
      </c>
      <c r="N32" s="72">
        <v>58.0</v>
      </c>
    </row>
    <row r="33">
      <c r="A33" s="117" t="s">
        <v>130</v>
      </c>
      <c r="B33" s="72">
        <v>27.0</v>
      </c>
      <c r="C33" s="72">
        <v>35.0</v>
      </c>
      <c r="D33" s="72">
        <v>39.0</v>
      </c>
      <c r="E33" s="72">
        <v>78.0</v>
      </c>
      <c r="F33" s="72">
        <v>119.0</v>
      </c>
      <c r="G33" s="72">
        <v>82.0</v>
      </c>
      <c r="H33" s="72">
        <v>75.0</v>
      </c>
      <c r="I33" s="72">
        <v>76.0</v>
      </c>
      <c r="J33" s="72">
        <v>56.0</v>
      </c>
      <c r="K33" s="72">
        <v>38.0</v>
      </c>
      <c r="L33" s="72">
        <v>52.0</v>
      </c>
      <c r="M33" s="72">
        <v>53.0</v>
      </c>
      <c r="N33" s="72">
        <v>63.0</v>
      </c>
    </row>
    <row r="34">
      <c r="A34" s="117" t="s">
        <v>131</v>
      </c>
      <c r="B34" s="72">
        <v>15.0</v>
      </c>
      <c r="C34" s="72">
        <v>20.0</v>
      </c>
      <c r="D34" s="72">
        <v>17.0</v>
      </c>
      <c r="E34" s="72">
        <v>60.0</v>
      </c>
      <c r="F34" s="72">
        <v>92.0</v>
      </c>
      <c r="G34" s="72">
        <v>51.0</v>
      </c>
      <c r="H34" s="72">
        <v>65.0</v>
      </c>
      <c r="I34" s="72">
        <v>67.0</v>
      </c>
      <c r="J34" s="72">
        <v>47.0</v>
      </c>
      <c r="K34" s="72">
        <v>34.0</v>
      </c>
      <c r="L34" s="72">
        <v>41.0</v>
      </c>
      <c r="M34" s="72">
        <v>72.0</v>
      </c>
      <c r="N34" s="72">
        <v>51.0</v>
      </c>
    </row>
    <row r="35">
      <c r="A35" s="117" t="s">
        <v>132</v>
      </c>
      <c r="B35" s="72">
        <v>15.0</v>
      </c>
      <c r="C35" s="72">
        <v>27.0</v>
      </c>
      <c r="D35" s="72">
        <v>20.0</v>
      </c>
      <c r="E35" s="72">
        <v>60.0</v>
      </c>
      <c r="F35" s="72">
        <v>88.0</v>
      </c>
      <c r="G35" s="72">
        <v>50.0</v>
      </c>
      <c r="H35" s="72">
        <v>64.0</v>
      </c>
      <c r="I35" s="72">
        <v>48.0</v>
      </c>
      <c r="J35" s="72">
        <v>43.0</v>
      </c>
      <c r="K35" s="72">
        <v>34.0</v>
      </c>
      <c r="L35" s="72">
        <v>36.0</v>
      </c>
      <c r="M35" s="72">
        <v>31.0</v>
      </c>
      <c r="N35" s="72">
        <v>46.0</v>
      </c>
    </row>
    <row r="36">
      <c r="A36" s="117" t="s">
        <v>133</v>
      </c>
      <c r="B36" s="72">
        <v>16.0</v>
      </c>
      <c r="C36" s="72">
        <v>22.0</v>
      </c>
      <c r="D36" s="72">
        <v>30.0</v>
      </c>
      <c r="E36" s="72">
        <v>71.0</v>
      </c>
      <c r="F36" s="72">
        <v>66.0</v>
      </c>
      <c r="G36" s="72">
        <v>50.0</v>
      </c>
      <c r="H36" s="72">
        <v>55.0</v>
      </c>
      <c r="I36" s="72">
        <v>48.0</v>
      </c>
      <c r="J36" s="72">
        <v>44.0</v>
      </c>
      <c r="K36" s="72">
        <v>49.0</v>
      </c>
      <c r="L36" s="72">
        <v>50.0</v>
      </c>
      <c r="M36" s="72">
        <v>123.0</v>
      </c>
      <c r="N36" s="72">
        <v>51.0</v>
      </c>
    </row>
    <row r="37">
      <c r="A37" s="117" t="s">
        <v>134</v>
      </c>
      <c r="B37" s="123">
        <v>29.0</v>
      </c>
      <c r="C37" s="123">
        <v>29.0</v>
      </c>
      <c r="D37" s="123">
        <v>56.0</v>
      </c>
      <c r="E37" s="123">
        <v>52.0</v>
      </c>
      <c r="F37" s="123">
        <v>246.0</v>
      </c>
      <c r="G37" s="123">
        <v>80.0</v>
      </c>
      <c r="H37" s="123">
        <v>62.0</v>
      </c>
      <c r="I37" s="123">
        <v>64.0</v>
      </c>
      <c r="J37" s="123">
        <v>45.0</v>
      </c>
      <c r="K37" s="123">
        <v>28.0</v>
      </c>
      <c r="L37" s="123">
        <v>32.0</v>
      </c>
      <c r="M37" s="123">
        <v>84.0</v>
      </c>
      <c r="N37" s="123">
        <v>68.0</v>
      </c>
    </row>
    <row r="38">
      <c r="A38" s="117" t="s">
        <v>135</v>
      </c>
      <c r="B38" s="123">
        <v>46.0</v>
      </c>
      <c r="C38" s="123">
        <v>42.0</v>
      </c>
      <c r="D38" s="123">
        <v>32.0</v>
      </c>
      <c r="E38" s="123">
        <v>82.0</v>
      </c>
      <c r="F38" s="123">
        <v>153.0</v>
      </c>
      <c r="G38" s="123">
        <v>82.0</v>
      </c>
      <c r="H38" s="123">
        <v>69.0</v>
      </c>
      <c r="I38" s="123">
        <v>60.0</v>
      </c>
      <c r="J38" s="123">
        <v>59.0</v>
      </c>
      <c r="K38" s="123">
        <v>38.0</v>
      </c>
      <c r="L38" s="123">
        <v>49.0</v>
      </c>
      <c r="M38" s="123">
        <v>101.0</v>
      </c>
      <c r="N38" s="123">
        <v>67.0</v>
      </c>
    </row>
    <row r="39">
      <c r="A39" s="117" t="s">
        <v>136</v>
      </c>
      <c r="B39" s="123">
        <v>29.0</v>
      </c>
      <c r="C39" s="123">
        <v>44.0</v>
      </c>
      <c r="D39" s="123">
        <v>64.0</v>
      </c>
      <c r="E39" s="123">
        <v>99.0</v>
      </c>
      <c r="F39" s="123">
        <v>255.0</v>
      </c>
      <c r="G39" s="123">
        <v>123.0</v>
      </c>
      <c r="H39" s="123">
        <v>105.0</v>
      </c>
      <c r="I39" s="123">
        <v>71.0</v>
      </c>
      <c r="J39" s="123">
        <v>77.0</v>
      </c>
      <c r="K39" s="123">
        <v>51.0</v>
      </c>
      <c r="L39" s="123">
        <v>49.0</v>
      </c>
      <c r="M39" s="123">
        <v>94.0</v>
      </c>
      <c r="N39" s="123">
        <v>91.0</v>
      </c>
    </row>
    <row r="40">
      <c r="A40" s="117" t="s">
        <v>137</v>
      </c>
      <c r="B40" s="123">
        <v>27.0</v>
      </c>
      <c r="C40" s="123">
        <v>51.0</v>
      </c>
      <c r="D40" s="123">
        <v>80.0</v>
      </c>
      <c r="E40" s="123">
        <v>127.0</v>
      </c>
      <c r="F40" s="123">
        <v>275.0</v>
      </c>
      <c r="G40" s="123">
        <v>138.0</v>
      </c>
      <c r="H40" s="123">
        <v>123.0</v>
      </c>
      <c r="I40" s="123">
        <v>122.0</v>
      </c>
      <c r="J40" s="123">
        <v>128.0</v>
      </c>
      <c r="K40" s="123">
        <v>82.0</v>
      </c>
      <c r="L40" s="123">
        <v>56.0</v>
      </c>
      <c r="M40" s="123">
        <v>78.0</v>
      </c>
      <c r="N40" s="123">
        <v>116.0</v>
      </c>
    </row>
    <row r="41">
      <c r="A41" s="117" t="s">
        <v>138</v>
      </c>
      <c r="B41" s="123">
        <v>53.0</v>
      </c>
      <c r="C41" s="123">
        <v>80.0</v>
      </c>
      <c r="D41" s="123">
        <v>78.0</v>
      </c>
      <c r="E41" s="123">
        <v>166.0</v>
      </c>
      <c r="F41" s="123">
        <v>227.0</v>
      </c>
      <c r="G41" s="123">
        <v>204.0</v>
      </c>
      <c r="H41" s="123">
        <v>169.0</v>
      </c>
      <c r="I41" s="123">
        <v>162.0</v>
      </c>
      <c r="J41" s="123">
        <v>158.0</v>
      </c>
      <c r="K41" s="123">
        <v>132.0</v>
      </c>
      <c r="L41" s="123">
        <v>89.0</v>
      </c>
      <c r="M41" s="123">
        <v>103.0</v>
      </c>
      <c r="N41" s="123">
        <v>145.0</v>
      </c>
    </row>
    <row r="42">
      <c r="A42" s="117" t="s">
        <v>139</v>
      </c>
      <c r="B42" s="123">
        <v>79.0</v>
      </c>
      <c r="C42" s="123">
        <v>107.0</v>
      </c>
      <c r="D42" s="123">
        <v>156.0</v>
      </c>
      <c r="E42" s="123">
        <v>226.0</v>
      </c>
      <c r="F42" s="123">
        <v>290.0</v>
      </c>
      <c r="G42" s="123">
        <v>352.0</v>
      </c>
      <c r="H42" s="123">
        <v>355.0</v>
      </c>
      <c r="I42" s="123">
        <v>305.0</v>
      </c>
      <c r="J42" s="123">
        <v>224.0</v>
      </c>
      <c r="K42" s="123">
        <v>181.0</v>
      </c>
      <c r="L42" s="123">
        <v>147.0</v>
      </c>
      <c r="M42" s="123">
        <v>131.0</v>
      </c>
      <c r="N42" s="123">
        <v>234.0</v>
      </c>
    </row>
    <row r="43">
      <c r="A43" s="117" t="s">
        <v>140</v>
      </c>
      <c r="B43" s="123">
        <v>112.0</v>
      </c>
      <c r="C43" s="123">
        <v>129.0</v>
      </c>
      <c r="D43" s="123">
        <v>210.0</v>
      </c>
      <c r="E43" s="123">
        <v>264.0</v>
      </c>
      <c r="F43" s="123">
        <v>331.0</v>
      </c>
      <c r="G43" s="123">
        <v>349.0</v>
      </c>
      <c r="H43" s="123">
        <v>342.0</v>
      </c>
      <c r="I43" s="123">
        <v>360.0</v>
      </c>
      <c r="J43" s="123">
        <v>279.0</v>
      </c>
      <c r="K43" s="123">
        <v>222.0</v>
      </c>
      <c r="L43" s="123">
        <v>204.0</v>
      </c>
      <c r="M43" s="123">
        <v>199.0</v>
      </c>
      <c r="N43" s="123">
        <v>270.0</v>
      </c>
    </row>
    <row r="44">
      <c r="A44" s="117" t="s">
        <v>141</v>
      </c>
      <c r="B44" s="123">
        <v>119.0</v>
      </c>
      <c r="C44" s="123">
        <v>209.0</v>
      </c>
      <c r="D44" s="123">
        <v>257.0</v>
      </c>
      <c r="E44" s="123">
        <v>372.0</v>
      </c>
      <c r="F44" s="123">
        <v>411.0</v>
      </c>
      <c r="G44" s="123">
        <v>453.0</v>
      </c>
      <c r="H44" s="123">
        <v>432.0</v>
      </c>
      <c r="I44" s="123">
        <v>394.0</v>
      </c>
      <c r="J44" s="123">
        <v>394.0</v>
      </c>
      <c r="K44" s="123">
        <v>305.0</v>
      </c>
      <c r="L44" s="123">
        <v>273.0</v>
      </c>
      <c r="M44" s="123">
        <v>394.0</v>
      </c>
      <c r="N44" s="123">
        <v>353.0</v>
      </c>
    </row>
    <row r="45">
      <c r="A45" s="117" t="s">
        <v>142</v>
      </c>
      <c r="B45" s="123">
        <v>210.0</v>
      </c>
      <c r="C45" s="123">
        <v>225.0</v>
      </c>
      <c r="D45" s="123">
        <v>351.0</v>
      </c>
      <c r="E45" s="123">
        <v>512.0</v>
      </c>
      <c r="F45" s="123">
        <v>643.0</v>
      </c>
      <c r="G45" s="123">
        <v>736.0</v>
      </c>
      <c r="H45" s="123">
        <v>677.0</v>
      </c>
      <c r="I45" s="123">
        <v>614.0</v>
      </c>
      <c r="J45" s="123">
        <v>591.0</v>
      </c>
      <c r="K45" s="123">
        <v>468.0</v>
      </c>
      <c r="L45" s="123">
        <v>355.0</v>
      </c>
      <c r="M45" s="123">
        <v>425.0</v>
      </c>
      <c r="N45" s="123">
        <v>525.0</v>
      </c>
    </row>
    <row r="46">
      <c r="A46" s="117" t="s">
        <v>143</v>
      </c>
      <c r="B46" s="123">
        <v>243.0</v>
      </c>
      <c r="C46" s="123">
        <v>274.0</v>
      </c>
      <c r="D46" s="123">
        <v>401.0</v>
      </c>
      <c r="E46" s="123">
        <v>566.0</v>
      </c>
      <c r="F46" s="123">
        <v>820.0</v>
      </c>
      <c r="G46" s="123">
        <v>798.0</v>
      </c>
      <c r="H46" s="123">
        <v>790.0</v>
      </c>
      <c r="I46" s="123">
        <v>710.0</v>
      </c>
      <c r="J46" s="123">
        <v>691.0</v>
      </c>
      <c r="K46" s="123">
        <v>532.0</v>
      </c>
      <c r="L46" s="123">
        <v>424.0</v>
      </c>
      <c r="M46" s="123">
        <v>487.0</v>
      </c>
      <c r="N46" s="123">
        <v>611.0</v>
      </c>
    </row>
    <row r="47">
      <c r="A47" s="117" t="s">
        <v>144</v>
      </c>
      <c r="B47" s="123">
        <v>234.0</v>
      </c>
      <c r="C47" s="123">
        <v>329.0</v>
      </c>
      <c r="D47" s="123">
        <v>346.0</v>
      </c>
      <c r="E47" s="123">
        <v>473.0</v>
      </c>
      <c r="F47" s="123">
        <v>589.0</v>
      </c>
      <c r="G47" s="123">
        <v>680.0</v>
      </c>
      <c r="H47" s="123">
        <v>714.0</v>
      </c>
      <c r="I47" s="123">
        <v>645.0</v>
      </c>
      <c r="J47" s="123">
        <v>622.0</v>
      </c>
      <c r="K47" s="123">
        <v>483.0</v>
      </c>
      <c r="L47" s="123">
        <v>439.0</v>
      </c>
      <c r="M47" s="123">
        <v>760.0</v>
      </c>
      <c r="N47" s="123">
        <v>557.0</v>
      </c>
    </row>
    <row r="48">
      <c r="A48" s="117" t="s">
        <v>145</v>
      </c>
      <c r="B48" s="123">
        <v>338.0</v>
      </c>
      <c r="C48" s="123">
        <v>447.0</v>
      </c>
      <c r="D48" s="123">
        <v>611.0</v>
      </c>
      <c r="E48" s="123">
        <v>770.0</v>
      </c>
      <c r="F48" s="123">
        <v>958.0</v>
      </c>
      <c r="G48" s="123">
        <v>989.0</v>
      </c>
      <c r="H48" s="123">
        <v>1021.0</v>
      </c>
      <c r="I48" s="123">
        <v>981.0</v>
      </c>
      <c r="J48" s="123">
        <v>906.0</v>
      </c>
      <c r="K48" s="123">
        <v>775.0</v>
      </c>
      <c r="L48" s="123">
        <v>638.0</v>
      </c>
      <c r="M48" s="123">
        <v>932.0</v>
      </c>
      <c r="N48" s="123">
        <v>831.0</v>
      </c>
    </row>
    <row r="49">
      <c r="A49" s="117" t="s">
        <v>146</v>
      </c>
      <c r="B49" s="123">
        <v>399.0</v>
      </c>
      <c r="C49" s="123">
        <v>470.0</v>
      </c>
      <c r="D49" s="123">
        <v>510.0</v>
      </c>
      <c r="E49" s="123">
        <v>678.0</v>
      </c>
      <c r="F49" s="123">
        <v>866.0</v>
      </c>
      <c r="G49" s="123">
        <v>924.0</v>
      </c>
      <c r="H49" s="123">
        <v>919.0</v>
      </c>
      <c r="I49" s="123">
        <v>889.0</v>
      </c>
      <c r="J49" s="123">
        <v>879.0</v>
      </c>
      <c r="K49" s="123">
        <v>692.0</v>
      </c>
      <c r="L49" s="123">
        <v>597.0</v>
      </c>
      <c r="M49" s="123">
        <v>782.0</v>
      </c>
      <c r="N49" s="123">
        <v>764.0</v>
      </c>
    </row>
    <row r="50">
      <c r="A50" s="117" t="s">
        <v>147</v>
      </c>
      <c r="B50" s="123">
        <v>300.0</v>
      </c>
      <c r="C50" s="123">
        <v>320.0</v>
      </c>
      <c r="D50" s="123">
        <v>410.0</v>
      </c>
      <c r="E50" s="123">
        <v>549.0</v>
      </c>
      <c r="F50" s="123">
        <v>592.0</v>
      </c>
      <c r="G50" s="123">
        <v>671.0</v>
      </c>
      <c r="H50" s="123">
        <v>684.0</v>
      </c>
      <c r="I50" s="123">
        <v>631.0</v>
      </c>
      <c r="J50" s="123">
        <v>620.0</v>
      </c>
      <c r="K50" s="123">
        <v>556.0</v>
      </c>
      <c r="L50" s="123">
        <v>477.0</v>
      </c>
      <c r="M50" s="123">
        <v>749.0</v>
      </c>
      <c r="N50" s="123">
        <v>572.0</v>
      </c>
    </row>
    <row r="51">
      <c r="A51" s="117" t="s">
        <v>148</v>
      </c>
      <c r="B51" s="123">
        <v>219.0</v>
      </c>
      <c r="C51" s="123">
        <v>258.0</v>
      </c>
      <c r="D51" s="123">
        <v>322.0</v>
      </c>
      <c r="E51" s="123">
        <v>415.0</v>
      </c>
      <c r="F51" s="123">
        <v>528.0</v>
      </c>
      <c r="G51" s="123">
        <v>534.0</v>
      </c>
      <c r="H51" s="123">
        <v>530.0</v>
      </c>
      <c r="I51" s="123">
        <v>508.0</v>
      </c>
      <c r="J51" s="123">
        <v>503.0</v>
      </c>
      <c r="K51" s="123">
        <v>460.0</v>
      </c>
      <c r="L51" s="123">
        <v>394.0</v>
      </c>
      <c r="M51" s="123">
        <v>675.0</v>
      </c>
      <c r="N51" s="123">
        <v>465.0</v>
      </c>
    </row>
    <row r="52">
      <c r="A52" s="117" t="s">
        <v>149</v>
      </c>
      <c r="B52" s="123">
        <v>280.0</v>
      </c>
      <c r="C52" s="123">
        <v>347.0</v>
      </c>
      <c r="D52" s="123">
        <v>469.0</v>
      </c>
      <c r="E52" s="123">
        <v>624.0</v>
      </c>
      <c r="F52" s="123">
        <v>743.0</v>
      </c>
      <c r="G52" s="123">
        <v>851.0</v>
      </c>
      <c r="H52" s="123">
        <v>783.0</v>
      </c>
      <c r="I52" s="123">
        <v>695.0</v>
      </c>
      <c r="J52" s="123">
        <v>636.0</v>
      </c>
      <c r="K52" s="123">
        <v>605.0</v>
      </c>
      <c r="L52" s="123">
        <v>542.0</v>
      </c>
      <c r="M52" s="123">
        <v>729.0</v>
      </c>
      <c r="N52" s="123">
        <v>638.0</v>
      </c>
    </row>
    <row r="53">
      <c r="A53" s="117" t="s">
        <v>150</v>
      </c>
      <c r="B53" s="123">
        <v>357.0</v>
      </c>
      <c r="C53" s="123">
        <v>407.0</v>
      </c>
      <c r="D53" s="123">
        <v>542.0</v>
      </c>
      <c r="E53" s="123">
        <v>787.0</v>
      </c>
      <c r="F53" s="123">
        <v>908.0</v>
      </c>
      <c r="G53" s="123">
        <v>953.0</v>
      </c>
      <c r="H53" s="123">
        <v>954.0</v>
      </c>
      <c r="I53" s="123">
        <v>781.0</v>
      </c>
      <c r="J53" s="123">
        <v>761.0</v>
      </c>
      <c r="K53" s="123">
        <v>617.0</v>
      </c>
      <c r="L53" s="123">
        <v>499.0</v>
      </c>
      <c r="M53" s="123">
        <v>608.0</v>
      </c>
      <c r="N53" s="123">
        <v>723.0</v>
      </c>
    </row>
    <row r="54">
      <c r="A54" s="117" t="s">
        <v>151</v>
      </c>
      <c r="B54" s="123">
        <v>282.0</v>
      </c>
      <c r="C54" s="123">
        <v>405.0</v>
      </c>
      <c r="D54" s="123">
        <v>471.0</v>
      </c>
      <c r="E54" s="123">
        <v>671.0</v>
      </c>
      <c r="F54" s="123">
        <v>677.0</v>
      </c>
      <c r="G54" s="123">
        <v>654.0</v>
      </c>
      <c r="H54" s="123">
        <v>597.0</v>
      </c>
      <c r="I54" s="123">
        <v>617.0</v>
      </c>
      <c r="J54" s="123">
        <v>569.0</v>
      </c>
      <c r="K54" s="123">
        <v>442.0</v>
      </c>
      <c r="L54" s="123">
        <v>423.0</v>
      </c>
      <c r="M54" s="123">
        <v>562.0</v>
      </c>
      <c r="N54" s="123">
        <v>545.0</v>
      </c>
    </row>
    <row r="55">
      <c r="A55" s="117" t="s">
        <v>152</v>
      </c>
      <c r="B55" s="123">
        <v>256.0</v>
      </c>
      <c r="C55" s="123">
        <v>360.0</v>
      </c>
      <c r="D55" s="123">
        <v>383.0</v>
      </c>
      <c r="E55" s="123">
        <v>482.0</v>
      </c>
      <c r="F55" s="123">
        <v>551.0</v>
      </c>
      <c r="G55" s="123">
        <v>500.0</v>
      </c>
      <c r="H55" s="123">
        <v>539.0</v>
      </c>
      <c r="I55" s="123">
        <v>482.0</v>
      </c>
      <c r="J55" s="123">
        <v>507.0</v>
      </c>
      <c r="K55" s="123">
        <v>448.0</v>
      </c>
      <c r="L55" s="123">
        <v>377.0</v>
      </c>
      <c r="M55" s="123">
        <v>497.0</v>
      </c>
      <c r="N55" s="123">
        <v>467.0</v>
      </c>
    </row>
    <row r="56">
      <c r="A56" s="117" t="s">
        <v>153</v>
      </c>
      <c r="B56" s="123">
        <v>216.0</v>
      </c>
      <c r="C56" s="123">
        <v>302.0</v>
      </c>
      <c r="D56" s="123">
        <v>320.0</v>
      </c>
      <c r="E56" s="123">
        <v>377.0</v>
      </c>
      <c r="F56" s="123">
        <v>525.0</v>
      </c>
      <c r="G56" s="123">
        <v>406.0</v>
      </c>
      <c r="H56" s="123">
        <v>438.0</v>
      </c>
      <c r="I56" s="123">
        <v>395.0</v>
      </c>
      <c r="J56" s="123">
        <v>349.0</v>
      </c>
      <c r="K56" s="123">
        <v>348.0</v>
      </c>
      <c r="L56" s="123">
        <v>309.0</v>
      </c>
      <c r="M56" s="123">
        <v>378.0</v>
      </c>
      <c r="N56" s="123">
        <v>375.0</v>
      </c>
    </row>
    <row r="57">
      <c r="A57" s="117" t="s">
        <v>154</v>
      </c>
      <c r="B57" s="123">
        <v>168.0</v>
      </c>
      <c r="C57" s="123">
        <v>236.0</v>
      </c>
      <c r="D57" s="123">
        <v>198.0</v>
      </c>
      <c r="E57" s="123">
        <v>320.0</v>
      </c>
      <c r="F57" s="123">
        <v>464.0</v>
      </c>
      <c r="G57" s="123">
        <v>300.0</v>
      </c>
      <c r="H57" s="123">
        <v>327.0</v>
      </c>
      <c r="I57" s="123">
        <v>287.0</v>
      </c>
      <c r="J57" s="123">
        <v>265.0</v>
      </c>
      <c r="K57" s="123">
        <v>245.0</v>
      </c>
      <c r="L57" s="123">
        <v>255.0</v>
      </c>
      <c r="M57" s="123">
        <v>271.0</v>
      </c>
      <c r="N57" s="123">
        <v>286.0</v>
      </c>
    </row>
    <row r="58">
      <c r="A58" s="117" t="s">
        <v>155</v>
      </c>
      <c r="B58" s="123">
        <v>128.0</v>
      </c>
      <c r="C58" s="123">
        <v>174.0</v>
      </c>
      <c r="D58" s="123">
        <v>198.0</v>
      </c>
      <c r="E58" s="123">
        <v>271.0</v>
      </c>
      <c r="F58" s="123">
        <v>445.0</v>
      </c>
      <c r="G58" s="123">
        <v>285.0</v>
      </c>
      <c r="H58" s="123">
        <v>264.0</v>
      </c>
      <c r="I58" s="123">
        <v>214.0</v>
      </c>
      <c r="J58" s="123">
        <v>199.0</v>
      </c>
      <c r="K58" s="123">
        <v>174.0</v>
      </c>
      <c r="L58" s="123">
        <v>174.0</v>
      </c>
      <c r="M58" s="123">
        <v>156.0</v>
      </c>
      <c r="N58" s="123">
        <v>230.0</v>
      </c>
    </row>
    <row r="59">
      <c r="A59" s="117" t="s">
        <v>156</v>
      </c>
      <c r="B59" s="123">
        <v>123.0</v>
      </c>
      <c r="C59" s="123">
        <v>143.0</v>
      </c>
      <c r="D59" s="123">
        <v>127.0</v>
      </c>
      <c r="E59" s="123">
        <v>222.0</v>
      </c>
      <c r="F59" s="123">
        <v>420.0</v>
      </c>
      <c r="G59" s="123">
        <v>210.0</v>
      </c>
      <c r="H59" s="123">
        <v>227.0</v>
      </c>
      <c r="I59" s="123">
        <v>210.0</v>
      </c>
      <c r="J59" s="123">
        <v>195.0</v>
      </c>
      <c r="K59" s="123">
        <v>159.0</v>
      </c>
      <c r="L59" s="123">
        <v>129.0</v>
      </c>
      <c r="M59" s="123">
        <v>88.0</v>
      </c>
      <c r="N59" s="123">
        <v>200.0</v>
      </c>
    </row>
    <row r="60">
      <c r="A60" s="117" t="s">
        <v>157</v>
      </c>
      <c r="B60" s="123">
        <v>141.0</v>
      </c>
      <c r="C60" s="123">
        <v>173.0</v>
      </c>
      <c r="D60" s="123">
        <v>152.0</v>
      </c>
      <c r="E60" s="123">
        <v>370.0</v>
      </c>
      <c r="F60" s="123">
        <v>471.0</v>
      </c>
      <c r="G60" s="123">
        <v>234.0</v>
      </c>
      <c r="H60" s="123">
        <v>254.0</v>
      </c>
      <c r="I60" s="123">
        <v>234.0</v>
      </c>
      <c r="J60" s="123">
        <v>187.0</v>
      </c>
      <c r="K60" s="123">
        <v>164.0</v>
      </c>
      <c r="L60" s="123">
        <v>123.0</v>
      </c>
      <c r="M60" s="123">
        <v>76.0</v>
      </c>
      <c r="N60" s="123">
        <v>222.0</v>
      </c>
    </row>
    <row r="61">
      <c r="A61" s="117" t="s">
        <v>158</v>
      </c>
      <c r="B61" s="123">
        <v>112.0</v>
      </c>
      <c r="C61" s="123">
        <v>169.0</v>
      </c>
      <c r="D61" s="123">
        <v>202.0</v>
      </c>
      <c r="E61" s="123">
        <v>235.0</v>
      </c>
      <c r="F61" s="123">
        <v>460.0</v>
      </c>
      <c r="G61" s="123">
        <v>214.0</v>
      </c>
      <c r="H61" s="123">
        <v>231.0</v>
      </c>
      <c r="I61" s="123">
        <v>209.0</v>
      </c>
      <c r="J61" s="123">
        <v>178.0</v>
      </c>
      <c r="K61" s="123">
        <v>132.0</v>
      </c>
      <c r="L61" s="123">
        <v>97.0</v>
      </c>
      <c r="M61" s="123">
        <v>70.0</v>
      </c>
      <c r="N61" s="123">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1" t="s">
        <v>164</v>
      </c>
      <c r="H1" s="102"/>
      <c r="I1" s="102"/>
      <c r="J1" s="102"/>
      <c r="K1" s="103"/>
      <c r="L1" s="104"/>
      <c r="M1" s="105"/>
      <c r="N1" s="104"/>
      <c r="O1" s="12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row>
    <row r="2">
      <c r="A2" s="106" t="s">
        <v>165</v>
      </c>
      <c r="F2" s="104"/>
      <c r="G2" s="104"/>
      <c r="H2" s="104"/>
      <c r="I2" s="104"/>
      <c r="J2" s="104"/>
      <c r="K2" s="107"/>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row>
    <row r="3">
      <c r="A3" s="106" t="s">
        <v>0</v>
      </c>
      <c r="B3" s="108">
        <v>44259.0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row>
    <row r="5" ht="44.25" customHeight="1">
      <c r="A5" s="110" t="s">
        <v>166</v>
      </c>
      <c r="B5" s="111"/>
      <c r="C5" s="111"/>
      <c r="D5" s="111"/>
      <c r="E5" s="111"/>
      <c r="F5" s="111"/>
      <c r="G5" s="111"/>
      <c r="H5" s="111"/>
      <c r="I5" s="111"/>
      <c r="J5" s="111"/>
      <c r="K5" s="41"/>
      <c r="L5" s="112"/>
      <c r="M5" s="112"/>
      <c r="N5" s="112"/>
      <c r="O5" s="112"/>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row>
    <row r="6">
      <c r="A6" s="104"/>
      <c r="B6" s="11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c r="A7" s="114" t="s">
        <v>167</v>
      </c>
      <c r="B7" s="115" t="s">
        <v>54</v>
      </c>
      <c r="C7" s="116">
        <v>43960.0</v>
      </c>
      <c r="D7" s="116">
        <v>44118.0</v>
      </c>
      <c r="E7" s="115" t="s">
        <v>57</v>
      </c>
      <c r="F7" s="115" t="s">
        <v>58</v>
      </c>
      <c r="G7" s="115" t="s">
        <v>59</v>
      </c>
      <c r="H7" s="115" t="s">
        <v>60</v>
      </c>
      <c r="I7" s="115" t="s">
        <v>61</v>
      </c>
      <c r="J7" s="115" t="s">
        <v>62</v>
      </c>
      <c r="K7" s="115" t="s">
        <v>63</v>
      </c>
      <c r="L7" s="115" t="s">
        <v>64</v>
      </c>
      <c r="M7" s="115" t="s">
        <v>104</v>
      </c>
      <c r="N7" s="115"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6">
        <v>43891.0</v>
      </c>
      <c r="B8" s="74">
        <v>0.0</v>
      </c>
      <c r="C8" s="74">
        <v>0.0</v>
      </c>
      <c r="D8" s="74">
        <v>0.0</v>
      </c>
      <c r="E8" s="74">
        <v>0.0</v>
      </c>
      <c r="F8" s="74">
        <v>0.0</v>
      </c>
      <c r="G8" s="74">
        <v>0.0</v>
      </c>
      <c r="H8" s="74" t="s">
        <v>55</v>
      </c>
      <c r="I8" s="74">
        <v>0.0</v>
      </c>
      <c r="J8" s="74" t="s">
        <v>55</v>
      </c>
      <c r="K8" s="74" t="s">
        <v>55</v>
      </c>
      <c r="L8" s="74">
        <v>5.0</v>
      </c>
      <c r="M8" s="74" t="s">
        <v>55</v>
      </c>
      <c r="N8" s="74">
        <v>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6">
        <v>43922.0</v>
      </c>
      <c r="B9" s="74">
        <v>0.0</v>
      </c>
      <c r="C9" s="74">
        <v>0.0</v>
      </c>
      <c r="D9" s="74">
        <v>0.0</v>
      </c>
      <c r="E9" s="74">
        <v>0.0</v>
      </c>
      <c r="F9" s="74">
        <v>0.0</v>
      </c>
      <c r="G9" s="74" t="s">
        <v>55</v>
      </c>
      <c r="H9" s="74" t="s">
        <v>55</v>
      </c>
      <c r="I9" s="74">
        <v>5.0</v>
      </c>
      <c r="J9" s="74">
        <v>17.0</v>
      </c>
      <c r="K9" s="74">
        <v>39.0</v>
      </c>
      <c r="L9" s="74">
        <v>90.0</v>
      </c>
      <c r="M9" s="74">
        <v>198.0</v>
      </c>
      <c r="N9" s="74">
        <v>353.0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43952.0</v>
      </c>
      <c r="B10" s="74">
        <v>0.0</v>
      </c>
      <c r="C10" s="74">
        <v>0.0</v>
      </c>
      <c r="D10" s="74">
        <v>0.0</v>
      </c>
      <c r="E10" s="74">
        <v>0.0</v>
      </c>
      <c r="F10" s="74">
        <v>0.0</v>
      </c>
      <c r="G10" s="74">
        <v>0.0</v>
      </c>
      <c r="H10" s="74" t="s">
        <v>55</v>
      </c>
      <c r="I10" s="74">
        <v>5.0</v>
      </c>
      <c r="J10" s="74">
        <v>17.0</v>
      </c>
      <c r="K10" s="74">
        <v>45.0</v>
      </c>
      <c r="L10" s="74">
        <v>107.0</v>
      </c>
      <c r="M10" s="74">
        <v>286.0</v>
      </c>
      <c r="N10" s="74">
        <v>463.0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43983.0</v>
      </c>
      <c r="B11" s="74">
        <v>0.0</v>
      </c>
      <c r="C11" s="74">
        <v>0.0</v>
      </c>
      <c r="D11" s="74" t="s">
        <v>55</v>
      </c>
      <c r="E11" s="74">
        <v>0.0</v>
      </c>
      <c r="F11" s="74">
        <v>0.0</v>
      </c>
      <c r="G11" s="74">
        <v>0.0</v>
      </c>
      <c r="H11" s="74">
        <v>0.0</v>
      </c>
      <c r="I11" s="74" t="s">
        <v>55</v>
      </c>
      <c r="J11" s="74">
        <v>8.0</v>
      </c>
      <c r="K11" s="74">
        <v>11.0</v>
      </c>
      <c r="L11" s="74">
        <v>40.0</v>
      </c>
      <c r="M11" s="74">
        <v>88.0</v>
      </c>
      <c r="N11" s="74">
        <v>150.0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44013.0</v>
      </c>
      <c r="B12" s="74">
        <v>0.0</v>
      </c>
      <c r="C12" s="74">
        <v>0.0</v>
      </c>
      <c r="D12" s="74">
        <v>0.0</v>
      </c>
      <c r="E12" s="74">
        <v>0.0</v>
      </c>
      <c r="F12" s="74">
        <v>0.0</v>
      </c>
      <c r="G12" s="74" t="s">
        <v>55</v>
      </c>
      <c r="H12" s="74">
        <v>0.0</v>
      </c>
      <c r="I12" s="74" t="s">
        <v>55</v>
      </c>
      <c r="J12" s="74" t="s">
        <v>55</v>
      </c>
      <c r="K12" s="74">
        <v>10.0</v>
      </c>
      <c r="L12" s="74">
        <v>6.0</v>
      </c>
      <c r="M12" s="74">
        <v>28.0</v>
      </c>
      <c r="N12" s="74">
        <v>49.0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44044.0</v>
      </c>
      <c r="B13" s="74">
        <v>0.0</v>
      </c>
      <c r="C13" s="74">
        <v>0.0</v>
      </c>
      <c r="D13" s="74">
        <v>0.0</v>
      </c>
      <c r="E13" s="74">
        <v>0.0</v>
      </c>
      <c r="F13" s="74" t="s">
        <v>55</v>
      </c>
      <c r="G13" s="74">
        <v>0.0</v>
      </c>
      <c r="H13" s="74">
        <v>0.0</v>
      </c>
      <c r="I13" s="74" t="s">
        <v>55</v>
      </c>
      <c r="J13" s="74">
        <v>5.0</v>
      </c>
      <c r="K13" s="74">
        <v>7.0</v>
      </c>
      <c r="L13" s="74">
        <v>7.0</v>
      </c>
      <c r="M13" s="74">
        <v>30.0</v>
      </c>
      <c r="N13" s="74">
        <v>52.0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44075.0</v>
      </c>
      <c r="B14" s="74">
        <v>0.0</v>
      </c>
      <c r="C14" s="74">
        <v>0.0</v>
      </c>
      <c r="D14" s="74">
        <v>0.0</v>
      </c>
      <c r="E14" s="74">
        <v>0.0</v>
      </c>
      <c r="F14" s="74">
        <v>0.0</v>
      </c>
      <c r="G14" s="74">
        <v>0.0</v>
      </c>
      <c r="H14" s="74">
        <v>0.0</v>
      </c>
      <c r="I14" s="74">
        <v>0.0</v>
      </c>
      <c r="J14" s="74" t="s">
        <v>55</v>
      </c>
      <c r="K14" s="74">
        <v>5.0</v>
      </c>
      <c r="L14" s="74">
        <v>9.0</v>
      </c>
      <c r="M14" s="74">
        <v>32.0</v>
      </c>
      <c r="N14" s="74">
        <v>47.0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44105.0</v>
      </c>
      <c r="B15" s="74">
        <v>0.0</v>
      </c>
      <c r="C15" s="74">
        <v>0.0</v>
      </c>
      <c r="D15" s="74">
        <v>0.0</v>
      </c>
      <c r="E15" s="74">
        <v>0.0</v>
      </c>
      <c r="F15" s="74">
        <v>0.0</v>
      </c>
      <c r="G15" s="74">
        <v>0.0</v>
      </c>
      <c r="H15" s="74">
        <v>0.0</v>
      </c>
      <c r="I15" s="74">
        <v>0.0</v>
      </c>
      <c r="J15" s="74" t="s">
        <v>55</v>
      </c>
      <c r="K15" s="74">
        <v>12.0</v>
      </c>
      <c r="L15" s="74">
        <v>16.0</v>
      </c>
      <c r="M15" s="74">
        <v>59.0</v>
      </c>
      <c r="N15" s="74">
        <v>90.0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44136.0</v>
      </c>
      <c r="B16" s="74">
        <v>0.0</v>
      </c>
      <c r="C16" s="74">
        <v>0.0</v>
      </c>
      <c r="D16" s="74">
        <v>0.0</v>
      </c>
      <c r="E16" s="74">
        <v>0.0</v>
      </c>
      <c r="F16" s="74">
        <v>0.0</v>
      </c>
      <c r="G16" s="74" t="s">
        <v>55</v>
      </c>
      <c r="H16" s="74">
        <v>0.0</v>
      </c>
      <c r="I16" s="74" t="s">
        <v>55</v>
      </c>
      <c r="J16" s="74">
        <v>8.0</v>
      </c>
      <c r="K16" s="74">
        <v>28.0</v>
      </c>
      <c r="L16" s="74">
        <v>33.0</v>
      </c>
      <c r="M16" s="74">
        <v>127.0</v>
      </c>
      <c r="N16" s="74">
        <v>200.0</v>
      </c>
    </row>
    <row r="17">
      <c r="A17" s="126">
        <v>44166.0</v>
      </c>
      <c r="B17" s="74" t="s">
        <v>55</v>
      </c>
      <c r="C17" s="74">
        <v>0.0</v>
      </c>
      <c r="D17" s="74">
        <v>0.0</v>
      </c>
      <c r="E17" s="74">
        <v>0.0</v>
      </c>
      <c r="F17" s="74">
        <v>0.0</v>
      </c>
      <c r="G17" s="74" t="s">
        <v>55</v>
      </c>
      <c r="H17" s="74" t="s">
        <v>55</v>
      </c>
      <c r="I17" s="74">
        <v>7.0</v>
      </c>
      <c r="J17" s="74">
        <v>18.0</v>
      </c>
      <c r="K17" s="74">
        <v>61.0</v>
      </c>
      <c r="L17" s="74">
        <v>115.0</v>
      </c>
      <c r="M17" s="74">
        <v>308.0</v>
      </c>
      <c r="N17" s="74">
        <v>515.0</v>
      </c>
    </row>
    <row r="18">
      <c r="A18" s="126">
        <v>44197.0</v>
      </c>
      <c r="B18" s="74">
        <v>0.0</v>
      </c>
      <c r="C18" s="74">
        <v>0.0</v>
      </c>
      <c r="D18" s="74">
        <v>0.0</v>
      </c>
      <c r="E18" s="74">
        <v>0.0</v>
      </c>
      <c r="F18" s="74">
        <v>0.0</v>
      </c>
      <c r="G18" s="74">
        <v>0.0</v>
      </c>
      <c r="H18" s="74" t="s">
        <v>55</v>
      </c>
      <c r="I18" s="74" t="s">
        <v>55</v>
      </c>
      <c r="J18" s="74">
        <v>19.0</v>
      </c>
      <c r="K18" s="74">
        <v>60.0</v>
      </c>
      <c r="L18" s="74">
        <v>91.0</v>
      </c>
      <c r="M18" s="74">
        <v>248.0</v>
      </c>
      <c r="N18" s="74">
        <v>422.0</v>
      </c>
    </row>
    <row r="19">
      <c r="A19" s="126">
        <v>44228.0</v>
      </c>
      <c r="B19" s="74">
        <v>0.0</v>
      </c>
      <c r="C19" s="74">
        <v>0.0</v>
      </c>
      <c r="D19" s="74">
        <v>0.0</v>
      </c>
      <c r="E19" s="74">
        <v>0.0</v>
      </c>
      <c r="F19" s="74" t="s">
        <v>55</v>
      </c>
      <c r="G19" s="74">
        <v>0.0</v>
      </c>
      <c r="H19" s="74">
        <v>0.0</v>
      </c>
      <c r="I19" s="74" t="s">
        <v>55</v>
      </c>
      <c r="J19" s="74">
        <v>10.0</v>
      </c>
      <c r="K19" s="74">
        <v>22.0</v>
      </c>
      <c r="L19" s="74">
        <v>48.0</v>
      </c>
      <c r="M19" s="74">
        <v>93.0</v>
      </c>
      <c r="N19" s="74">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1" t="s">
        <v>168</v>
      </c>
      <c r="I1" s="102"/>
      <c r="J1" s="102"/>
      <c r="K1" s="103"/>
      <c r="L1" s="104"/>
      <c r="M1" s="105"/>
      <c r="N1" s="104"/>
      <c r="O1" s="12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row>
    <row r="2">
      <c r="A2" s="106" t="s">
        <v>169</v>
      </c>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row>
    <row r="3">
      <c r="A3" s="106" t="s">
        <v>0</v>
      </c>
      <c r="B3" s="108">
        <v>44259.0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row>
    <row r="5" ht="45.0" customHeight="1">
      <c r="A5" s="110" t="s">
        <v>170</v>
      </c>
      <c r="B5" s="111"/>
      <c r="C5" s="111"/>
      <c r="D5" s="111"/>
      <c r="E5" s="111"/>
      <c r="F5" s="111"/>
      <c r="G5" s="111"/>
      <c r="H5" s="111"/>
      <c r="I5" s="111"/>
      <c r="J5" s="111"/>
      <c r="K5" s="41"/>
      <c r="L5" s="112"/>
      <c r="M5" s="112"/>
      <c r="N5" s="112"/>
      <c r="O5" s="112"/>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row>
    <row r="6">
      <c r="A6" s="104"/>
      <c r="B6" s="11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c r="A7" s="114" t="s">
        <v>167</v>
      </c>
      <c r="B7" s="115" t="s">
        <v>54</v>
      </c>
      <c r="C7" s="116">
        <v>43960.0</v>
      </c>
      <c r="D7" s="116">
        <v>44118.0</v>
      </c>
      <c r="E7" s="115" t="s">
        <v>57</v>
      </c>
      <c r="F7" s="115" t="s">
        <v>58</v>
      </c>
      <c r="G7" s="115" t="s">
        <v>59</v>
      </c>
      <c r="H7" s="115" t="s">
        <v>60</v>
      </c>
      <c r="I7" s="115" t="s">
        <v>61</v>
      </c>
      <c r="J7" s="115" t="s">
        <v>62</v>
      </c>
      <c r="K7" s="115" t="s">
        <v>63</v>
      </c>
      <c r="L7" s="115" t="s">
        <v>64</v>
      </c>
      <c r="M7" s="115" t="s">
        <v>104</v>
      </c>
      <c r="N7" s="115"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8" t="s">
        <v>162</v>
      </c>
      <c r="B8" s="129">
        <v>54674.0</v>
      </c>
      <c r="C8" s="129">
        <v>55056.0</v>
      </c>
      <c r="D8" s="129">
        <v>59042.0</v>
      </c>
      <c r="E8" s="129">
        <v>53510.0</v>
      </c>
      <c r="F8" s="129">
        <v>94840.0</v>
      </c>
      <c r="G8" s="129">
        <v>76614.0</v>
      </c>
      <c r="H8" s="129">
        <v>135376.0</v>
      </c>
      <c r="I8" s="129">
        <v>124761.0</v>
      </c>
      <c r="J8" s="129">
        <v>150318.0</v>
      </c>
      <c r="K8" s="129">
        <v>129990.0</v>
      </c>
      <c r="L8" s="129">
        <v>75393.0</v>
      </c>
      <c r="M8" s="129">
        <v>48713.0</v>
      </c>
      <c r="N8" s="129">
        <v>1056611.0</v>
      </c>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c r="A9" s="126">
        <v>43891.0</v>
      </c>
      <c r="B9" s="74">
        <v>0.0</v>
      </c>
      <c r="C9" s="74">
        <v>0.0</v>
      </c>
      <c r="D9" s="74">
        <v>0.0</v>
      </c>
      <c r="E9" s="74">
        <v>0.0</v>
      </c>
      <c r="F9" s="74">
        <v>0.0</v>
      </c>
      <c r="G9" s="74">
        <v>0.0</v>
      </c>
      <c r="H9" s="74" t="s">
        <v>163</v>
      </c>
      <c r="I9" s="74">
        <v>0.0</v>
      </c>
      <c r="J9" s="74" t="s">
        <v>163</v>
      </c>
      <c r="K9" s="74" t="s">
        <v>163</v>
      </c>
      <c r="L9" s="74">
        <v>7.0</v>
      </c>
      <c r="M9" s="74" t="s">
        <v>163</v>
      </c>
      <c r="N9" s="74">
        <v>1.0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43922.0</v>
      </c>
      <c r="B10" s="74">
        <v>0.0</v>
      </c>
      <c r="C10" s="74">
        <v>0.0</v>
      </c>
      <c r="D10" s="74">
        <v>0.0</v>
      </c>
      <c r="E10" s="74">
        <v>0.0</v>
      </c>
      <c r="F10" s="74">
        <v>0.0</v>
      </c>
      <c r="G10" s="74" t="s">
        <v>163</v>
      </c>
      <c r="H10" s="74" t="s">
        <v>163</v>
      </c>
      <c r="I10" s="74">
        <v>4.0</v>
      </c>
      <c r="J10" s="74">
        <v>11.0</v>
      </c>
      <c r="K10" s="74">
        <v>30.0</v>
      </c>
      <c r="L10" s="74">
        <v>119.0</v>
      </c>
      <c r="M10" s="74">
        <v>406.0</v>
      </c>
      <c r="N10" s="74">
        <v>33.0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43952.0</v>
      </c>
      <c r="B11" s="74">
        <v>0.0</v>
      </c>
      <c r="C11" s="74">
        <v>0.0</v>
      </c>
      <c r="D11" s="74">
        <v>0.0</v>
      </c>
      <c r="E11" s="74">
        <v>0.0</v>
      </c>
      <c r="F11" s="74">
        <v>0.0</v>
      </c>
      <c r="G11" s="74">
        <v>0.0</v>
      </c>
      <c r="H11" s="74" t="s">
        <v>163</v>
      </c>
      <c r="I11" s="74">
        <v>4.0</v>
      </c>
      <c r="J11" s="74">
        <v>11.0</v>
      </c>
      <c r="K11" s="74">
        <v>35.0</v>
      </c>
      <c r="L11" s="74">
        <v>142.0</v>
      </c>
      <c r="M11" s="74">
        <v>587.0</v>
      </c>
      <c r="N11" s="74">
        <v>44.0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43983.0</v>
      </c>
      <c r="B12" s="74">
        <v>0.0</v>
      </c>
      <c r="C12" s="74">
        <v>0.0</v>
      </c>
      <c r="D12" s="74" t="s">
        <v>163</v>
      </c>
      <c r="E12" s="74">
        <v>0.0</v>
      </c>
      <c r="F12" s="74">
        <v>0.0</v>
      </c>
      <c r="G12" s="74">
        <v>0.0</v>
      </c>
      <c r="H12" s="74">
        <v>0.0</v>
      </c>
      <c r="I12" s="74" t="s">
        <v>163</v>
      </c>
      <c r="J12" s="74">
        <v>5.0</v>
      </c>
      <c r="K12" s="74">
        <v>8.0</v>
      </c>
      <c r="L12" s="74">
        <v>53.0</v>
      </c>
      <c r="M12" s="74">
        <v>181.0</v>
      </c>
      <c r="N12" s="74">
        <v>14.0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44013.0</v>
      </c>
      <c r="B13" s="74">
        <v>0.0</v>
      </c>
      <c r="C13" s="74">
        <v>0.0</v>
      </c>
      <c r="D13" s="74">
        <v>0.0</v>
      </c>
      <c r="E13" s="74">
        <v>0.0</v>
      </c>
      <c r="F13" s="74">
        <v>0.0</v>
      </c>
      <c r="G13" s="74" t="s">
        <v>163</v>
      </c>
      <c r="H13" s="74">
        <v>0.0</v>
      </c>
      <c r="I13" s="74" t="s">
        <v>163</v>
      </c>
      <c r="J13" s="74" t="s">
        <v>163</v>
      </c>
      <c r="K13" s="74">
        <v>8.0</v>
      </c>
      <c r="L13" s="74">
        <v>8.0</v>
      </c>
      <c r="M13" s="74">
        <v>57.0</v>
      </c>
      <c r="N13" s="74">
        <v>5.0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44044.0</v>
      </c>
      <c r="B14" s="74">
        <v>0.0</v>
      </c>
      <c r="C14" s="74">
        <v>0.0</v>
      </c>
      <c r="D14" s="74">
        <v>0.0</v>
      </c>
      <c r="E14" s="74">
        <v>0.0</v>
      </c>
      <c r="F14" s="74" t="s">
        <v>163</v>
      </c>
      <c r="G14" s="74">
        <v>0.0</v>
      </c>
      <c r="H14" s="74">
        <v>0.0</v>
      </c>
      <c r="I14" s="74" t="s">
        <v>163</v>
      </c>
      <c r="J14" s="74">
        <v>3.0</v>
      </c>
      <c r="K14" s="74">
        <v>5.0</v>
      </c>
      <c r="L14" s="74">
        <v>9.0</v>
      </c>
      <c r="M14" s="74">
        <v>62.0</v>
      </c>
      <c r="N14" s="74">
        <v>5.0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44075.0</v>
      </c>
      <c r="B15" s="74">
        <v>0.0</v>
      </c>
      <c r="C15" s="74">
        <v>0.0</v>
      </c>
      <c r="D15" s="74">
        <v>0.0</v>
      </c>
      <c r="E15" s="74">
        <v>0.0</v>
      </c>
      <c r="F15" s="74">
        <v>0.0</v>
      </c>
      <c r="G15" s="74">
        <v>0.0</v>
      </c>
      <c r="H15" s="74">
        <v>0.0</v>
      </c>
      <c r="I15" s="74">
        <v>0.0</v>
      </c>
      <c r="J15" s="74" t="s">
        <v>163</v>
      </c>
      <c r="K15" s="74">
        <v>4.0</v>
      </c>
      <c r="L15" s="74">
        <v>12.0</v>
      </c>
      <c r="M15" s="74">
        <v>66.0</v>
      </c>
      <c r="N15" s="74">
        <v>4.0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44105.0</v>
      </c>
      <c r="B16" s="74">
        <v>0.0</v>
      </c>
      <c r="C16" s="74">
        <v>0.0</v>
      </c>
      <c r="D16" s="74">
        <v>0.0</v>
      </c>
      <c r="E16" s="74">
        <v>0.0</v>
      </c>
      <c r="F16" s="74">
        <v>0.0</v>
      </c>
      <c r="G16" s="74">
        <v>0.0</v>
      </c>
      <c r="H16" s="74">
        <v>0.0</v>
      </c>
      <c r="I16" s="74">
        <v>0.0</v>
      </c>
      <c r="J16" s="74" t="s">
        <v>163</v>
      </c>
      <c r="K16" s="74">
        <v>9.0</v>
      </c>
      <c r="L16" s="74">
        <v>21.0</v>
      </c>
      <c r="M16" s="74">
        <v>121.0</v>
      </c>
      <c r="N16" s="74">
        <v>9.0</v>
      </c>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c r="A17" s="126">
        <v>44136.0</v>
      </c>
      <c r="B17" s="74">
        <v>0.0</v>
      </c>
      <c r="C17" s="74">
        <v>0.0</v>
      </c>
      <c r="D17" s="74">
        <v>0.0</v>
      </c>
      <c r="E17" s="74">
        <v>0.0</v>
      </c>
      <c r="F17" s="74">
        <v>0.0</v>
      </c>
      <c r="G17" s="74" t="s">
        <v>163</v>
      </c>
      <c r="H17" s="74">
        <v>0.0</v>
      </c>
      <c r="I17" s="74" t="s">
        <v>163</v>
      </c>
      <c r="J17" s="74">
        <v>5.0</v>
      </c>
      <c r="K17" s="74">
        <v>22.0</v>
      </c>
      <c r="L17" s="74">
        <v>44.0</v>
      </c>
      <c r="M17" s="74">
        <v>261.0</v>
      </c>
      <c r="N17" s="74">
        <v>19.0</v>
      </c>
    </row>
    <row r="18">
      <c r="A18" s="126">
        <v>44166.0</v>
      </c>
      <c r="B18" s="74" t="s">
        <v>163</v>
      </c>
      <c r="C18" s="74">
        <v>0.0</v>
      </c>
      <c r="D18" s="74">
        <v>0.0</v>
      </c>
      <c r="E18" s="74">
        <v>0.0</v>
      </c>
      <c r="F18" s="74">
        <v>0.0</v>
      </c>
      <c r="G18" s="74" t="s">
        <v>163</v>
      </c>
      <c r="H18" s="74" t="s">
        <v>163</v>
      </c>
      <c r="I18" s="74">
        <v>6.0</v>
      </c>
      <c r="J18" s="74">
        <v>12.0</v>
      </c>
      <c r="K18" s="74">
        <v>47.0</v>
      </c>
      <c r="L18" s="74">
        <v>153.0</v>
      </c>
      <c r="M18" s="74">
        <v>632.0</v>
      </c>
      <c r="N18" s="74">
        <v>49.0</v>
      </c>
    </row>
    <row r="19">
      <c r="A19" s="126">
        <v>44197.0</v>
      </c>
      <c r="B19" s="74">
        <v>0.0</v>
      </c>
      <c r="C19" s="74">
        <v>0.0</v>
      </c>
      <c r="D19" s="74">
        <v>0.0</v>
      </c>
      <c r="E19" s="74">
        <v>0.0</v>
      </c>
      <c r="F19" s="74">
        <v>0.0</v>
      </c>
      <c r="G19" s="74">
        <v>0.0</v>
      </c>
      <c r="H19" s="74" t="s">
        <v>163</v>
      </c>
      <c r="I19" s="74" t="s">
        <v>163</v>
      </c>
      <c r="J19" s="74">
        <v>13.0</v>
      </c>
      <c r="K19" s="74">
        <v>46.0</v>
      </c>
      <c r="L19" s="74">
        <v>121.0</v>
      </c>
      <c r="M19" s="74">
        <v>509.0</v>
      </c>
      <c r="N19" s="74">
        <v>40.0</v>
      </c>
    </row>
    <row r="20">
      <c r="A20" s="126">
        <v>44228.0</v>
      </c>
      <c r="B20" s="74">
        <v>0.0</v>
      </c>
      <c r="C20" s="74">
        <v>0.0</v>
      </c>
      <c r="D20" s="74">
        <v>0.0</v>
      </c>
      <c r="E20" s="74">
        <v>0.0</v>
      </c>
      <c r="F20" s="74" t="s">
        <v>163</v>
      </c>
      <c r="G20" s="74">
        <v>0.0</v>
      </c>
      <c r="H20" s="74">
        <v>0.0</v>
      </c>
      <c r="I20" s="74" t="s">
        <v>163</v>
      </c>
      <c r="J20" s="74">
        <v>7.0</v>
      </c>
      <c r="K20" s="74">
        <v>17.0</v>
      </c>
      <c r="L20" s="74">
        <v>64.0</v>
      </c>
      <c r="M20" s="74">
        <v>191.0</v>
      </c>
      <c r="N20" s="74">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1" t="s">
        <v>171</v>
      </c>
      <c r="J1" s="102"/>
      <c r="K1" s="103"/>
      <c r="L1" s="104"/>
      <c r="M1" s="105"/>
      <c r="N1" s="104"/>
      <c r="O1" s="104"/>
      <c r="P1" s="104"/>
      <c r="Q1" s="104"/>
      <c r="R1" s="104"/>
      <c r="S1" s="104"/>
      <c r="T1" s="104"/>
      <c r="U1" s="104"/>
      <c r="V1" s="104"/>
      <c r="W1" s="104"/>
      <c r="X1" s="104"/>
      <c r="Y1" s="104"/>
      <c r="Z1" s="104"/>
      <c r="AA1" s="104"/>
      <c r="AB1" s="104"/>
      <c r="AC1" s="104"/>
      <c r="AD1" s="104"/>
      <c r="AE1" s="104"/>
      <c r="AF1" s="104"/>
      <c r="AG1" s="104"/>
      <c r="AH1" s="104"/>
      <c r="AI1" s="104"/>
      <c r="AJ1" s="104"/>
    </row>
    <row r="2">
      <c r="A2" s="106" t="s">
        <v>172</v>
      </c>
      <c r="K2" s="107"/>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row>
    <row r="3">
      <c r="A3" s="106" t="s">
        <v>0</v>
      </c>
      <c r="B3" s="108">
        <v>44265.0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ht="36.75" customHeight="1">
      <c r="A5" s="110" t="s">
        <v>173</v>
      </c>
      <c r="B5" s="111"/>
      <c r="C5" s="111"/>
      <c r="D5" s="111"/>
      <c r="E5" s="111"/>
      <c r="F5" s="111"/>
      <c r="G5" s="111"/>
      <c r="H5" s="111"/>
      <c r="I5" s="111"/>
      <c r="J5" s="111"/>
      <c r="K5" s="111"/>
      <c r="L5" s="41"/>
      <c r="M5" s="112"/>
      <c r="N5" s="112"/>
      <c r="O5" s="104"/>
      <c r="P5" s="104"/>
      <c r="Q5" s="104"/>
      <c r="R5" s="104"/>
      <c r="S5" s="104"/>
      <c r="T5" s="104"/>
      <c r="U5" s="104"/>
      <c r="V5" s="104"/>
      <c r="W5" s="104"/>
      <c r="X5" s="104"/>
      <c r="Y5" s="104"/>
      <c r="Z5" s="104"/>
      <c r="AA5" s="104"/>
      <c r="AB5" s="104"/>
      <c r="AC5" s="104"/>
      <c r="AD5" s="104"/>
      <c r="AE5" s="104"/>
      <c r="AF5" s="104"/>
      <c r="AG5" s="104"/>
      <c r="AH5" s="104"/>
      <c r="AI5" s="104"/>
      <c r="AJ5" s="104"/>
    </row>
    <row r="6">
      <c r="A6" s="130"/>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row>
    <row r="7">
      <c r="A7" s="131" t="s">
        <v>174</v>
      </c>
      <c r="B7" s="132" t="s">
        <v>54</v>
      </c>
      <c r="C7" s="133">
        <v>44325.0</v>
      </c>
      <c r="D7" s="133">
        <v>44484.0</v>
      </c>
      <c r="E7" s="132" t="s">
        <v>175</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19">
        <v>0.0</v>
      </c>
      <c r="C8" s="119">
        <v>0.0</v>
      </c>
      <c r="D8" s="119">
        <v>0.0</v>
      </c>
      <c r="E8" s="119" t="s">
        <v>55</v>
      </c>
      <c r="F8" s="119">
        <v>123.0</v>
      </c>
      <c r="G8" s="119">
        <v>409.0</v>
      </c>
      <c r="H8" s="119">
        <v>913.0</v>
      </c>
      <c r="I8" s="119">
        <v>708.0</v>
      </c>
      <c r="J8" s="119">
        <v>825.0</v>
      </c>
      <c r="K8" s="119">
        <v>548.0</v>
      </c>
      <c r="L8" s="119">
        <v>65.0</v>
      </c>
      <c r="M8" s="119" t="s">
        <v>55</v>
      </c>
      <c r="N8" s="135">
        <v>3596.0</v>
      </c>
      <c r="O8" s="104"/>
      <c r="P8" s="104"/>
      <c r="Q8" s="104"/>
      <c r="R8" s="104"/>
      <c r="S8" s="104"/>
      <c r="T8" s="104"/>
      <c r="U8" s="104"/>
      <c r="V8" s="104"/>
      <c r="W8" s="104"/>
      <c r="X8" s="104"/>
      <c r="Y8" s="104"/>
      <c r="Z8" s="104"/>
      <c r="AA8" s="104"/>
      <c r="AB8" s="104"/>
      <c r="AC8" s="104"/>
      <c r="AD8" s="104"/>
      <c r="AE8" s="104"/>
      <c r="AF8" s="104"/>
      <c r="AG8" s="104"/>
      <c r="AH8" s="104"/>
      <c r="AI8" s="104"/>
      <c r="AJ8" s="104"/>
    </row>
    <row r="9">
      <c r="A9" s="134" t="s">
        <v>148</v>
      </c>
      <c r="B9" s="119">
        <v>0.0</v>
      </c>
      <c r="C9" s="119">
        <v>0.0</v>
      </c>
      <c r="D9" s="119">
        <v>0.0</v>
      </c>
      <c r="E9" s="119" t="s">
        <v>55</v>
      </c>
      <c r="F9" s="119">
        <v>269.0</v>
      </c>
      <c r="G9" s="119">
        <v>653.0</v>
      </c>
      <c r="H9" s="135">
        <v>1396.0</v>
      </c>
      <c r="I9" s="135">
        <v>1171.0</v>
      </c>
      <c r="J9" s="135">
        <v>1530.0</v>
      </c>
      <c r="K9" s="135">
        <v>1085.0</v>
      </c>
      <c r="L9" s="119">
        <v>161.0</v>
      </c>
      <c r="M9" s="119">
        <v>23.0</v>
      </c>
      <c r="N9" s="135">
        <v>6291.0</v>
      </c>
      <c r="O9" s="104"/>
      <c r="P9" s="104"/>
      <c r="Q9" s="104"/>
      <c r="R9" s="104"/>
      <c r="S9" s="104"/>
      <c r="T9" s="104"/>
      <c r="U9" s="104"/>
      <c r="V9" s="104"/>
      <c r="W9" s="104"/>
      <c r="X9" s="104"/>
      <c r="Y9" s="104"/>
      <c r="Z9" s="104"/>
      <c r="AA9" s="104"/>
      <c r="AB9" s="104"/>
      <c r="AC9" s="104"/>
      <c r="AD9" s="104"/>
      <c r="AE9" s="104"/>
      <c r="AF9" s="104"/>
      <c r="AG9" s="104"/>
      <c r="AH9" s="104"/>
      <c r="AI9" s="104"/>
      <c r="AJ9" s="104"/>
    </row>
    <row r="10">
      <c r="A10" s="134" t="s">
        <v>149</v>
      </c>
      <c r="B10" s="119">
        <v>0.0</v>
      </c>
      <c r="C10" s="119">
        <v>0.0</v>
      </c>
      <c r="D10" s="119" t="s">
        <v>55</v>
      </c>
      <c r="E10" s="119">
        <v>31.0</v>
      </c>
      <c r="F10" s="119">
        <v>612.0</v>
      </c>
      <c r="G10" s="135">
        <v>1009.0</v>
      </c>
      <c r="H10" s="135">
        <v>2065.0</v>
      </c>
      <c r="I10" s="135">
        <v>2027.0</v>
      </c>
      <c r="J10" s="135">
        <v>2665.0</v>
      </c>
      <c r="K10" s="135">
        <v>2037.0</v>
      </c>
      <c r="L10" s="119">
        <v>661.0</v>
      </c>
      <c r="M10" s="119">
        <v>802.0</v>
      </c>
      <c r="N10" s="135">
        <v>11910.0</v>
      </c>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c r="A11" s="134" t="s">
        <v>150</v>
      </c>
      <c r="B11" s="119">
        <v>0.0</v>
      </c>
      <c r="C11" s="119">
        <v>0.0</v>
      </c>
      <c r="D11" s="119">
        <v>0.0</v>
      </c>
      <c r="E11" s="119">
        <v>49.0</v>
      </c>
      <c r="F11" s="119">
        <v>570.0</v>
      </c>
      <c r="G11" s="119">
        <v>853.0</v>
      </c>
      <c r="H11" s="135">
        <v>1771.0</v>
      </c>
      <c r="I11" s="135">
        <v>1958.0</v>
      </c>
      <c r="J11" s="135">
        <v>2539.0</v>
      </c>
      <c r="K11" s="135">
        <v>2044.0</v>
      </c>
      <c r="L11" s="119">
        <v>923.0</v>
      </c>
      <c r="M11" s="135">
        <v>1246.0</v>
      </c>
      <c r="N11" s="135">
        <v>11953.0</v>
      </c>
      <c r="O11" s="104"/>
      <c r="P11" s="104"/>
      <c r="Q11" s="104"/>
      <c r="R11" s="104"/>
      <c r="S11" s="104"/>
      <c r="T11" s="104"/>
      <c r="U11" s="104"/>
      <c r="V11" s="104"/>
      <c r="W11" s="104"/>
      <c r="X11" s="104"/>
      <c r="Y11" s="104"/>
      <c r="Z11" s="104"/>
      <c r="AA11" s="104"/>
      <c r="AB11" s="104"/>
      <c r="AC11" s="104"/>
      <c r="AD11" s="104"/>
      <c r="AE11" s="104"/>
      <c r="AF11" s="104"/>
      <c r="AG11" s="104"/>
      <c r="AH11" s="104"/>
      <c r="AI11" s="104"/>
      <c r="AJ11" s="104"/>
    </row>
    <row r="12">
      <c r="A12" s="134" t="s">
        <v>151</v>
      </c>
      <c r="B12" s="119">
        <v>0.0</v>
      </c>
      <c r="C12" s="119">
        <v>0.0</v>
      </c>
      <c r="D12" s="119" t="s">
        <v>55</v>
      </c>
      <c r="E12" s="119">
        <v>62.0</v>
      </c>
      <c r="F12" s="119">
        <v>626.0</v>
      </c>
      <c r="G12" s="119">
        <v>710.0</v>
      </c>
      <c r="H12" s="135">
        <v>1362.0</v>
      </c>
      <c r="I12" s="135">
        <v>1463.0</v>
      </c>
      <c r="J12" s="135">
        <v>2125.0</v>
      </c>
      <c r="K12" s="135">
        <v>1749.0</v>
      </c>
      <c r="L12" s="119">
        <v>803.0</v>
      </c>
      <c r="M12" s="135">
        <v>1122.0</v>
      </c>
      <c r="N12" s="135">
        <v>10023.0</v>
      </c>
      <c r="O12" s="104"/>
      <c r="P12" s="104"/>
      <c r="Q12" s="104"/>
      <c r="R12" s="104"/>
      <c r="S12" s="104"/>
      <c r="T12" s="104"/>
      <c r="U12" s="104"/>
      <c r="V12" s="104"/>
      <c r="W12" s="104"/>
      <c r="X12" s="104"/>
      <c r="Y12" s="104"/>
      <c r="Z12" s="104"/>
      <c r="AA12" s="104"/>
      <c r="AB12" s="104"/>
      <c r="AC12" s="104"/>
      <c r="AD12" s="104"/>
      <c r="AE12" s="104"/>
      <c r="AF12" s="104"/>
      <c r="AG12" s="104"/>
      <c r="AH12" s="104"/>
      <c r="AI12" s="104"/>
      <c r="AJ12" s="104"/>
    </row>
    <row r="13">
      <c r="A13" s="134" t="s">
        <v>152</v>
      </c>
      <c r="B13" s="119">
        <v>0.0</v>
      </c>
      <c r="C13" s="119">
        <v>0.0</v>
      </c>
      <c r="D13" s="119">
        <v>0.0</v>
      </c>
      <c r="E13" s="119">
        <v>63.0</v>
      </c>
      <c r="F13" s="119">
        <v>877.0</v>
      </c>
      <c r="G13" s="119">
        <v>725.0</v>
      </c>
      <c r="H13" s="135">
        <v>1512.0</v>
      </c>
      <c r="I13" s="135">
        <v>1590.0</v>
      </c>
      <c r="J13" s="135">
        <v>1996.0</v>
      </c>
      <c r="K13" s="135">
        <v>1943.0</v>
      </c>
      <c r="L13" s="135">
        <v>1088.0</v>
      </c>
      <c r="M13" s="135">
        <v>1378.0</v>
      </c>
      <c r="N13" s="135">
        <v>11172.0</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c r="A14" s="134" t="s">
        <v>153</v>
      </c>
      <c r="B14" s="119">
        <v>0.0</v>
      </c>
      <c r="C14" s="119">
        <v>0.0</v>
      </c>
      <c r="D14" s="119">
        <v>0.0</v>
      </c>
      <c r="E14" s="119">
        <v>61.0</v>
      </c>
      <c r="F14" s="119">
        <v>637.0</v>
      </c>
      <c r="G14" s="119">
        <v>798.0</v>
      </c>
      <c r="H14" s="135">
        <v>1701.0</v>
      </c>
      <c r="I14" s="135">
        <v>1840.0</v>
      </c>
      <c r="J14" s="135">
        <v>2372.0</v>
      </c>
      <c r="K14" s="135">
        <v>2091.0</v>
      </c>
      <c r="L14" s="135">
        <v>1988.0</v>
      </c>
      <c r="M14" s="135">
        <v>2637.0</v>
      </c>
      <c r="N14" s="135">
        <v>14125.0</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c r="A15" s="134" t="s">
        <v>154</v>
      </c>
      <c r="B15" s="119">
        <v>0.0</v>
      </c>
      <c r="C15" s="119">
        <v>0.0</v>
      </c>
      <c r="D15" s="119">
        <v>0.0</v>
      </c>
      <c r="E15" s="119">
        <v>75.0</v>
      </c>
      <c r="F15" s="119">
        <v>477.0</v>
      </c>
      <c r="G15" s="119">
        <v>574.0</v>
      </c>
      <c r="H15" s="135">
        <v>1246.0</v>
      </c>
      <c r="I15" s="135">
        <v>1837.0</v>
      </c>
      <c r="J15" s="135">
        <v>2485.0</v>
      </c>
      <c r="K15" s="135">
        <v>2911.0</v>
      </c>
      <c r="L15" s="135">
        <v>3309.0</v>
      </c>
      <c r="M15" s="135">
        <v>3715.0</v>
      </c>
      <c r="N15" s="135">
        <v>16629.0</v>
      </c>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c r="A16" s="134" t="s">
        <v>155</v>
      </c>
      <c r="B16" s="119">
        <v>0.0</v>
      </c>
      <c r="C16" s="119">
        <v>0.0</v>
      </c>
      <c r="D16" s="119">
        <v>0.0</v>
      </c>
      <c r="E16" s="119">
        <v>79.0</v>
      </c>
      <c r="F16" s="119">
        <v>587.0</v>
      </c>
      <c r="G16" s="119">
        <v>778.0</v>
      </c>
      <c r="H16" s="135">
        <v>1733.0</v>
      </c>
      <c r="I16" s="135">
        <v>1345.0</v>
      </c>
      <c r="J16" s="135">
        <v>1708.0</v>
      </c>
      <c r="K16" s="135">
        <v>2044.0</v>
      </c>
      <c r="L16" s="135">
        <v>4292.0</v>
      </c>
      <c r="M16" s="135">
        <v>3805.0</v>
      </c>
      <c r="N16" s="135">
        <v>16371.0</v>
      </c>
      <c r="O16" s="104"/>
      <c r="P16" s="104"/>
      <c r="Q16" s="104"/>
      <c r="R16" s="104"/>
      <c r="S16" s="104"/>
      <c r="T16" s="104"/>
      <c r="U16" s="104"/>
      <c r="V16" s="104"/>
      <c r="W16" s="104"/>
      <c r="X16" s="104"/>
      <c r="Y16" s="104"/>
      <c r="Z16" s="104"/>
      <c r="AA16" s="104"/>
      <c r="AB16" s="104"/>
      <c r="AC16" s="104"/>
      <c r="AD16" s="104"/>
      <c r="AE16" s="104"/>
      <c r="AF16" s="104"/>
      <c r="AG16" s="104"/>
      <c r="AH16" s="104"/>
      <c r="AI16" s="104"/>
      <c r="AJ16" s="104"/>
    </row>
    <row r="17">
      <c r="A17" s="134" t="s">
        <v>156</v>
      </c>
      <c r="B17" s="119">
        <v>0.0</v>
      </c>
      <c r="C17" s="119">
        <v>0.0</v>
      </c>
      <c r="D17" s="119">
        <v>0.0</v>
      </c>
      <c r="E17" s="119">
        <v>63.0</v>
      </c>
      <c r="F17" s="119">
        <v>662.0</v>
      </c>
      <c r="G17" s="119">
        <v>598.0</v>
      </c>
      <c r="H17" s="135">
        <v>1267.0</v>
      </c>
      <c r="I17" s="135">
        <v>1225.0</v>
      </c>
      <c r="J17" s="135">
        <v>1824.0</v>
      </c>
      <c r="K17" s="135">
        <v>4403.0</v>
      </c>
      <c r="L17" s="135">
        <v>10488.0</v>
      </c>
      <c r="M17" s="135">
        <v>8732.0</v>
      </c>
      <c r="N17" s="135">
        <v>29262.0</v>
      </c>
      <c r="O17" s="104"/>
      <c r="P17" s="104"/>
      <c r="Q17" s="104"/>
      <c r="R17" s="104"/>
      <c r="S17" s="104"/>
      <c r="T17" s="104"/>
      <c r="U17" s="104"/>
      <c r="V17" s="104"/>
      <c r="W17" s="104"/>
      <c r="X17" s="104"/>
      <c r="Y17" s="104"/>
      <c r="Z17" s="104"/>
      <c r="AA17" s="104"/>
      <c r="AB17" s="104"/>
      <c r="AC17" s="104"/>
      <c r="AD17" s="104"/>
      <c r="AE17" s="104"/>
      <c r="AF17" s="104"/>
      <c r="AG17" s="104"/>
      <c r="AH17" s="104"/>
      <c r="AI17" s="104"/>
      <c r="AJ17" s="104"/>
    </row>
    <row r="18">
      <c r="A18" s="134" t="s">
        <v>157</v>
      </c>
      <c r="B18" s="119">
        <v>0.0</v>
      </c>
      <c r="C18" s="119">
        <v>0.0</v>
      </c>
      <c r="D18" s="119">
        <v>0.0</v>
      </c>
      <c r="E18" s="119">
        <v>51.0</v>
      </c>
      <c r="F18" s="119">
        <v>269.0</v>
      </c>
      <c r="G18" s="119">
        <v>261.0</v>
      </c>
      <c r="H18" s="119">
        <v>672.0</v>
      </c>
      <c r="I18" s="119">
        <v>864.0</v>
      </c>
      <c r="J18" s="135">
        <v>1363.0</v>
      </c>
      <c r="K18" s="135">
        <v>15276.0</v>
      </c>
      <c r="L18" s="135">
        <v>16063.0</v>
      </c>
      <c r="M18" s="135">
        <v>5533.0</v>
      </c>
      <c r="N18" s="135">
        <v>40352.0</v>
      </c>
      <c r="O18" s="104"/>
      <c r="P18" s="104"/>
      <c r="Q18" s="104"/>
      <c r="R18" s="104"/>
      <c r="S18" s="104"/>
      <c r="T18" s="104"/>
      <c r="U18" s="104"/>
      <c r="V18" s="104"/>
      <c r="W18" s="104"/>
      <c r="X18" s="104"/>
      <c r="Y18" s="104"/>
      <c r="Z18" s="104"/>
      <c r="AA18" s="104"/>
      <c r="AB18" s="104"/>
      <c r="AC18" s="104"/>
      <c r="AD18" s="104"/>
      <c r="AE18" s="104"/>
      <c r="AF18" s="104"/>
      <c r="AG18" s="104"/>
      <c r="AH18" s="104"/>
      <c r="AI18" s="104"/>
      <c r="AJ18" s="104"/>
    </row>
    <row r="19">
      <c r="A19" s="134" t="s">
        <v>158</v>
      </c>
      <c r="B19" s="119">
        <v>0.0</v>
      </c>
      <c r="C19" s="119">
        <v>0.0</v>
      </c>
      <c r="D19" s="119">
        <v>0.0</v>
      </c>
      <c r="E19" s="119">
        <v>64.0</v>
      </c>
      <c r="F19" s="119">
        <v>452.0</v>
      </c>
      <c r="G19" s="119">
        <v>489.0</v>
      </c>
      <c r="H19" s="135">
        <v>1350.0</v>
      </c>
      <c r="I19" s="135">
        <v>1692.0</v>
      </c>
      <c r="J19" s="135">
        <v>3155.0</v>
      </c>
      <c r="K19" s="135">
        <v>11741.0</v>
      </c>
      <c r="L19" s="135">
        <v>9862.0</v>
      </c>
      <c r="M19" s="135">
        <v>2514.0</v>
      </c>
      <c r="N19" s="135">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1" t="s">
        <v>176</v>
      </c>
      <c r="K1" s="103"/>
      <c r="L1" s="104"/>
      <c r="M1" s="105"/>
      <c r="N1" s="104"/>
      <c r="O1" s="104"/>
      <c r="P1" s="104"/>
      <c r="Q1" s="104"/>
      <c r="R1" s="104"/>
      <c r="S1" s="104"/>
      <c r="T1" s="104"/>
      <c r="U1" s="104"/>
      <c r="V1" s="104"/>
      <c r="W1" s="104"/>
      <c r="X1" s="104"/>
      <c r="Y1" s="104"/>
      <c r="Z1" s="104"/>
      <c r="AA1" s="104"/>
      <c r="AB1" s="104"/>
      <c r="AC1" s="104"/>
      <c r="AD1" s="104"/>
      <c r="AE1" s="104"/>
      <c r="AF1" s="104"/>
      <c r="AG1" s="104"/>
      <c r="AH1" s="104"/>
      <c r="AI1" s="104"/>
      <c r="AJ1" s="104"/>
    </row>
    <row r="2">
      <c r="A2" s="106" t="s">
        <v>177</v>
      </c>
      <c r="Y2" s="104"/>
      <c r="Z2" s="104"/>
      <c r="AA2" s="104"/>
      <c r="AB2" s="104"/>
      <c r="AC2" s="104"/>
      <c r="AD2" s="104"/>
      <c r="AE2" s="104"/>
      <c r="AF2" s="104"/>
      <c r="AG2" s="104"/>
      <c r="AH2" s="104"/>
      <c r="AI2" s="104"/>
      <c r="AJ2" s="104"/>
    </row>
    <row r="3">
      <c r="A3" s="106" t="s">
        <v>0</v>
      </c>
      <c r="B3" s="108">
        <v>44265.0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ht="35.25" customHeight="1">
      <c r="A5" s="110" t="s">
        <v>178</v>
      </c>
      <c r="B5" s="111"/>
      <c r="C5" s="111"/>
      <c r="D5" s="111"/>
      <c r="E5" s="111"/>
      <c r="F5" s="111"/>
      <c r="G5" s="111"/>
      <c r="H5" s="111"/>
      <c r="I5" s="111"/>
      <c r="J5" s="111"/>
      <c r="K5" s="111"/>
      <c r="L5" s="41"/>
      <c r="M5" s="112"/>
      <c r="N5" s="112"/>
      <c r="O5" s="104"/>
      <c r="P5" s="104"/>
      <c r="Q5" s="104"/>
      <c r="R5" s="104"/>
      <c r="S5" s="104"/>
      <c r="T5" s="104"/>
      <c r="U5" s="104"/>
      <c r="V5" s="104"/>
      <c r="W5" s="104"/>
      <c r="X5" s="104"/>
      <c r="Y5" s="104"/>
      <c r="Z5" s="104"/>
      <c r="AA5" s="104"/>
      <c r="AB5" s="104"/>
      <c r="AC5" s="104"/>
      <c r="AD5" s="104"/>
      <c r="AE5" s="104"/>
      <c r="AF5" s="104"/>
      <c r="AG5" s="104"/>
      <c r="AH5" s="104"/>
      <c r="AI5" s="104"/>
      <c r="AJ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row>
    <row r="7">
      <c r="A7" s="136" t="s">
        <v>174</v>
      </c>
      <c r="B7" s="132" t="s">
        <v>54</v>
      </c>
      <c r="C7" s="133">
        <v>44325.0</v>
      </c>
      <c r="D7" s="133">
        <v>44484.0</v>
      </c>
      <c r="E7" s="132" t="s">
        <v>175</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7" t="s">
        <v>162</v>
      </c>
      <c r="B8" s="138">
        <v>54674.0</v>
      </c>
      <c r="C8" s="138">
        <v>55056.0</v>
      </c>
      <c r="D8" s="138">
        <v>71368.0</v>
      </c>
      <c r="E8" s="138">
        <v>41184.0</v>
      </c>
      <c r="F8" s="138">
        <v>94840.0</v>
      </c>
      <c r="G8" s="138">
        <v>76614.0</v>
      </c>
      <c r="H8" s="138">
        <v>135376.0</v>
      </c>
      <c r="I8" s="138">
        <v>124761.0</v>
      </c>
      <c r="J8" s="138">
        <v>150318.0</v>
      </c>
      <c r="K8" s="138">
        <v>129990.0</v>
      </c>
      <c r="L8" s="139">
        <v>75393.0</v>
      </c>
      <c r="M8" s="140">
        <v>48713.0</v>
      </c>
      <c r="N8" s="140">
        <v>1056611.0</v>
      </c>
      <c r="O8" s="125"/>
      <c r="P8" s="125"/>
      <c r="Q8" s="141"/>
      <c r="R8" s="125"/>
      <c r="S8" s="125"/>
      <c r="T8" s="141"/>
      <c r="U8" s="125"/>
      <c r="V8" s="125"/>
      <c r="W8" s="125"/>
      <c r="X8" s="125"/>
      <c r="Y8" s="125"/>
      <c r="Z8" s="125"/>
      <c r="AA8" s="125"/>
      <c r="AB8" s="125"/>
      <c r="AC8" s="125"/>
      <c r="AD8" s="125"/>
      <c r="AE8" s="125"/>
      <c r="AF8" s="125"/>
      <c r="AG8" s="125"/>
      <c r="AH8" s="125"/>
      <c r="AI8" s="125"/>
      <c r="AJ8" s="125"/>
    </row>
    <row r="9">
      <c r="A9" s="134" t="s">
        <v>147</v>
      </c>
      <c r="B9" s="119">
        <v>0.0</v>
      </c>
      <c r="C9" s="119">
        <v>0.0</v>
      </c>
      <c r="D9" s="119">
        <v>0.0</v>
      </c>
      <c r="E9" s="119" t="s">
        <v>163</v>
      </c>
      <c r="F9" s="119">
        <v>130.0</v>
      </c>
      <c r="G9" s="119">
        <v>534.0</v>
      </c>
      <c r="H9" s="119">
        <v>674.0</v>
      </c>
      <c r="I9" s="119">
        <v>567.0</v>
      </c>
      <c r="J9" s="119">
        <v>549.0</v>
      </c>
      <c r="K9" s="119">
        <v>422.0</v>
      </c>
      <c r="L9" s="119">
        <v>86.0</v>
      </c>
      <c r="M9" s="119" t="s">
        <v>163</v>
      </c>
      <c r="N9" s="119">
        <v>340.0</v>
      </c>
      <c r="O9" s="104"/>
      <c r="P9" s="104"/>
      <c r="Q9" s="104"/>
      <c r="R9" s="104"/>
      <c r="S9" s="104"/>
      <c r="T9" s="104"/>
      <c r="U9" s="104"/>
      <c r="V9" s="104"/>
      <c r="W9" s="104"/>
      <c r="X9" s="104"/>
      <c r="Y9" s="104"/>
      <c r="Z9" s="104"/>
      <c r="AA9" s="104"/>
      <c r="AB9" s="104"/>
      <c r="AC9" s="104"/>
      <c r="AD9" s="104"/>
      <c r="AE9" s="104"/>
      <c r="AF9" s="104"/>
      <c r="AG9" s="104"/>
      <c r="AH9" s="104"/>
      <c r="AI9" s="104"/>
      <c r="AJ9" s="104"/>
    </row>
    <row r="10">
      <c r="A10" s="134" t="s">
        <v>148</v>
      </c>
      <c r="B10" s="119">
        <v>0.0</v>
      </c>
      <c r="C10" s="119">
        <v>0.0</v>
      </c>
      <c r="D10" s="119">
        <v>0.0</v>
      </c>
      <c r="E10" s="119" t="s">
        <v>163</v>
      </c>
      <c r="F10" s="119">
        <v>284.0</v>
      </c>
      <c r="G10" s="119">
        <v>852.0</v>
      </c>
      <c r="H10" s="135">
        <v>1031.0</v>
      </c>
      <c r="I10" s="119">
        <v>939.0</v>
      </c>
      <c r="J10" s="135">
        <v>1018.0</v>
      </c>
      <c r="K10" s="119">
        <v>835.0</v>
      </c>
      <c r="L10" s="119">
        <v>214.0</v>
      </c>
      <c r="M10" s="119">
        <v>47.0</v>
      </c>
      <c r="N10" s="119">
        <v>595.0</v>
      </c>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c r="A11" s="134" t="s">
        <v>149</v>
      </c>
      <c r="B11" s="119">
        <v>0.0</v>
      </c>
      <c r="C11" s="119">
        <v>0.0</v>
      </c>
      <c r="D11" s="119" t="s">
        <v>163</v>
      </c>
      <c r="E11" s="119">
        <v>75.0</v>
      </c>
      <c r="F11" s="119">
        <v>645.0</v>
      </c>
      <c r="G11" s="135">
        <v>1317.0</v>
      </c>
      <c r="H11" s="135">
        <v>1525.0</v>
      </c>
      <c r="I11" s="135">
        <v>1625.0</v>
      </c>
      <c r="J11" s="135">
        <v>1773.0</v>
      </c>
      <c r="K11" s="135">
        <v>1567.0</v>
      </c>
      <c r="L11" s="119">
        <v>877.0</v>
      </c>
      <c r="M11" s="135">
        <v>1646.0</v>
      </c>
      <c r="N11" s="135">
        <v>1127.0</v>
      </c>
      <c r="O11" s="104"/>
      <c r="P11" s="104"/>
      <c r="Q11" s="104"/>
      <c r="R11" s="104"/>
      <c r="S11" s="104"/>
      <c r="T11" s="104"/>
      <c r="U11" s="104"/>
      <c r="V11" s="104"/>
      <c r="W11" s="104"/>
      <c r="X11" s="104"/>
      <c r="Y11" s="104"/>
      <c r="Z11" s="104"/>
      <c r="AA11" s="104"/>
      <c r="AB11" s="104"/>
      <c r="AC11" s="104"/>
      <c r="AD11" s="104"/>
      <c r="AE11" s="104"/>
      <c r="AF11" s="104"/>
      <c r="AG11" s="104"/>
      <c r="AH11" s="104"/>
      <c r="AI11" s="104"/>
      <c r="AJ11" s="104"/>
    </row>
    <row r="12">
      <c r="A12" s="134" t="s">
        <v>150</v>
      </c>
      <c r="B12" s="119">
        <v>0.0</v>
      </c>
      <c r="C12" s="119">
        <v>0.0</v>
      </c>
      <c r="D12" s="119">
        <v>0.0</v>
      </c>
      <c r="E12" s="119">
        <v>119.0</v>
      </c>
      <c r="F12" s="119">
        <v>601.0</v>
      </c>
      <c r="G12" s="135">
        <v>1113.0</v>
      </c>
      <c r="H12" s="135">
        <v>1308.0</v>
      </c>
      <c r="I12" s="135">
        <v>1569.0</v>
      </c>
      <c r="J12" s="135">
        <v>1689.0</v>
      </c>
      <c r="K12" s="135">
        <v>1572.0</v>
      </c>
      <c r="L12" s="135">
        <v>1224.0</v>
      </c>
      <c r="M12" s="135">
        <v>2558.0</v>
      </c>
      <c r="N12" s="135">
        <v>1131.0</v>
      </c>
      <c r="O12" s="104"/>
      <c r="P12" s="104"/>
      <c r="Q12" s="104"/>
      <c r="R12" s="104"/>
      <c r="S12" s="104"/>
      <c r="T12" s="104"/>
      <c r="U12" s="104"/>
      <c r="V12" s="104"/>
      <c r="W12" s="104"/>
      <c r="X12" s="104"/>
      <c r="Y12" s="104"/>
      <c r="Z12" s="104"/>
      <c r="AA12" s="104"/>
      <c r="AB12" s="104"/>
      <c r="AC12" s="104"/>
      <c r="AD12" s="104"/>
      <c r="AE12" s="104"/>
      <c r="AF12" s="104"/>
      <c r="AG12" s="104"/>
      <c r="AH12" s="104"/>
      <c r="AI12" s="104"/>
      <c r="AJ12" s="104"/>
    </row>
    <row r="13">
      <c r="A13" s="134" t="s">
        <v>151</v>
      </c>
      <c r="B13" s="119">
        <v>0.0</v>
      </c>
      <c r="C13" s="119">
        <v>0.0</v>
      </c>
      <c r="D13" s="119" t="s">
        <v>163</v>
      </c>
      <c r="E13" s="119">
        <v>151.0</v>
      </c>
      <c r="F13" s="119">
        <v>660.0</v>
      </c>
      <c r="G13" s="119">
        <v>927.0</v>
      </c>
      <c r="H13" s="135">
        <v>1006.0</v>
      </c>
      <c r="I13" s="135">
        <v>1173.0</v>
      </c>
      <c r="J13" s="135">
        <v>1414.0</v>
      </c>
      <c r="K13" s="135">
        <v>1345.0</v>
      </c>
      <c r="L13" s="135">
        <v>1065.0</v>
      </c>
      <c r="M13" s="135">
        <v>2303.0</v>
      </c>
      <c r="N13" s="119">
        <v>949.0</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c r="A14" s="134" t="s">
        <v>152</v>
      </c>
      <c r="B14" s="119">
        <v>0.0</v>
      </c>
      <c r="C14" s="119">
        <v>0.0</v>
      </c>
      <c r="D14" s="119">
        <v>0.0</v>
      </c>
      <c r="E14" s="119">
        <v>153.0</v>
      </c>
      <c r="F14" s="119">
        <v>925.0</v>
      </c>
      <c r="G14" s="119">
        <v>946.0</v>
      </c>
      <c r="H14" s="135">
        <v>1117.0</v>
      </c>
      <c r="I14" s="135">
        <v>1274.0</v>
      </c>
      <c r="J14" s="135">
        <v>1328.0</v>
      </c>
      <c r="K14" s="135">
        <v>1495.0</v>
      </c>
      <c r="L14" s="135">
        <v>1443.0</v>
      </c>
      <c r="M14" s="135">
        <v>2829.0</v>
      </c>
      <c r="N14" s="135">
        <v>1057.0</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c r="A15" s="134" t="s">
        <v>153</v>
      </c>
      <c r="B15" s="119">
        <v>0.0</v>
      </c>
      <c r="C15" s="119">
        <v>0.0</v>
      </c>
      <c r="D15" s="119">
        <v>0.0</v>
      </c>
      <c r="E15" s="119">
        <v>148.0</v>
      </c>
      <c r="F15" s="119">
        <v>672.0</v>
      </c>
      <c r="G15" s="135">
        <v>1042.0</v>
      </c>
      <c r="H15" s="135">
        <v>1257.0</v>
      </c>
      <c r="I15" s="135">
        <v>1475.0</v>
      </c>
      <c r="J15" s="135">
        <v>1578.0</v>
      </c>
      <c r="K15" s="135">
        <v>1609.0</v>
      </c>
      <c r="L15" s="135">
        <v>2637.0</v>
      </c>
      <c r="M15" s="135">
        <v>5413.0</v>
      </c>
      <c r="N15" s="135">
        <v>1337.0</v>
      </c>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c r="A16" s="134" t="s">
        <v>154</v>
      </c>
      <c r="B16" s="119">
        <v>0.0</v>
      </c>
      <c r="C16" s="119">
        <v>0.0</v>
      </c>
      <c r="D16" s="119">
        <v>0.0</v>
      </c>
      <c r="E16" s="119">
        <v>182.0</v>
      </c>
      <c r="F16" s="119">
        <v>503.0</v>
      </c>
      <c r="G16" s="119">
        <v>749.0</v>
      </c>
      <c r="H16" s="119">
        <v>920.0</v>
      </c>
      <c r="I16" s="135">
        <v>1472.0</v>
      </c>
      <c r="J16" s="135">
        <v>1653.0</v>
      </c>
      <c r="K16" s="135">
        <v>2239.0</v>
      </c>
      <c r="L16" s="135">
        <v>4389.0</v>
      </c>
      <c r="M16" s="135">
        <v>7626.0</v>
      </c>
      <c r="N16" s="135">
        <v>1574.0</v>
      </c>
      <c r="O16" s="104"/>
      <c r="P16" s="104"/>
      <c r="Q16" s="104"/>
      <c r="R16" s="104"/>
      <c r="S16" s="104"/>
      <c r="T16" s="104"/>
      <c r="U16" s="104"/>
      <c r="V16" s="104"/>
      <c r="W16" s="104"/>
      <c r="X16" s="104"/>
      <c r="Y16" s="104"/>
      <c r="Z16" s="104"/>
      <c r="AA16" s="104"/>
      <c r="AB16" s="104"/>
      <c r="AC16" s="104"/>
      <c r="AD16" s="104"/>
      <c r="AE16" s="104"/>
      <c r="AF16" s="104"/>
      <c r="AG16" s="104"/>
      <c r="AH16" s="104"/>
      <c r="AI16" s="104"/>
      <c r="AJ16" s="104"/>
    </row>
    <row r="17">
      <c r="A17" s="134" t="s">
        <v>155</v>
      </c>
      <c r="B17" s="119">
        <v>0.0</v>
      </c>
      <c r="C17" s="119">
        <v>0.0</v>
      </c>
      <c r="D17" s="119">
        <v>0.0</v>
      </c>
      <c r="E17" s="119">
        <v>192.0</v>
      </c>
      <c r="F17" s="119">
        <v>619.0</v>
      </c>
      <c r="G17" s="135">
        <v>1015.0</v>
      </c>
      <c r="H17" s="135">
        <v>1280.0</v>
      </c>
      <c r="I17" s="135">
        <v>1078.0</v>
      </c>
      <c r="J17" s="135">
        <v>1136.0</v>
      </c>
      <c r="K17" s="135">
        <v>1572.0</v>
      </c>
      <c r="L17" s="135">
        <v>5693.0</v>
      </c>
      <c r="M17" s="135">
        <v>7811.0</v>
      </c>
      <c r="N17" s="135">
        <v>1549.0</v>
      </c>
      <c r="O17" s="104"/>
      <c r="P17" s="104"/>
      <c r="Q17" s="104"/>
      <c r="R17" s="104"/>
      <c r="S17" s="104"/>
      <c r="T17" s="104"/>
      <c r="U17" s="104"/>
      <c r="V17" s="104"/>
      <c r="W17" s="104"/>
      <c r="X17" s="104"/>
      <c r="Y17" s="104"/>
      <c r="Z17" s="104"/>
      <c r="AA17" s="104"/>
      <c r="AB17" s="104"/>
      <c r="AC17" s="104"/>
      <c r="AD17" s="104"/>
      <c r="AE17" s="104"/>
      <c r="AF17" s="104"/>
      <c r="AG17" s="104"/>
      <c r="AH17" s="104"/>
      <c r="AI17" s="104"/>
      <c r="AJ17" s="104"/>
    </row>
    <row r="18">
      <c r="A18" s="134" t="s">
        <v>156</v>
      </c>
      <c r="B18" s="119">
        <v>0.0</v>
      </c>
      <c r="C18" s="119">
        <v>0.0</v>
      </c>
      <c r="D18" s="119">
        <v>0.0</v>
      </c>
      <c r="E18" s="119">
        <v>153.0</v>
      </c>
      <c r="F18" s="119">
        <v>698.0</v>
      </c>
      <c r="G18" s="119">
        <v>781.0</v>
      </c>
      <c r="H18" s="119">
        <v>936.0</v>
      </c>
      <c r="I18" s="119">
        <v>982.0</v>
      </c>
      <c r="J18" s="135">
        <v>1213.0</v>
      </c>
      <c r="K18" s="135">
        <v>3387.0</v>
      </c>
      <c r="L18" s="135">
        <v>13911.0</v>
      </c>
      <c r="M18" s="135">
        <v>17925.0</v>
      </c>
      <c r="N18" s="135">
        <v>2769.0</v>
      </c>
      <c r="O18" s="104"/>
      <c r="P18" s="104"/>
      <c r="Q18" s="104"/>
      <c r="R18" s="104"/>
      <c r="S18" s="104"/>
      <c r="T18" s="104"/>
      <c r="U18" s="104"/>
      <c r="V18" s="104"/>
      <c r="W18" s="104"/>
      <c r="X18" s="104"/>
      <c r="Y18" s="104"/>
      <c r="Z18" s="104"/>
      <c r="AA18" s="104"/>
      <c r="AB18" s="104"/>
      <c r="AC18" s="104"/>
      <c r="AD18" s="104"/>
      <c r="AE18" s="104"/>
      <c r="AF18" s="104"/>
      <c r="AG18" s="104"/>
      <c r="AH18" s="104"/>
      <c r="AI18" s="104"/>
      <c r="AJ18" s="104"/>
    </row>
    <row r="19">
      <c r="A19" s="134" t="s">
        <v>157</v>
      </c>
      <c r="B19" s="119">
        <v>0.0</v>
      </c>
      <c r="C19" s="119">
        <v>0.0</v>
      </c>
      <c r="D19" s="119">
        <v>0.0</v>
      </c>
      <c r="E19" s="119">
        <v>124.0</v>
      </c>
      <c r="F19" s="119">
        <v>284.0</v>
      </c>
      <c r="G19" s="119">
        <v>341.0</v>
      </c>
      <c r="H19" s="119">
        <v>496.0</v>
      </c>
      <c r="I19" s="119">
        <v>693.0</v>
      </c>
      <c r="J19" s="119">
        <v>907.0</v>
      </c>
      <c r="K19" s="135">
        <v>11752.0</v>
      </c>
      <c r="L19" s="135">
        <v>21306.0</v>
      </c>
      <c r="M19" s="135">
        <v>11358.0</v>
      </c>
      <c r="N19" s="135">
        <v>3819.0</v>
      </c>
      <c r="O19" s="104"/>
      <c r="P19" s="104"/>
      <c r="Q19" s="104"/>
      <c r="R19" s="104"/>
      <c r="S19" s="104"/>
      <c r="T19" s="104"/>
      <c r="U19" s="104"/>
      <c r="V19" s="104"/>
      <c r="W19" s="104"/>
      <c r="X19" s="104"/>
      <c r="Y19" s="104"/>
      <c r="Z19" s="104"/>
      <c r="AA19" s="104"/>
      <c r="AB19" s="104"/>
      <c r="AC19" s="104"/>
      <c r="AD19" s="104"/>
      <c r="AE19" s="104"/>
      <c r="AF19" s="104"/>
      <c r="AG19" s="104"/>
      <c r="AH19" s="104"/>
      <c r="AI19" s="104"/>
      <c r="AJ19" s="104"/>
    </row>
    <row r="20">
      <c r="A20" s="134" t="s">
        <v>158</v>
      </c>
      <c r="B20" s="119">
        <v>0.0</v>
      </c>
      <c r="C20" s="119">
        <v>0.0</v>
      </c>
      <c r="D20" s="119">
        <v>0.0</v>
      </c>
      <c r="E20" s="119">
        <v>155.0</v>
      </c>
      <c r="F20" s="119">
        <v>477.0</v>
      </c>
      <c r="G20" s="119">
        <v>638.0</v>
      </c>
      <c r="H20" s="119">
        <v>997.0</v>
      </c>
      <c r="I20" s="119">
        <v>1356.0</v>
      </c>
      <c r="J20" s="119">
        <v>2099.0</v>
      </c>
      <c r="K20" s="119">
        <v>9032.0</v>
      </c>
      <c r="L20" s="119">
        <v>13081.0</v>
      </c>
      <c r="M20" s="119">
        <v>5161.0</v>
      </c>
      <c r="N20" s="119">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1" t="s">
        <v>179</v>
      </c>
      <c r="J1" s="102"/>
      <c r="K1" s="103"/>
      <c r="L1" s="104"/>
      <c r="M1" s="105"/>
      <c r="N1" s="104"/>
      <c r="O1" s="104"/>
      <c r="P1" s="104"/>
      <c r="Q1" s="104"/>
      <c r="R1" s="104"/>
      <c r="S1" s="104"/>
      <c r="T1" s="104"/>
      <c r="U1" s="104"/>
      <c r="V1" s="104"/>
      <c r="W1" s="104"/>
      <c r="X1" s="104"/>
      <c r="Y1" s="104"/>
      <c r="Z1" s="104"/>
      <c r="AA1" s="104"/>
      <c r="AB1" s="104"/>
      <c r="AC1" s="104"/>
      <c r="AD1" s="104"/>
      <c r="AE1" s="104"/>
      <c r="AF1" s="104"/>
      <c r="AG1" s="104"/>
      <c r="AH1" s="104"/>
      <c r="AI1" s="104"/>
      <c r="AJ1" s="104"/>
    </row>
    <row r="2">
      <c r="A2" s="106" t="s">
        <v>172</v>
      </c>
      <c r="K2" s="107"/>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row>
    <row r="3">
      <c r="A3" s="106" t="s">
        <v>0</v>
      </c>
      <c r="B3" s="108">
        <v>44265.0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ht="35.25" customHeight="1">
      <c r="A5" s="142" t="s">
        <v>180</v>
      </c>
      <c r="B5" s="111"/>
      <c r="C5" s="111"/>
      <c r="D5" s="111"/>
      <c r="E5" s="111"/>
      <c r="F5" s="111"/>
      <c r="G5" s="111"/>
      <c r="H5" s="111"/>
      <c r="I5" s="111"/>
      <c r="J5" s="111"/>
      <c r="K5" s="111"/>
      <c r="L5" s="111"/>
      <c r="M5" s="41"/>
      <c r="N5" s="112"/>
      <c r="O5" s="104"/>
      <c r="P5" s="104"/>
      <c r="Q5" s="104"/>
      <c r="R5" s="104"/>
      <c r="S5" s="104"/>
      <c r="T5" s="104"/>
      <c r="U5" s="104"/>
      <c r="V5" s="104"/>
      <c r="W5" s="104"/>
      <c r="X5" s="104"/>
      <c r="Y5" s="104"/>
      <c r="Z5" s="104"/>
      <c r="AA5" s="104"/>
      <c r="AB5" s="104"/>
      <c r="AC5" s="104"/>
      <c r="AD5" s="104"/>
      <c r="AE5" s="104"/>
      <c r="AF5" s="104"/>
      <c r="AG5" s="104"/>
      <c r="AH5" s="104"/>
      <c r="AI5" s="104"/>
      <c r="AJ5" s="104"/>
    </row>
    <row r="6">
      <c r="A6" s="130"/>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row>
    <row r="7">
      <c r="A7" s="136" t="s">
        <v>181</v>
      </c>
      <c r="B7" s="132" t="s">
        <v>54</v>
      </c>
      <c r="C7" s="133">
        <v>44325.0</v>
      </c>
      <c r="D7" s="133">
        <v>44484.0</v>
      </c>
      <c r="E7" s="132" t="s">
        <v>175</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19">
        <v>0.0</v>
      </c>
      <c r="C8" s="119">
        <v>0.0</v>
      </c>
      <c r="D8" s="119">
        <v>0.0</v>
      </c>
      <c r="E8" s="119">
        <v>0.0</v>
      </c>
      <c r="F8" s="119">
        <v>0.0</v>
      </c>
      <c r="G8" s="119">
        <v>0.0</v>
      </c>
      <c r="H8" s="119">
        <v>0.0</v>
      </c>
      <c r="I8" s="119">
        <v>0.0</v>
      </c>
      <c r="J8" s="119">
        <v>0.0</v>
      </c>
      <c r="K8" s="119">
        <v>0.0</v>
      </c>
      <c r="L8" s="119">
        <v>0.0</v>
      </c>
      <c r="M8" s="119">
        <v>0.0</v>
      </c>
      <c r="N8" s="119">
        <v>0.0</v>
      </c>
      <c r="O8" s="104"/>
      <c r="P8" s="104"/>
      <c r="Q8" s="104"/>
      <c r="R8" s="104"/>
      <c r="S8" s="104"/>
      <c r="T8" s="104"/>
      <c r="U8" s="104"/>
      <c r="V8" s="104"/>
      <c r="W8" s="104"/>
      <c r="X8" s="104"/>
      <c r="Y8" s="104"/>
      <c r="Z8" s="104"/>
      <c r="AA8" s="104"/>
      <c r="AB8" s="104"/>
      <c r="AC8" s="104"/>
      <c r="AD8" s="104"/>
      <c r="AE8" s="104"/>
      <c r="AF8" s="104"/>
      <c r="AG8" s="104"/>
      <c r="AH8" s="104"/>
      <c r="AI8" s="104"/>
      <c r="AJ8" s="104"/>
    </row>
    <row r="9">
      <c r="A9" s="134" t="s">
        <v>148</v>
      </c>
      <c r="B9" s="119">
        <v>0.0</v>
      </c>
      <c r="C9" s="119">
        <v>0.0</v>
      </c>
      <c r="D9" s="119">
        <v>0.0</v>
      </c>
      <c r="E9" s="119">
        <v>0.0</v>
      </c>
      <c r="F9" s="119">
        <v>0.0</v>
      </c>
      <c r="G9" s="119">
        <v>0.0</v>
      </c>
      <c r="H9" s="119">
        <v>0.0</v>
      </c>
      <c r="I9" s="119">
        <v>0.0</v>
      </c>
      <c r="J9" s="119">
        <v>0.0</v>
      </c>
      <c r="K9" s="119">
        <v>0.0</v>
      </c>
      <c r="L9" s="119">
        <v>0.0</v>
      </c>
      <c r="M9" s="119">
        <v>0.0</v>
      </c>
      <c r="N9" s="119">
        <v>0.0</v>
      </c>
      <c r="O9" s="104"/>
      <c r="P9" s="104"/>
      <c r="Q9" s="104"/>
      <c r="R9" s="104"/>
      <c r="S9" s="104"/>
      <c r="T9" s="104"/>
      <c r="U9" s="104"/>
      <c r="V9" s="104"/>
      <c r="W9" s="104"/>
      <c r="X9" s="104"/>
      <c r="Y9" s="104"/>
      <c r="Z9" s="104"/>
      <c r="AA9" s="104"/>
      <c r="AB9" s="104"/>
      <c r="AC9" s="104"/>
      <c r="AD9" s="104"/>
      <c r="AE9" s="104"/>
      <c r="AF9" s="104"/>
      <c r="AG9" s="104"/>
      <c r="AH9" s="104"/>
      <c r="AI9" s="104"/>
      <c r="AJ9" s="104"/>
    </row>
    <row r="10">
      <c r="A10" s="134" t="s">
        <v>149</v>
      </c>
      <c r="B10" s="119">
        <v>0.0</v>
      </c>
      <c r="C10" s="119">
        <v>0.0</v>
      </c>
      <c r="D10" s="119">
        <v>0.0</v>
      </c>
      <c r="E10" s="119">
        <v>0.0</v>
      </c>
      <c r="F10" s="119">
        <v>0.0</v>
      </c>
      <c r="G10" s="119" t="s">
        <v>55</v>
      </c>
      <c r="H10" s="119">
        <v>5.0</v>
      </c>
      <c r="I10" s="119" t="s">
        <v>55</v>
      </c>
      <c r="J10" s="119" t="s">
        <v>55</v>
      </c>
      <c r="K10" s="119" t="s">
        <v>55</v>
      </c>
      <c r="L10" s="119" t="s">
        <v>55</v>
      </c>
      <c r="M10" s="119">
        <v>0.0</v>
      </c>
      <c r="N10" s="119">
        <v>18.0</v>
      </c>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c r="A11" s="134" t="s">
        <v>150</v>
      </c>
      <c r="B11" s="119">
        <v>0.0</v>
      </c>
      <c r="C11" s="119">
        <v>0.0</v>
      </c>
      <c r="D11" s="119">
        <v>0.0</v>
      </c>
      <c r="E11" s="119" t="s">
        <v>55</v>
      </c>
      <c r="F11" s="119">
        <v>112.0</v>
      </c>
      <c r="G11" s="119">
        <v>363.0</v>
      </c>
      <c r="H11" s="119">
        <v>874.0</v>
      </c>
      <c r="I11" s="119">
        <v>698.0</v>
      </c>
      <c r="J11" s="119">
        <v>813.0</v>
      </c>
      <c r="K11" s="119">
        <v>560.0</v>
      </c>
      <c r="L11" s="119">
        <v>71.0</v>
      </c>
      <c r="M11" s="119" t="s">
        <v>55</v>
      </c>
      <c r="N11" s="135">
        <v>3496.0</v>
      </c>
      <c r="O11" s="104"/>
      <c r="P11" s="104"/>
      <c r="Q11" s="104"/>
      <c r="R11" s="104"/>
      <c r="S11" s="104"/>
      <c r="T11" s="104"/>
      <c r="U11" s="104"/>
      <c r="V11" s="104"/>
      <c r="W11" s="104"/>
      <c r="X11" s="104"/>
      <c r="Y11" s="104"/>
      <c r="Z11" s="104"/>
      <c r="AA11" s="104"/>
      <c r="AB11" s="104"/>
      <c r="AC11" s="104"/>
      <c r="AD11" s="104"/>
      <c r="AE11" s="104"/>
      <c r="AF11" s="104"/>
      <c r="AG11" s="104"/>
      <c r="AH11" s="104"/>
      <c r="AI11" s="104"/>
      <c r="AJ11" s="104"/>
    </row>
    <row r="12">
      <c r="A12" s="134" t="s">
        <v>151</v>
      </c>
      <c r="B12" s="119">
        <v>0.0</v>
      </c>
      <c r="C12" s="119">
        <v>0.0</v>
      </c>
      <c r="D12" s="119">
        <v>0.0</v>
      </c>
      <c r="E12" s="119" t="s">
        <v>55</v>
      </c>
      <c r="F12" s="119">
        <v>241.0</v>
      </c>
      <c r="G12" s="119">
        <v>611.0</v>
      </c>
      <c r="H12" s="135">
        <v>1265.0</v>
      </c>
      <c r="I12" s="135">
        <v>1065.0</v>
      </c>
      <c r="J12" s="135">
        <v>1360.0</v>
      </c>
      <c r="K12" s="119">
        <v>974.0</v>
      </c>
      <c r="L12" s="119">
        <v>141.0</v>
      </c>
      <c r="M12" s="119">
        <v>23.0</v>
      </c>
      <c r="N12" s="135">
        <v>5683.0</v>
      </c>
      <c r="O12" s="104"/>
      <c r="P12" s="104"/>
      <c r="Q12" s="104"/>
      <c r="R12" s="104"/>
      <c r="S12" s="104"/>
      <c r="T12" s="104"/>
      <c r="U12" s="104"/>
      <c r="V12" s="104"/>
      <c r="W12" s="104"/>
      <c r="X12" s="104"/>
      <c r="Y12" s="104"/>
      <c r="Z12" s="104"/>
      <c r="AA12" s="104"/>
      <c r="AB12" s="104"/>
      <c r="AC12" s="104"/>
      <c r="AD12" s="104"/>
      <c r="AE12" s="104"/>
      <c r="AF12" s="104"/>
      <c r="AG12" s="104"/>
      <c r="AH12" s="104"/>
      <c r="AI12" s="104"/>
      <c r="AJ12" s="104"/>
    </row>
    <row r="13">
      <c r="A13" s="134" t="s">
        <v>152</v>
      </c>
      <c r="B13" s="119">
        <v>0.0</v>
      </c>
      <c r="C13" s="119">
        <v>0.0</v>
      </c>
      <c r="D13" s="119">
        <v>0.0</v>
      </c>
      <c r="E13" s="119">
        <v>9.0</v>
      </c>
      <c r="F13" s="119">
        <v>195.0</v>
      </c>
      <c r="G13" s="119">
        <v>337.0</v>
      </c>
      <c r="H13" s="119">
        <v>498.0</v>
      </c>
      <c r="I13" s="119">
        <v>485.0</v>
      </c>
      <c r="J13" s="119">
        <v>692.0</v>
      </c>
      <c r="K13" s="119">
        <v>620.0</v>
      </c>
      <c r="L13" s="119">
        <v>272.0</v>
      </c>
      <c r="M13" s="119">
        <v>533.0</v>
      </c>
      <c r="N13" s="135">
        <v>3641.0</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c r="A14" s="134" t="s">
        <v>153</v>
      </c>
      <c r="B14" s="119">
        <v>0.0</v>
      </c>
      <c r="C14" s="119">
        <v>0.0</v>
      </c>
      <c r="D14" s="119" t="s">
        <v>55</v>
      </c>
      <c r="E14" s="119">
        <v>43.0</v>
      </c>
      <c r="F14" s="119">
        <v>574.0</v>
      </c>
      <c r="G14" s="119">
        <v>868.0</v>
      </c>
      <c r="H14" s="135">
        <v>1937.0</v>
      </c>
      <c r="I14" s="135">
        <v>2029.0</v>
      </c>
      <c r="J14" s="135">
        <v>2740.0</v>
      </c>
      <c r="K14" s="135">
        <v>2145.0</v>
      </c>
      <c r="L14" s="119">
        <v>854.0</v>
      </c>
      <c r="M14" s="135">
        <v>1129.0</v>
      </c>
      <c r="N14" s="135">
        <v>12320.0</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c r="A15" s="134" t="s">
        <v>154</v>
      </c>
      <c r="B15" s="119">
        <v>0.0</v>
      </c>
      <c r="C15" s="119">
        <v>0.0</v>
      </c>
      <c r="D15" s="119">
        <v>0.0</v>
      </c>
      <c r="E15" s="119">
        <v>50.0</v>
      </c>
      <c r="F15" s="119">
        <v>485.0</v>
      </c>
      <c r="G15" s="119">
        <v>713.0</v>
      </c>
      <c r="H15" s="135">
        <v>1465.0</v>
      </c>
      <c r="I15" s="135">
        <v>1541.0</v>
      </c>
      <c r="J15" s="135">
        <v>2020.0</v>
      </c>
      <c r="K15" s="135">
        <v>1569.0</v>
      </c>
      <c r="L15" s="119">
        <v>603.0</v>
      </c>
      <c r="M15" s="119">
        <v>787.0</v>
      </c>
      <c r="N15" s="135">
        <v>9233.0</v>
      </c>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c r="A16" s="134" t="s">
        <v>155</v>
      </c>
      <c r="B16" s="119">
        <v>0.0</v>
      </c>
      <c r="C16" s="119">
        <v>0.0</v>
      </c>
      <c r="D16" s="119">
        <v>0.0</v>
      </c>
      <c r="E16" s="119">
        <v>55.0</v>
      </c>
      <c r="F16" s="119">
        <v>656.0</v>
      </c>
      <c r="G16" s="119">
        <v>761.0</v>
      </c>
      <c r="H16" s="135">
        <v>1585.0</v>
      </c>
      <c r="I16" s="135">
        <v>1644.0</v>
      </c>
      <c r="J16" s="135">
        <v>2338.0</v>
      </c>
      <c r="K16" s="135">
        <v>2109.0</v>
      </c>
      <c r="L16" s="135">
        <v>1057.0</v>
      </c>
      <c r="M16" s="135">
        <v>1354.0</v>
      </c>
      <c r="N16" s="135">
        <v>11559.0</v>
      </c>
      <c r="O16" s="104"/>
      <c r="P16" s="104"/>
      <c r="Q16" s="104"/>
      <c r="R16" s="104"/>
      <c r="S16" s="104"/>
      <c r="T16" s="104"/>
      <c r="U16" s="104"/>
      <c r="V16" s="104"/>
      <c r="W16" s="104"/>
      <c r="X16" s="104"/>
      <c r="Y16" s="104"/>
      <c r="Z16" s="104"/>
      <c r="AA16" s="104"/>
      <c r="AB16" s="104"/>
      <c r="AC16" s="104"/>
      <c r="AD16" s="104"/>
      <c r="AE16" s="104"/>
      <c r="AF16" s="104"/>
      <c r="AG16" s="104"/>
      <c r="AH16" s="104"/>
      <c r="AI16" s="104"/>
      <c r="AJ16" s="104"/>
    </row>
    <row r="17">
      <c r="A17" s="134" t="s">
        <v>156</v>
      </c>
      <c r="B17" s="119">
        <v>0.0</v>
      </c>
      <c r="C17" s="119">
        <v>0.0</v>
      </c>
      <c r="D17" s="119">
        <v>0.0</v>
      </c>
      <c r="E17" s="119">
        <v>55.0</v>
      </c>
      <c r="F17" s="119">
        <v>808.0</v>
      </c>
      <c r="G17" s="119">
        <v>645.0</v>
      </c>
      <c r="H17" s="135">
        <v>1370.0</v>
      </c>
      <c r="I17" s="135">
        <v>1419.0</v>
      </c>
      <c r="J17" s="135">
        <v>1834.0</v>
      </c>
      <c r="K17" s="135">
        <v>1858.0</v>
      </c>
      <c r="L17" s="135">
        <v>1313.0</v>
      </c>
      <c r="M17" s="135">
        <v>1307.0</v>
      </c>
      <c r="N17" s="135">
        <v>10609.0</v>
      </c>
      <c r="O17" s="104"/>
      <c r="P17" s="104"/>
      <c r="Q17" s="104"/>
      <c r="R17" s="104"/>
      <c r="S17" s="104"/>
      <c r="T17" s="104"/>
      <c r="U17" s="104"/>
      <c r="V17" s="104"/>
      <c r="W17" s="104"/>
      <c r="X17" s="104"/>
      <c r="Y17" s="104"/>
      <c r="Z17" s="104"/>
      <c r="AA17" s="104"/>
      <c r="AB17" s="104"/>
      <c r="AC17" s="104"/>
      <c r="AD17" s="104"/>
      <c r="AE17" s="104"/>
      <c r="AF17" s="104"/>
      <c r="AG17" s="104"/>
      <c r="AH17" s="104"/>
      <c r="AI17" s="104"/>
      <c r="AJ17" s="104"/>
    </row>
    <row r="18">
      <c r="A18" s="134" t="s">
        <v>157</v>
      </c>
      <c r="B18" s="119">
        <v>0.0</v>
      </c>
      <c r="C18" s="119">
        <v>0.0</v>
      </c>
      <c r="D18" s="119">
        <v>0.0</v>
      </c>
      <c r="E18" s="119">
        <v>66.0</v>
      </c>
      <c r="F18" s="119">
        <v>534.0</v>
      </c>
      <c r="G18" s="119">
        <v>675.0</v>
      </c>
      <c r="H18" s="135">
        <v>1520.0</v>
      </c>
      <c r="I18" s="135">
        <v>1709.0</v>
      </c>
      <c r="J18" s="135">
        <v>2230.0</v>
      </c>
      <c r="K18" s="135">
        <v>2149.0</v>
      </c>
      <c r="L18" s="135">
        <v>2099.0</v>
      </c>
      <c r="M18" s="135">
        <v>2722.0</v>
      </c>
      <c r="N18" s="135">
        <v>13704.0</v>
      </c>
      <c r="O18" s="104"/>
      <c r="P18" s="104"/>
      <c r="Q18" s="104"/>
      <c r="R18" s="104"/>
      <c r="S18" s="104"/>
      <c r="T18" s="104"/>
      <c r="U18" s="104"/>
      <c r="V18" s="104"/>
      <c r="W18" s="104"/>
      <c r="X18" s="104"/>
      <c r="Y18" s="104"/>
      <c r="Z18" s="104"/>
      <c r="AA18" s="104"/>
      <c r="AB18" s="104"/>
      <c r="AC18" s="104"/>
      <c r="AD18" s="104"/>
      <c r="AE18" s="104"/>
      <c r="AF18" s="104"/>
      <c r="AG18" s="104"/>
      <c r="AH18" s="104"/>
      <c r="AI18" s="104"/>
      <c r="AJ18" s="104"/>
    </row>
    <row r="19">
      <c r="A19" s="134" t="s">
        <v>158</v>
      </c>
      <c r="B19" s="119">
        <v>0.0</v>
      </c>
      <c r="C19" s="119">
        <v>0.0</v>
      </c>
      <c r="D19" s="119">
        <v>0.0</v>
      </c>
      <c r="E19" s="119">
        <v>44.0</v>
      </c>
      <c r="F19" s="119">
        <v>384.0</v>
      </c>
      <c r="G19" s="119">
        <v>395.0</v>
      </c>
      <c r="H19" s="119">
        <v>891.0</v>
      </c>
      <c r="I19" s="119">
        <v>1245.0</v>
      </c>
      <c r="J19" s="119">
        <v>1635.0</v>
      </c>
      <c r="K19" s="119">
        <v>1949.0</v>
      </c>
      <c r="L19" s="119">
        <v>2734.0</v>
      </c>
      <c r="M19" s="119">
        <v>3035.0</v>
      </c>
      <c r="N19" s="119">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1" t="s">
        <v>182</v>
      </c>
      <c r="K1" s="103"/>
      <c r="L1" s="104"/>
      <c r="M1" s="105"/>
      <c r="N1" s="104"/>
      <c r="O1" s="104"/>
      <c r="P1" s="104"/>
      <c r="Q1" s="104"/>
      <c r="R1" s="104"/>
      <c r="S1" s="104"/>
      <c r="T1" s="104"/>
      <c r="U1" s="104"/>
      <c r="V1" s="104"/>
      <c r="W1" s="104"/>
      <c r="X1" s="104"/>
      <c r="Y1" s="104"/>
      <c r="Z1" s="104"/>
      <c r="AA1" s="104"/>
      <c r="AB1" s="104"/>
      <c r="AC1" s="104"/>
      <c r="AD1" s="104"/>
      <c r="AE1" s="104"/>
      <c r="AF1" s="104"/>
      <c r="AG1" s="104"/>
      <c r="AH1" s="104"/>
      <c r="AI1" s="104"/>
      <c r="AJ1" s="104"/>
    </row>
    <row r="2">
      <c r="A2" s="106" t="s">
        <v>177</v>
      </c>
      <c r="Y2" s="104"/>
      <c r="Z2" s="104"/>
      <c r="AA2" s="104"/>
      <c r="AB2" s="104"/>
      <c r="AC2" s="104"/>
      <c r="AD2" s="104"/>
      <c r="AE2" s="104"/>
      <c r="AF2" s="104"/>
      <c r="AG2" s="104"/>
      <c r="AH2" s="104"/>
      <c r="AI2" s="104"/>
      <c r="AJ2" s="104"/>
    </row>
    <row r="3">
      <c r="A3" s="106" t="s">
        <v>0</v>
      </c>
      <c r="B3" s="108">
        <v>44265.0</v>
      </c>
      <c r="C3" s="104"/>
      <c r="D3" s="104"/>
      <c r="E3" s="104"/>
      <c r="F3" s="104"/>
      <c r="G3" s="104"/>
      <c r="H3" s="104"/>
      <c r="I3" s="104"/>
      <c r="J3" s="104"/>
      <c r="K3" s="107"/>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ht="36.0" customHeight="1">
      <c r="A5" s="110" t="s">
        <v>178</v>
      </c>
      <c r="B5" s="111"/>
      <c r="C5" s="111"/>
      <c r="D5" s="111"/>
      <c r="E5" s="111"/>
      <c r="F5" s="111"/>
      <c r="G5" s="111"/>
      <c r="H5" s="111"/>
      <c r="I5" s="111"/>
      <c r="J5" s="111"/>
      <c r="K5" s="111"/>
      <c r="L5" s="41"/>
      <c r="M5" s="112"/>
      <c r="N5" s="112"/>
      <c r="O5" s="104"/>
      <c r="P5" s="104"/>
      <c r="Q5" s="104"/>
      <c r="R5" s="104"/>
      <c r="S5" s="104"/>
      <c r="T5" s="104"/>
      <c r="U5" s="104"/>
      <c r="V5" s="104"/>
      <c r="W5" s="104"/>
      <c r="X5" s="104"/>
      <c r="Y5" s="104"/>
      <c r="Z5" s="104"/>
      <c r="AA5" s="104"/>
      <c r="AB5" s="104"/>
      <c r="AC5" s="104"/>
      <c r="AD5" s="104"/>
      <c r="AE5" s="104"/>
      <c r="AF5" s="104"/>
      <c r="AG5" s="104"/>
      <c r="AH5" s="104"/>
      <c r="AI5" s="104"/>
      <c r="AJ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row>
    <row r="7">
      <c r="A7" s="136" t="s">
        <v>181</v>
      </c>
      <c r="B7" s="132" t="s">
        <v>54</v>
      </c>
      <c r="C7" s="133">
        <v>44325.0</v>
      </c>
      <c r="D7" s="133">
        <v>44484.0</v>
      </c>
      <c r="E7" s="132" t="s">
        <v>175</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7" t="s">
        <v>162</v>
      </c>
      <c r="B8" s="138">
        <v>54674.0</v>
      </c>
      <c r="C8" s="138">
        <v>55056.0</v>
      </c>
      <c r="D8" s="138">
        <v>71368.0</v>
      </c>
      <c r="E8" s="138">
        <v>41184.0</v>
      </c>
      <c r="F8" s="138">
        <v>94840.0</v>
      </c>
      <c r="G8" s="138">
        <v>76614.0</v>
      </c>
      <c r="H8" s="138">
        <v>135376.0</v>
      </c>
      <c r="I8" s="138">
        <v>124761.0</v>
      </c>
      <c r="J8" s="138">
        <v>150318.0</v>
      </c>
      <c r="K8" s="138">
        <v>129990.0</v>
      </c>
      <c r="L8" s="139">
        <v>75393.0</v>
      </c>
      <c r="M8" s="140">
        <v>48713.0</v>
      </c>
      <c r="N8" s="140">
        <v>1056611.0</v>
      </c>
      <c r="O8" s="125"/>
      <c r="P8" s="125"/>
      <c r="Q8" s="141"/>
      <c r="R8" s="125"/>
      <c r="S8" s="125"/>
      <c r="T8" s="141"/>
      <c r="U8" s="125"/>
      <c r="V8" s="125"/>
      <c r="W8" s="125"/>
      <c r="X8" s="125"/>
      <c r="Y8" s="125"/>
      <c r="Z8" s="125"/>
      <c r="AA8" s="125"/>
      <c r="AB8" s="125"/>
      <c r="AC8" s="125"/>
      <c r="AD8" s="125"/>
      <c r="AE8" s="125"/>
      <c r="AF8" s="125"/>
      <c r="AG8" s="125"/>
      <c r="AH8" s="125"/>
      <c r="AI8" s="125"/>
      <c r="AJ8" s="125"/>
    </row>
    <row r="9">
      <c r="A9" s="134" t="s">
        <v>147</v>
      </c>
      <c r="B9" s="119">
        <v>0.0</v>
      </c>
      <c r="C9" s="119">
        <v>0.0</v>
      </c>
      <c r="D9" s="119">
        <v>0.0</v>
      </c>
      <c r="E9" s="119">
        <v>0.0</v>
      </c>
      <c r="F9" s="119">
        <v>0.0</v>
      </c>
      <c r="G9" s="119">
        <v>0.0</v>
      </c>
      <c r="H9" s="119">
        <v>0.0</v>
      </c>
      <c r="I9" s="119">
        <v>0.0</v>
      </c>
      <c r="J9" s="119">
        <v>0.0</v>
      </c>
      <c r="K9" s="119">
        <v>0.0</v>
      </c>
      <c r="L9" s="119">
        <v>0.0</v>
      </c>
      <c r="M9" s="119">
        <v>0.0</v>
      </c>
      <c r="N9" s="119">
        <v>0.0</v>
      </c>
      <c r="O9" s="104"/>
      <c r="P9" s="104"/>
      <c r="Q9" s="104"/>
      <c r="R9" s="104"/>
      <c r="S9" s="104"/>
      <c r="T9" s="104"/>
      <c r="U9" s="104"/>
      <c r="V9" s="104"/>
      <c r="W9" s="104"/>
      <c r="X9" s="104"/>
      <c r="Y9" s="104"/>
      <c r="Z9" s="104"/>
      <c r="AA9" s="104"/>
      <c r="AB9" s="104"/>
      <c r="AC9" s="104"/>
      <c r="AD9" s="104"/>
      <c r="AE9" s="104"/>
      <c r="AF9" s="104"/>
      <c r="AG9" s="104"/>
      <c r="AH9" s="104"/>
      <c r="AI9" s="104"/>
      <c r="AJ9" s="104"/>
    </row>
    <row r="10">
      <c r="A10" s="134" t="s">
        <v>148</v>
      </c>
      <c r="B10" s="119">
        <v>0.0</v>
      </c>
      <c r="C10" s="119">
        <v>0.0</v>
      </c>
      <c r="D10" s="119">
        <v>0.0</v>
      </c>
      <c r="E10" s="119">
        <v>0.0</v>
      </c>
      <c r="F10" s="119">
        <v>0.0</v>
      </c>
      <c r="G10" s="119">
        <v>0.0</v>
      </c>
      <c r="H10" s="119">
        <v>0.0</v>
      </c>
      <c r="I10" s="119">
        <v>0.0</v>
      </c>
      <c r="J10" s="119">
        <v>0.0</v>
      </c>
      <c r="K10" s="119">
        <v>0.0</v>
      </c>
      <c r="L10" s="119">
        <v>0.0</v>
      </c>
      <c r="M10" s="119">
        <v>0.0</v>
      </c>
      <c r="N10" s="119">
        <v>0.0</v>
      </c>
      <c r="O10" s="104"/>
      <c r="P10" s="104"/>
      <c r="Q10" s="104"/>
      <c r="R10" s="104"/>
      <c r="S10" s="104"/>
      <c r="T10" s="104"/>
      <c r="U10" s="104"/>
      <c r="V10" s="104"/>
      <c r="W10" s="104"/>
      <c r="X10" s="104"/>
      <c r="Y10" s="104"/>
      <c r="Z10" s="104"/>
      <c r="AA10" s="104"/>
      <c r="AB10" s="104"/>
      <c r="AC10" s="104"/>
      <c r="AD10" s="104"/>
      <c r="AE10" s="104"/>
      <c r="AF10" s="104"/>
      <c r="AG10" s="104"/>
      <c r="AH10" s="104"/>
      <c r="AI10" s="104"/>
      <c r="AJ10" s="104"/>
    </row>
    <row r="11">
      <c r="A11" s="134" t="s">
        <v>149</v>
      </c>
      <c r="B11" s="119">
        <v>0.0</v>
      </c>
      <c r="C11" s="119">
        <v>0.0</v>
      </c>
      <c r="D11" s="119">
        <v>0.0</v>
      </c>
      <c r="E11" s="119">
        <v>0.0</v>
      </c>
      <c r="F11" s="119">
        <v>0.0</v>
      </c>
      <c r="G11" s="119" t="s">
        <v>163</v>
      </c>
      <c r="H11" s="119">
        <v>4.0</v>
      </c>
      <c r="I11" s="119" t="s">
        <v>163</v>
      </c>
      <c r="J11" s="119" t="s">
        <v>163</v>
      </c>
      <c r="K11" s="119" t="s">
        <v>163</v>
      </c>
      <c r="L11" s="119" t="s">
        <v>163</v>
      </c>
      <c r="M11" s="119">
        <v>0.0</v>
      </c>
      <c r="N11" s="119">
        <v>2.0</v>
      </c>
      <c r="O11" s="104"/>
      <c r="P11" s="104"/>
      <c r="Q11" s="104"/>
      <c r="R11" s="104"/>
      <c r="S11" s="104"/>
      <c r="T11" s="104"/>
      <c r="U11" s="104"/>
      <c r="V11" s="104"/>
      <c r="W11" s="104"/>
      <c r="X11" s="104"/>
      <c r="Y11" s="104"/>
      <c r="Z11" s="104"/>
      <c r="AA11" s="104"/>
      <c r="AB11" s="104"/>
      <c r="AC11" s="104"/>
      <c r="AD11" s="104"/>
      <c r="AE11" s="104"/>
      <c r="AF11" s="104"/>
      <c r="AG11" s="104"/>
      <c r="AH11" s="104"/>
      <c r="AI11" s="104"/>
      <c r="AJ11" s="104"/>
    </row>
    <row r="12">
      <c r="A12" s="134" t="s">
        <v>150</v>
      </c>
      <c r="B12" s="119">
        <v>0.0</v>
      </c>
      <c r="C12" s="119">
        <v>0.0</v>
      </c>
      <c r="D12" s="119">
        <v>0.0</v>
      </c>
      <c r="E12" s="119" t="s">
        <v>163</v>
      </c>
      <c r="F12" s="119">
        <v>118.0</v>
      </c>
      <c r="G12" s="119">
        <v>474.0</v>
      </c>
      <c r="H12" s="119">
        <v>646.0</v>
      </c>
      <c r="I12" s="119">
        <v>559.0</v>
      </c>
      <c r="J12" s="119">
        <v>541.0</v>
      </c>
      <c r="K12" s="119">
        <v>431.0</v>
      </c>
      <c r="L12" s="119">
        <v>94.0</v>
      </c>
      <c r="M12" s="119" t="s">
        <v>163</v>
      </c>
      <c r="N12" s="119">
        <v>331.0</v>
      </c>
      <c r="O12" s="104"/>
      <c r="P12" s="104"/>
      <c r="Q12" s="104"/>
      <c r="R12" s="104"/>
      <c r="S12" s="104"/>
      <c r="T12" s="104"/>
      <c r="U12" s="104"/>
      <c r="V12" s="104"/>
      <c r="W12" s="104"/>
      <c r="X12" s="104"/>
      <c r="Y12" s="104"/>
      <c r="Z12" s="104"/>
      <c r="AA12" s="104"/>
      <c r="AB12" s="104"/>
      <c r="AC12" s="104"/>
      <c r="AD12" s="104"/>
      <c r="AE12" s="104"/>
      <c r="AF12" s="104"/>
      <c r="AG12" s="104"/>
      <c r="AH12" s="104"/>
      <c r="AI12" s="104"/>
      <c r="AJ12" s="104"/>
    </row>
    <row r="13">
      <c r="A13" s="134" t="s">
        <v>151</v>
      </c>
      <c r="B13" s="119">
        <v>0.0</v>
      </c>
      <c r="C13" s="119">
        <v>0.0</v>
      </c>
      <c r="D13" s="119">
        <v>0.0</v>
      </c>
      <c r="E13" s="119" t="s">
        <v>163</v>
      </c>
      <c r="F13" s="119">
        <v>254.0</v>
      </c>
      <c r="G13" s="119">
        <v>798.0</v>
      </c>
      <c r="H13" s="119">
        <v>934.0</v>
      </c>
      <c r="I13" s="119">
        <v>854.0</v>
      </c>
      <c r="J13" s="119">
        <v>905.0</v>
      </c>
      <c r="K13" s="119">
        <v>749.0</v>
      </c>
      <c r="L13" s="119">
        <v>187.0</v>
      </c>
      <c r="M13" s="119">
        <v>47.0</v>
      </c>
      <c r="N13" s="119">
        <v>538.0</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c r="A14" s="134" t="s">
        <v>152</v>
      </c>
      <c r="B14" s="119">
        <v>0.0</v>
      </c>
      <c r="C14" s="119">
        <v>0.0</v>
      </c>
      <c r="D14" s="119">
        <v>0.0</v>
      </c>
      <c r="E14" s="119">
        <v>22.0</v>
      </c>
      <c r="F14" s="119">
        <v>206.0</v>
      </c>
      <c r="G14" s="119">
        <v>440.0</v>
      </c>
      <c r="H14" s="119">
        <v>368.0</v>
      </c>
      <c r="I14" s="119">
        <v>389.0</v>
      </c>
      <c r="J14" s="119">
        <v>460.0</v>
      </c>
      <c r="K14" s="119">
        <v>477.0</v>
      </c>
      <c r="L14" s="119">
        <v>361.0</v>
      </c>
      <c r="M14" s="135">
        <v>1094.0</v>
      </c>
      <c r="N14" s="119">
        <v>345.0</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c r="A15" s="134" t="s">
        <v>153</v>
      </c>
      <c r="B15" s="119">
        <v>0.0</v>
      </c>
      <c r="C15" s="119">
        <v>0.0</v>
      </c>
      <c r="D15" s="119" t="s">
        <v>163</v>
      </c>
      <c r="E15" s="119">
        <v>104.0</v>
      </c>
      <c r="F15" s="119">
        <v>605.0</v>
      </c>
      <c r="G15" s="135">
        <v>1133.0</v>
      </c>
      <c r="H15" s="135">
        <v>1431.0</v>
      </c>
      <c r="I15" s="135">
        <v>1626.0</v>
      </c>
      <c r="J15" s="135">
        <v>1823.0</v>
      </c>
      <c r="K15" s="135">
        <v>1650.0</v>
      </c>
      <c r="L15" s="135">
        <v>1133.0</v>
      </c>
      <c r="M15" s="135">
        <v>2318.0</v>
      </c>
      <c r="N15" s="135">
        <v>1166.0</v>
      </c>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c r="A16" s="134" t="s">
        <v>154</v>
      </c>
      <c r="B16" s="119">
        <v>0.0</v>
      </c>
      <c r="C16" s="119">
        <v>0.0</v>
      </c>
      <c r="D16" s="119">
        <v>0.0</v>
      </c>
      <c r="E16" s="119">
        <v>121.0</v>
      </c>
      <c r="F16" s="119">
        <v>511.0</v>
      </c>
      <c r="G16" s="119">
        <v>931.0</v>
      </c>
      <c r="H16" s="135">
        <v>1082.0</v>
      </c>
      <c r="I16" s="135">
        <v>1235.0</v>
      </c>
      <c r="J16" s="135">
        <v>1344.0</v>
      </c>
      <c r="K16" s="135">
        <v>1207.0</v>
      </c>
      <c r="L16" s="119">
        <v>800.0</v>
      </c>
      <c r="M16" s="135">
        <v>1616.0</v>
      </c>
      <c r="N16" s="119">
        <v>874.0</v>
      </c>
      <c r="O16" s="104"/>
      <c r="P16" s="104"/>
      <c r="Q16" s="104"/>
      <c r="R16" s="104"/>
      <c r="S16" s="104"/>
      <c r="T16" s="104"/>
      <c r="U16" s="104"/>
      <c r="V16" s="104"/>
      <c r="W16" s="104"/>
      <c r="X16" s="104"/>
      <c r="Y16" s="104"/>
      <c r="Z16" s="104"/>
      <c r="AA16" s="104"/>
      <c r="AB16" s="104"/>
      <c r="AC16" s="104"/>
      <c r="AD16" s="104"/>
      <c r="AE16" s="104"/>
      <c r="AF16" s="104"/>
      <c r="AG16" s="104"/>
      <c r="AH16" s="104"/>
      <c r="AI16" s="104"/>
      <c r="AJ16" s="104"/>
    </row>
    <row r="17">
      <c r="A17" s="134" t="s">
        <v>155</v>
      </c>
      <c r="B17" s="119">
        <v>0.0</v>
      </c>
      <c r="C17" s="119">
        <v>0.0</v>
      </c>
      <c r="D17" s="119">
        <v>0.0</v>
      </c>
      <c r="E17" s="119">
        <v>134.0</v>
      </c>
      <c r="F17" s="119">
        <v>692.0</v>
      </c>
      <c r="G17" s="119">
        <v>993.0</v>
      </c>
      <c r="H17" s="135">
        <v>1171.0</v>
      </c>
      <c r="I17" s="135">
        <v>1318.0</v>
      </c>
      <c r="J17" s="135">
        <v>1555.0</v>
      </c>
      <c r="K17" s="135">
        <v>1622.0</v>
      </c>
      <c r="L17" s="135">
        <v>1402.0</v>
      </c>
      <c r="M17" s="135">
        <v>2780.0</v>
      </c>
      <c r="N17" s="135">
        <v>1094.0</v>
      </c>
      <c r="O17" s="104"/>
      <c r="P17" s="104"/>
      <c r="Q17" s="104"/>
      <c r="R17" s="104"/>
      <c r="S17" s="104"/>
      <c r="T17" s="104"/>
      <c r="U17" s="104"/>
      <c r="V17" s="104"/>
      <c r="W17" s="104"/>
      <c r="X17" s="104"/>
      <c r="Y17" s="104"/>
      <c r="Z17" s="104"/>
      <c r="AA17" s="104"/>
      <c r="AB17" s="104"/>
      <c r="AC17" s="104"/>
      <c r="AD17" s="104"/>
      <c r="AE17" s="104"/>
      <c r="AF17" s="104"/>
      <c r="AG17" s="104"/>
      <c r="AH17" s="104"/>
      <c r="AI17" s="104"/>
      <c r="AJ17" s="104"/>
    </row>
    <row r="18">
      <c r="A18" s="134" t="s">
        <v>156</v>
      </c>
      <c r="B18" s="119">
        <v>0.0</v>
      </c>
      <c r="C18" s="119">
        <v>0.0</v>
      </c>
      <c r="D18" s="119">
        <v>0.0</v>
      </c>
      <c r="E18" s="119">
        <v>134.0</v>
      </c>
      <c r="F18" s="119">
        <v>852.0</v>
      </c>
      <c r="G18" s="119">
        <v>842.0</v>
      </c>
      <c r="H18" s="135">
        <v>1012.0</v>
      </c>
      <c r="I18" s="135">
        <v>1137.0</v>
      </c>
      <c r="J18" s="135">
        <v>1220.0</v>
      </c>
      <c r="K18" s="135">
        <v>1429.0</v>
      </c>
      <c r="L18" s="135">
        <v>1742.0</v>
      </c>
      <c r="M18" s="135">
        <v>2683.0</v>
      </c>
      <c r="N18" s="135">
        <v>1004.0</v>
      </c>
      <c r="O18" s="104"/>
      <c r="P18" s="104"/>
      <c r="Q18" s="104"/>
      <c r="R18" s="104"/>
      <c r="S18" s="104"/>
      <c r="T18" s="104"/>
      <c r="U18" s="104"/>
      <c r="V18" s="104"/>
      <c r="W18" s="104"/>
      <c r="X18" s="104"/>
      <c r="Y18" s="104"/>
      <c r="Z18" s="104"/>
      <c r="AA18" s="104"/>
      <c r="AB18" s="104"/>
      <c r="AC18" s="104"/>
      <c r="AD18" s="104"/>
      <c r="AE18" s="104"/>
      <c r="AF18" s="104"/>
      <c r="AG18" s="104"/>
      <c r="AH18" s="104"/>
      <c r="AI18" s="104"/>
      <c r="AJ18" s="104"/>
    </row>
    <row r="19">
      <c r="A19" s="134" t="s">
        <v>157</v>
      </c>
      <c r="B19" s="119">
        <v>0.0</v>
      </c>
      <c r="C19" s="119">
        <v>0.0</v>
      </c>
      <c r="D19" s="119">
        <v>0.0</v>
      </c>
      <c r="E19" s="119">
        <v>160.0</v>
      </c>
      <c r="F19" s="119">
        <v>563.0</v>
      </c>
      <c r="G19" s="119">
        <v>881.0</v>
      </c>
      <c r="H19" s="135">
        <v>1123.0</v>
      </c>
      <c r="I19" s="135">
        <v>1370.0</v>
      </c>
      <c r="J19" s="135">
        <v>1484.0</v>
      </c>
      <c r="K19" s="135">
        <v>1653.0</v>
      </c>
      <c r="L19" s="135">
        <v>2784.0</v>
      </c>
      <c r="M19" s="135">
        <v>5588.0</v>
      </c>
      <c r="N19" s="135">
        <v>1297.0</v>
      </c>
      <c r="O19" s="104"/>
      <c r="P19" s="104"/>
      <c r="Q19" s="104"/>
      <c r="R19" s="104"/>
      <c r="S19" s="104"/>
      <c r="T19" s="104"/>
      <c r="U19" s="104"/>
      <c r="V19" s="104"/>
      <c r="W19" s="104"/>
      <c r="X19" s="104"/>
      <c r="Y19" s="104"/>
      <c r="Z19" s="104"/>
      <c r="AA19" s="104"/>
      <c r="AB19" s="104"/>
      <c r="AC19" s="104"/>
      <c r="AD19" s="104"/>
      <c r="AE19" s="104"/>
      <c r="AF19" s="104"/>
      <c r="AG19" s="104"/>
      <c r="AH19" s="104"/>
      <c r="AI19" s="104"/>
      <c r="AJ19" s="104"/>
    </row>
    <row r="20">
      <c r="A20" s="134" t="s">
        <v>158</v>
      </c>
      <c r="B20" s="119">
        <v>0.0</v>
      </c>
      <c r="C20" s="119">
        <v>0.0</v>
      </c>
      <c r="D20" s="119">
        <v>0.0</v>
      </c>
      <c r="E20" s="119">
        <v>107.0</v>
      </c>
      <c r="F20" s="119">
        <v>405.0</v>
      </c>
      <c r="G20" s="119">
        <v>516.0</v>
      </c>
      <c r="H20" s="119">
        <v>658.0</v>
      </c>
      <c r="I20" s="119">
        <v>998.0</v>
      </c>
      <c r="J20" s="119">
        <v>1088.0</v>
      </c>
      <c r="K20" s="119">
        <v>1499.0</v>
      </c>
      <c r="L20" s="119">
        <v>3626.0</v>
      </c>
      <c r="M20" s="119">
        <v>6230.0</v>
      </c>
      <c r="N20" s="119">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1" t="s">
        <v>183</v>
      </c>
      <c r="H1" s="102"/>
      <c r="I1" s="102"/>
      <c r="J1" s="102"/>
      <c r="K1" s="102"/>
      <c r="L1" s="103"/>
    </row>
    <row r="2">
      <c r="A2" s="106" t="s">
        <v>101</v>
      </c>
      <c r="F2" s="104"/>
      <c r="G2" s="104"/>
      <c r="H2" s="104"/>
      <c r="I2" s="104"/>
      <c r="J2" s="104"/>
      <c r="K2" s="104"/>
      <c r="L2" s="107"/>
    </row>
    <row r="3">
      <c r="A3" s="106" t="s">
        <v>0</v>
      </c>
      <c r="B3" s="108">
        <v>44265.0</v>
      </c>
      <c r="C3" s="104"/>
      <c r="D3" s="104"/>
      <c r="E3" s="104"/>
      <c r="F3" s="104"/>
      <c r="G3" s="104"/>
      <c r="H3" s="104"/>
      <c r="I3" s="104"/>
      <c r="J3" s="104"/>
      <c r="K3" s="104"/>
      <c r="L3" s="104"/>
    </row>
    <row r="4">
      <c r="A4" s="109"/>
      <c r="B4" s="143"/>
      <c r="C4" s="104"/>
      <c r="D4" s="104"/>
      <c r="E4" s="104"/>
      <c r="F4" s="104"/>
      <c r="G4" s="104"/>
      <c r="H4" s="104"/>
      <c r="I4" s="104"/>
      <c r="J4" s="104"/>
      <c r="K4" s="104"/>
      <c r="L4" s="104"/>
    </row>
    <row r="5" ht="38.25" customHeight="1">
      <c r="A5" s="110" t="s">
        <v>184</v>
      </c>
      <c r="B5" s="111"/>
      <c r="C5" s="111"/>
      <c r="D5" s="111"/>
      <c r="E5" s="111"/>
      <c r="F5" s="111"/>
      <c r="G5" s="111"/>
      <c r="H5" s="111"/>
      <c r="I5" s="111"/>
      <c r="J5" s="111"/>
      <c r="K5" s="111"/>
      <c r="L5" s="41"/>
    </row>
    <row r="6">
      <c r="A6" s="104"/>
      <c r="B6" s="113"/>
      <c r="C6" s="104"/>
      <c r="D6" s="104"/>
      <c r="E6" s="104"/>
      <c r="F6" s="104"/>
      <c r="G6" s="104"/>
      <c r="H6" s="104"/>
      <c r="I6" s="104"/>
      <c r="J6" s="104"/>
      <c r="K6" s="104"/>
      <c r="L6" s="104"/>
    </row>
    <row r="7" ht="36.0" customHeight="1">
      <c r="A7" s="144" t="s">
        <v>103</v>
      </c>
      <c r="B7" s="145" t="s">
        <v>69</v>
      </c>
      <c r="C7" s="145" t="s">
        <v>70</v>
      </c>
      <c r="D7" s="145" t="s">
        <v>71</v>
      </c>
      <c r="E7" s="145" t="s">
        <v>72</v>
      </c>
      <c r="F7" s="145" t="s">
        <v>185</v>
      </c>
      <c r="G7" s="145" t="s">
        <v>74</v>
      </c>
      <c r="H7" s="145" t="s">
        <v>75</v>
      </c>
      <c r="I7" s="145" t="s">
        <v>76</v>
      </c>
      <c r="J7" s="145" t="s">
        <v>77</v>
      </c>
      <c r="K7" s="145" t="s">
        <v>78</v>
      </c>
      <c r="L7" s="145" t="s">
        <v>105</v>
      </c>
    </row>
    <row r="8">
      <c r="A8" s="117" t="s">
        <v>106</v>
      </c>
      <c r="B8" s="72">
        <v>0.0</v>
      </c>
      <c r="C8" s="72">
        <v>0.0</v>
      </c>
      <c r="D8" s="72">
        <v>0.0</v>
      </c>
      <c r="E8" s="72">
        <v>0.0</v>
      </c>
      <c r="F8" s="72">
        <v>0.0</v>
      </c>
      <c r="G8" s="72" t="s">
        <v>55</v>
      </c>
      <c r="H8" s="72" t="s">
        <v>55</v>
      </c>
      <c r="I8" s="72">
        <v>0.0</v>
      </c>
      <c r="J8" s="72">
        <v>0.0</v>
      </c>
      <c r="K8" s="72">
        <v>0.0</v>
      </c>
      <c r="L8" s="72" t="s">
        <v>55</v>
      </c>
    </row>
    <row r="9">
      <c r="A9" s="117" t="s">
        <v>107</v>
      </c>
      <c r="B9" s="72">
        <v>0.0</v>
      </c>
      <c r="C9" s="72">
        <v>0.0</v>
      </c>
      <c r="D9" s="72" t="s">
        <v>55</v>
      </c>
      <c r="E9" s="72">
        <v>0.0</v>
      </c>
      <c r="F9" s="72">
        <v>0.0</v>
      </c>
      <c r="G9" s="72">
        <v>9.0</v>
      </c>
      <c r="H9" s="72" t="s">
        <v>55</v>
      </c>
      <c r="I9" s="72">
        <v>0.0</v>
      </c>
      <c r="J9" s="72">
        <v>0.0</v>
      </c>
      <c r="K9" s="72" t="s">
        <v>55</v>
      </c>
      <c r="L9" s="72">
        <v>15.0</v>
      </c>
    </row>
    <row r="10">
      <c r="A10" s="117" t="s">
        <v>108</v>
      </c>
      <c r="B10" s="72">
        <v>6.0</v>
      </c>
      <c r="C10" s="72">
        <v>0.0</v>
      </c>
      <c r="D10" s="72" t="s">
        <v>55</v>
      </c>
      <c r="E10" s="72" t="s">
        <v>55</v>
      </c>
      <c r="F10" s="72">
        <v>0.0</v>
      </c>
      <c r="G10" s="72">
        <v>28.0</v>
      </c>
      <c r="H10" s="72">
        <v>0.0</v>
      </c>
      <c r="I10" s="72">
        <v>0.0</v>
      </c>
      <c r="J10" s="72">
        <v>0.0</v>
      </c>
      <c r="K10" s="72">
        <v>29.0</v>
      </c>
      <c r="L10" s="72">
        <v>66.0</v>
      </c>
    </row>
    <row r="11">
      <c r="A11" s="117" t="s">
        <v>109</v>
      </c>
      <c r="B11" s="72">
        <v>27.0</v>
      </c>
      <c r="C11" s="72" t="s">
        <v>55</v>
      </c>
      <c r="D11" s="72" t="s">
        <v>55</v>
      </c>
      <c r="E11" s="72">
        <v>17.0</v>
      </c>
      <c r="F11" s="72">
        <v>0.0</v>
      </c>
      <c r="G11" s="72">
        <v>86.0</v>
      </c>
      <c r="H11" s="72" t="s">
        <v>55</v>
      </c>
      <c r="I11" s="72">
        <v>0.0</v>
      </c>
      <c r="J11" s="72" t="s">
        <v>55</v>
      </c>
      <c r="K11" s="72">
        <v>76.0</v>
      </c>
      <c r="L11" s="72">
        <v>213.0</v>
      </c>
    </row>
    <row r="12">
      <c r="A12" s="117" t="s">
        <v>110</v>
      </c>
      <c r="B12" s="72">
        <v>87.0</v>
      </c>
      <c r="C12" s="72" t="s">
        <v>55</v>
      </c>
      <c r="D12" s="72" t="s">
        <v>55</v>
      </c>
      <c r="E12" s="72">
        <v>55.0</v>
      </c>
      <c r="F12" s="72">
        <v>0.0</v>
      </c>
      <c r="G12" s="72">
        <v>257.0</v>
      </c>
      <c r="H12" s="72">
        <v>6.0</v>
      </c>
      <c r="I12" s="72" t="s">
        <v>55</v>
      </c>
      <c r="J12" s="72" t="s">
        <v>55</v>
      </c>
      <c r="K12" s="72">
        <v>212.0</v>
      </c>
      <c r="L12" s="72">
        <v>624.0</v>
      </c>
    </row>
    <row r="13">
      <c r="A13" s="117" t="s">
        <v>111</v>
      </c>
      <c r="B13" s="72">
        <v>502.0</v>
      </c>
      <c r="C13" s="72">
        <v>8.0</v>
      </c>
      <c r="D13" s="72">
        <v>27.0</v>
      </c>
      <c r="E13" s="72">
        <v>166.0</v>
      </c>
      <c r="F13" s="72">
        <v>0.0</v>
      </c>
      <c r="G13" s="72">
        <v>767.0</v>
      </c>
      <c r="H13" s="72">
        <v>12.0</v>
      </c>
      <c r="I13" s="72">
        <v>5.0</v>
      </c>
      <c r="J13" s="72">
        <v>13.0</v>
      </c>
      <c r="K13" s="72">
        <v>327.0</v>
      </c>
      <c r="L13" s="146">
        <v>1827.0</v>
      </c>
    </row>
    <row r="14">
      <c r="A14" s="117" t="s">
        <v>112</v>
      </c>
      <c r="B14" s="72">
        <v>746.0</v>
      </c>
      <c r="C14" s="72">
        <v>11.0</v>
      </c>
      <c r="D14" s="72">
        <v>23.0</v>
      </c>
      <c r="E14" s="72">
        <v>212.0</v>
      </c>
      <c r="F14" s="72">
        <v>0.0</v>
      </c>
      <c r="G14" s="72">
        <v>613.0</v>
      </c>
      <c r="H14" s="72">
        <v>12.0</v>
      </c>
      <c r="I14" s="72">
        <v>11.0</v>
      </c>
      <c r="J14" s="72">
        <v>26.0</v>
      </c>
      <c r="K14" s="72">
        <v>278.0</v>
      </c>
      <c r="L14" s="146">
        <v>1932.0</v>
      </c>
    </row>
    <row r="15">
      <c r="A15" s="117" t="s">
        <v>113</v>
      </c>
      <c r="B15" s="72">
        <v>952.0</v>
      </c>
      <c r="C15" s="72">
        <v>10.0</v>
      </c>
      <c r="D15" s="72">
        <v>22.0</v>
      </c>
      <c r="E15" s="72">
        <v>277.0</v>
      </c>
      <c r="F15" s="72">
        <v>0.0</v>
      </c>
      <c r="G15" s="72">
        <v>726.0</v>
      </c>
      <c r="H15" s="72">
        <v>21.0</v>
      </c>
      <c r="I15" s="72">
        <v>14.0</v>
      </c>
      <c r="J15" s="72">
        <v>37.0</v>
      </c>
      <c r="K15" s="72">
        <v>464.0</v>
      </c>
      <c r="L15" s="146">
        <v>2523.0</v>
      </c>
    </row>
    <row r="16">
      <c r="A16" s="117" t="s">
        <v>114</v>
      </c>
      <c r="B16" s="72">
        <v>751.0</v>
      </c>
      <c r="C16" s="72">
        <v>6.0</v>
      </c>
      <c r="D16" s="72">
        <v>42.0</v>
      </c>
      <c r="E16" s="72">
        <v>229.0</v>
      </c>
      <c r="F16" s="72">
        <v>0.0</v>
      </c>
      <c r="G16" s="72">
        <v>480.0</v>
      </c>
      <c r="H16" s="72">
        <v>19.0</v>
      </c>
      <c r="I16" s="72">
        <v>7.0</v>
      </c>
      <c r="J16" s="72">
        <v>27.0</v>
      </c>
      <c r="K16" s="72">
        <v>432.0</v>
      </c>
      <c r="L16" s="146">
        <v>1993.0</v>
      </c>
    </row>
    <row r="17">
      <c r="A17" s="117" t="s">
        <v>115</v>
      </c>
      <c r="B17" s="72">
        <v>700.0</v>
      </c>
      <c r="C17" s="72">
        <v>8.0</v>
      </c>
      <c r="D17" s="72">
        <v>26.0</v>
      </c>
      <c r="E17" s="72">
        <v>203.0</v>
      </c>
      <c r="F17" s="72">
        <v>0.0</v>
      </c>
      <c r="G17" s="72">
        <v>571.0</v>
      </c>
      <c r="H17" s="72">
        <v>23.0</v>
      </c>
      <c r="I17" s="72" t="s">
        <v>55</v>
      </c>
      <c r="J17" s="72">
        <v>24.0</v>
      </c>
      <c r="K17" s="72">
        <v>290.0</v>
      </c>
      <c r="L17" s="146">
        <v>1848.0</v>
      </c>
    </row>
    <row r="18">
      <c r="A18" s="117" t="s">
        <v>116</v>
      </c>
      <c r="B18" s="72">
        <v>621.0</v>
      </c>
      <c r="C18" s="72" t="s">
        <v>55</v>
      </c>
      <c r="D18" s="72">
        <v>37.0</v>
      </c>
      <c r="E18" s="72">
        <v>162.0</v>
      </c>
      <c r="F18" s="72">
        <v>0.0</v>
      </c>
      <c r="G18" s="72">
        <v>409.0</v>
      </c>
      <c r="H18" s="72">
        <v>26.0</v>
      </c>
      <c r="I18" s="72">
        <v>5.0</v>
      </c>
      <c r="J18" s="72">
        <v>9.0</v>
      </c>
      <c r="K18" s="72">
        <v>182.0</v>
      </c>
      <c r="L18" s="146">
        <v>1454.0</v>
      </c>
    </row>
    <row r="19">
      <c r="A19" s="117" t="s">
        <v>117</v>
      </c>
      <c r="B19" s="72">
        <v>494.0</v>
      </c>
      <c r="C19" s="72" t="s">
        <v>55</v>
      </c>
      <c r="D19" s="72">
        <v>26.0</v>
      </c>
      <c r="E19" s="72">
        <v>120.0</v>
      </c>
      <c r="F19" s="72">
        <v>0.0</v>
      </c>
      <c r="G19" s="72">
        <v>301.0</v>
      </c>
      <c r="H19" s="72">
        <v>22.0</v>
      </c>
      <c r="I19" s="72">
        <v>5.0</v>
      </c>
      <c r="J19" s="72">
        <v>8.0</v>
      </c>
      <c r="K19" s="72">
        <v>113.0</v>
      </c>
      <c r="L19" s="146">
        <v>1090.0</v>
      </c>
    </row>
    <row r="20">
      <c r="A20" s="117" t="s">
        <v>118</v>
      </c>
      <c r="B20" s="72">
        <v>417.0</v>
      </c>
      <c r="C20" s="72" t="s">
        <v>55</v>
      </c>
      <c r="D20" s="72">
        <v>13.0</v>
      </c>
      <c r="E20" s="72">
        <v>98.0</v>
      </c>
      <c r="F20" s="72">
        <v>0.0</v>
      </c>
      <c r="G20" s="72">
        <v>189.0</v>
      </c>
      <c r="H20" s="72">
        <v>10.0</v>
      </c>
      <c r="I20" s="72">
        <v>6.0</v>
      </c>
      <c r="J20" s="72" t="s">
        <v>55</v>
      </c>
      <c r="K20" s="72">
        <v>96.0</v>
      </c>
      <c r="L20" s="72">
        <v>837.0</v>
      </c>
    </row>
    <row r="21">
      <c r="A21" s="117" t="s">
        <v>119</v>
      </c>
      <c r="B21" s="72">
        <v>327.0</v>
      </c>
      <c r="C21" s="72">
        <v>0.0</v>
      </c>
      <c r="D21" s="72">
        <v>8.0</v>
      </c>
      <c r="E21" s="72">
        <v>72.0</v>
      </c>
      <c r="F21" s="72">
        <v>0.0</v>
      </c>
      <c r="G21" s="72">
        <v>126.0</v>
      </c>
      <c r="H21" s="72" t="s">
        <v>55</v>
      </c>
      <c r="I21" s="72" t="s">
        <v>55</v>
      </c>
      <c r="J21" s="72">
        <v>6.0</v>
      </c>
      <c r="K21" s="72">
        <v>67.0</v>
      </c>
      <c r="L21" s="72">
        <v>610.0</v>
      </c>
    </row>
    <row r="22">
      <c r="A22" s="117" t="s">
        <v>120</v>
      </c>
      <c r="B22" s="72">
        <v>194.0</v>
      </c>
      <c r="C22" s="72" t="s">
        <v>55</v>
      </c>
      <c r="D22" s="72">
        <v>13.0</v>
      </c>
      <c r="E22" s="72">
        <v>48.0</v>
      </c>
      <c r="F22" s="72">
        <v>0.0</v>
      </c>
      <c r="G22" s="72">
        <v>134.0</v>
      </c>
      <c r="H22" s="72">
        <v>8.0</v>
      </c>
      <c r="I22" s="72" t="s">
        <v>55</v>
      </c>
      <c r="J22" s="72" t="s">
        <v>55</v>
      </c>
      <c r="K22" s="72">
        <v>52.0</v>
      </c>
      <c r="L22" s="72">
        <v>458.0</v>
      </c>
    </row>
    <row r="23">
      <c r="A23" s="117" t="s">
        <v>121</v>
      </c>
      <c r="B23" s="72">
        <v>157.0</v>
      </c>
      <c r="C23" s="72" t="s">
        <v>55</v>
      </c>
      <c r="D23" s="72" t="s">
        <v>55</v>
      </c>
      <c r="E23" s="72">
        <v>33.0</v>
      </c>
      <c r="F23" s="72">
        <v>0.0</v>
      </c>
      <c r="G23" s="72">
        <v>107.0</v>
      </c>
      <c r="H23" s="72">
        <v>5.0</v>
      </c>
      <c r="I23" s="72">
        <v>0.0</v>
      </c>
      <c r="J23" s="72" t="s">
        <v>55</v>
      </c>
      <c r="K23" s="72">
        <v>48.0</v>
      </c>
      <c r="L23" s="72">
        <v>354.0</v>
      </c>
    </row>
    <row r="24">
      <c r="A24" s="117" t="s">
        <v>122</v>
      </c>
      <c r="B24" s="72">
        <v>141.0</v>
      </c>
      <c r="C24" s="72" t="s">
        <v>55</v>
      </c>
      <c r="D24" s="72" t="s">
        <v>55</v>
      </c>
      <c r="E24" s="72">
        <v>46.0</v>
      </c>
      <c r="F24" s="72">
        <v>0.0</v>
      </c>
      <c r="G24" s="72">
        <v>122.0</v>
      </c>
      <c r="H24" s="72" t="s">
        <v>55</v>
      </c>
      <c r="I24" s="72">
        <v>6.0</v>
      </c>
      <c r="J24" s="72" t="s">
        <v>55</v>
      </c>
      <c r="K24" s="72">
        <v>31.0</v>
      </c>
      <c r="L24" s="72">
        <v>356.0</v>
      </c>
    </row>
    <row r="25">
      <c r="A25" s="117" t="s">
        <v>123</v>
      </c>
      <c r="B25" s="72">
        <v>109.0</v>
      </c>
      <c r="C25" s="72" t="s">
        <v>55</v>
      </c>
      <c r="D25" s="72">
        <v>11.0</v>
      </c>
      <c r="E25" s="72">
        <v>27.0</v>
      </c>
      <c r="F25" s="72">
        <v>0.0</v>
      </c>
      <c r="G25" s="72">
        <v>98.0</v>
      </c>
      <c r="H25" s="72" t="s">
        <v>55</v>
      </c>
      <c r="I25" s="72">
        <v>5.0</v>
      </c>
      <c r="J25" s="72" t="s">
        <v>55</v>
      </c>
      <c r="K25" s="72">
        <v>16.0</v>
      </c>
      <c r="L25" s="72">
        <v>271.0</v>
      </c>
    </row>
    <row r="26">
      <c r="A26" s="117" t="s">
        <v>124</v>
      </c>
      <c r="B26" s="72">
        <v>119.0</v>
      </c>
      <c r="C26" s="72" t="s">
        <v>55</v>
      </c>
      <c r="D26" s="72">
        <v>9.0</v>
      </c>
      <c r="E26" s="72">
        <v>30.0</v>
      </c>
      <c r="F26" s="72">
        <v>0.0</v>
      </c>
      <c r="G26" s="72">
        <v>153.0</v>
      </c>
      <c r="H26" s="72">
        <v>6.0</v>
      </c>
      <c r="I26" s="72" t="s">
        <v>55</v>
      </c>
      <c r="J26" s="72">
        <v>5.0</v>
      </c>
      <c r="K26" s="72">
        <v>17.0</v>
      </c>
      <c r="L26" s="72">
        <v>342.0</v>
      </c>
    </row>
    <row r="27">
      <c r="A27" s="117" t="s">
        <v>125</v>
      </c>
      <c r="B27" s="72">
        <v>140.0</v>
      </c>
      <c r="C27" s="72" t="s">
        <v>55</v>
      </c>
      <c r="D27" s="72">
        <v>5.0</v>
      </c>
      <c r="E27" s="72">
        <v>61.0</v>
      </c>
      <c r="F27" s="72">
        <v>0.0</v>
      </c>
      <c r="G27" s="72">
        <v>168.0</v>
      </c>
      <c r="H27" s="72">
        <v>8.0</v>
      </c>
      <c r="I27" s="72">
        <v>11.0</v>
      </c>
      <c r="J27" s="72">
        <v>9.0</v>
      </c>
      <c r="K27" s="72">
        <v>32.0</v>
      </c>
      <c r="L27" s="72">
        <v>436.0</v>
      </c>
    </row>
    <row r="28">
      <c r="A28" s="117" t="s">
        <v>126</v>
      </c>
      <c r="B28" s="72">
        <v>240.0</v>
      </c>
      <c r="C28" s="72" t="s">
        <v>55</v>
      </c>
      <c r="D28" s="72">
        <v>13.0</v>
      </c>
      <c r="E28" s="72">
        <v>89.0</v>
      </c>
      <c r="F28" s="72">
        <v>0.0</v>
      </c>
      <c r="G28" s="72">
        <v>209.0</v>
      </c>
      <c r="H28" s="72">
        <v>23.0</v>
      </c>
      <c r="I28" s="72">
        <v>13.0</v>
      </c>
      <c r="J28" s="72">
        <v>10.0</v>
      </c>
      <c r="K28" s="72">
        <v>48.0</v>
      </c>
      <c r="L28" s="72">
        <v>646.0</v>
      </c>
    </row>
    <row r="29">
      <c r="A29" s="117" t="s">
        <v>127</v>
      </c>
      <c r="B29" s="72">
        <v>310.0</v>
      </c>
      <c r="C29" s="72" t="s">
        <v>55</v>
      </c>
      <c r="D29" s="72">
        <v>20.0</v>
      </c>
      <c r="E29" s="72">
        <v>74.0</v>
      </c>
      <c r="F29" s="72">
        <v>0.0</v>
      </c>
      <c r="G29" s="72">
        <v>202.0</v>
      </c>
      <c r="H29" s="72">
        <v>14.0</v>
      </c>
      <c r="I29" s="72">
        <v>9.0</v>
      </c>
      <c r="J29" s="72">
        <v>9.0</v>
      </c>
      <c r="K29" s="72">
        <v>45.0</v>
      </c>
      <c r="L29" s="72">
        <v>684.0</v>
      </c>
    </row>
    <row r="30">
      <c r="A30" s="117" t="s">
        <v>128</v>
      </c>
      <c r="B30" s="72">
        <v>324.0</v>
      </c>
      <c r="C30" s="72" t="s">
        <v>55</v>
      </c>
      <c r="D30" s="72">
        <v>15.0</v>
      </c>
      <c r="E30" s="72">
        <v>81.0</v>
      </c>
      <c r="F30" s="72">
        <v>0.0</v>
      </c>
      <c r="G30" s="72">
        <v>203.0</v>
      </c>
      <c r="H30" s="72">
        <v>6.0</v>
      </c>
      <c r="I30" s="72">
        <v>8.0</v>
      </c>
      <c r="J30" s="72">
        <v>5.0</v>
      </c>
      <c r="K30" s="72">
        <v>53.0</v>
      </c>
      <c r="L30" s="72">
        <v>697.0</v>
      </c>
    </row>
    <row r="31">
      <c r="A31" s="117" t="s">
        <v>129</v>
      </c>
      <c r="B31" s="72">
        <v>303.0</v>
      </c>
      <c r="C31" s="72">
        <v>0.0</v>
      </c>
      <c r="D31" s="72">
        <v>7.0</v>
      </c>
      <c r="E31" s="72">
        <v>38.0</v>
      </c>
      <c r="F31" s="72">
        <v>0.0</v>
      </c>
      <c r="G31" s="72">
        <v>190.0</v>
      </c>
      <c r="H31" s="72">
        <v>9.0</v>
      </c>
      <c r="I31" s="72">
        <v>7.0</v>
      </c>
      <c r="J31" s="72">
        <v>6.0</v>
      </c>
      <c r="K31" s="72">
        <v>51.0</v>
      </c>
      <c r="L31" s="72">
        <v>611.0</v>
      </c>
    </row>
    <row r="32">
      <c r="A32" s="117" t="s">
        <v>130</v>
      </c>
      <c r="B32" s="72">
        <v>300.0</v>
      </c>
      <c r="C32" s="72" t="s">
        <v>55</v>
      </c>
      <c r="D32" s="72">
        <v>11.0</v>
      </c>
      <c r="E32" s="72">
        <v>45.0</v>
      </c>
      <c r="F32" s="72">
        <v>0.0</v>
      </c>
      <c r="G32" s="72">
        <v>233.0</v>
      </c>
      <c r="H32" s="72">
        <v>9.0</v>
      </c>
      <c r="I32" s="72">
        <v>12.0</v>
      </c>
      <c r="J32" s="72">
        <v>5.0</v>
      </c>
      <c r="K32" s="72">
        <v>54.0</v>
      </c>
      <c r="L32" s="72">
        <v>670.0</v>
      </c>
    </row>
    <row r="33">
      <c r="A33" s="117" t="s">
        <v>131</v>
      </c>
      <c r="B33" s="72">
        <v>232.0</v>
      </c>
      <c r="C33" s="72" t="s">
        <v>55</v>
      </c>
      <c r="D33" s="72">
        <v>9.0</v>
      </c>
      <c r="E33" s="72">
        <v>34.0</v>
      </c>
      <c r="F33" s="72">
        <v>0.0</v>
      </c>
      <c r="G33" s="72">
        <v>177.0</v>
      </c>
      <c r="H33" s="72">
        <v>7.0</v>
      </c>
      <c r="I33" s="72">
        <v>10.0</v>
      </c>
      <c r="J33" s="72">
        <v>5.0</v>
      </c>
      <c r="K33" s="72">
        <v>65.0</v>
      </c>
      <c r="L33" s="72">
        <v>540.0</v>
      </c>
    </row>
    <row r="34">
      <c r="A34" s="117" t="s">
        <v>132</v>
      </c>
      <c r="B34" s="123">
        <v>210.0</v>
      </c>
      <c r="C34" s="123" t="s">
        <v>55</v>
      </c>
      <c r="D34" s="123">
        <v>17.0</v>
      </c>
      <c r="E34" s="123">
        <v>52.0</v>
      </c>
      <c r="F34" s="123">
        <v>0.0</v>
      </c>
      <c r="G34" s="123">
        <v>149.0</v>
      </c>
      <c r="H34" s="123">
        <v>7.0</v>
      </c>
      <c r="I34" s="123" t="s">
        <v>55</v>
      </c>
      <c r="J34" s="123">
        <v>8.0</v>
      </c>
      <c r="K34" s="123">
        <v>39.0</v>
      </c>
      <c r="L34" s="123">
        <v>486.0</v>
      </c>
    </row>
    <row r="35">
      <c r="A35" s="117" t="s">
        <v>133</v>
      </c>
      <c r="B35" s="123">
        <v>172.0</v>
      </c>
      <c r="C35" s="123">
        <v>0.0</v>
      </c>
      <c r="D35" s="123">
        <v>5.0</v>
      </c>
      <c r="E35" s="123">
        <v>63.0</v>
      </c>
      <c r="F35" s="123">
        <v>0.0</v>
      </c>
      <c r="G35" s="123">
        <v>226.0</v>
      </c>
      <c r="H35" s="123">
        <v>10.0</v>
      </c>
      <c r="I35" s="123" t="s">
        <v>55</v>
      </c>
      <c r="J35" s="123" t="s">
        <v>55</v>
      </c>
      <c r="K35" s="123">
        <v>57.0</v>
      </c>
      <c r="L35" s="123">
        <v>540.0</v>
      </c>
    </row>
    <row r="36">
      <c r="A36" s="117" t="s">
        <v>134</v>
      </c>
      <c r="B36" s="123">
        <v>231.0</v>
      </c>
      <c r="C36" s="123" t="s">
        <v>55</v>
      </c>
      <c r="D36" s="123">
        <v>9.0</v>
      </c>
      <c r="E36" s="123">
        <v>44.0</v>
      </c>
      <c r="F36" s="123">
        <v>0.0</v>
      </c>
      <c r="G36" s="123">
        <v>352.0</v>
      </c>
      <c r="H36" s="123">
        <v>16.0</v>
      </c>
      <c r="I36" s="123">
        <v>7.0</v>
      </c>
      <c r="J36" s="123">
        <v>8.0</v>
      </c>
      <c r="K36" s="123">
        <v>50.0</v>
      </c>
      <c r="L36" s="123">
        <v>720.0</v>
      </c>
    </row>
    <row r="37">
      <c r="A37" s="117" t="s">
        <v>135</v>
      </c>
      <c r="B37" s="147">
        <v>226.0</v>
      </c>
      <c r="C37" s="147" t="s">
        <v>55</v>
      </c>
      <c r="D37" s="147">
        <v>8.0</v>
      </c>
      <c r="E37" s="147">
        <v>69.0</v>
      </c>
      <c r="F37" s="147">
        <v>0.0</v>
      </c>
      <c r="G37" s="147">
        <v>327.0</v>
      </c>
      <c r="H37" s="147">
        <v>11.0</v>
      </c>
      <c r="I37" s="147">
        <v>11.0</v>
      </c>
      <c r="J37" s="147">
        <v>6.0</v>
      </c>
      <c r="K37" s="147">
        <v>54.0</v>
      </c>
      <c r="L37" s="147">
        <v>713.0</v>
      </c>
    </row>
    <row r="38">
      <c r="A38" s="117" t="s">
        <v>136</v>
      </c>
      <c r="B38" s="147">
        <v>277.0</v>
      </c>
      <c r="C38" s="147" t="s">
        <v>55</v>
      </c>
      <c r="D38" s="147">
        <v>8.0</v>
      </c>
      <c r="E38" s="147">
        <v>91.0</v>
      </c>
      <c r="F38" s="147">
        <v>0.0</v>
      </c>
      <c r="G38" s="147">
        <v>461.0</v>
      </c>
      <c r="H38" s="147">
        <v>24.0</v>
      </c>
      <c r="I38" s="147">
        <v>14.0</v>
      </c>
      <c r="J38" s="147">
        <v>10.0</v>
      </c>
      <c r="K38" s="147">
        <v>75.0</v>
      </c>
      <c r="L38" s="147">
        <v>961.0</v>
      </c>
    </row>
    <row r="39">
      <c r="A39" s="117" t="s">
        <v>137</v>
      </c>
      <c r="B39" s="147">
        <v>352.0</v>
      </c>
      <c r="C39" s="147">
        <v>7.0</v>
      </c>
      <c r="D39" s="147">
        <v>9.0</v>
      </c>
      <c r="E39" s="147">
        <v>103.0</v>
      </c>
      <c r="F39" s="147">
        <v>0.0</v>
      </c>
      <c r="G39" s="147">
        <v>615.0</v>
      </c>
      <c r="H39" s="147">
        <v>19.0</v>
      </c>
      <c r="I39" s="147">
        <v>12.0</v>
      </c>
      <c r="J39" s="147">
        <v>15.0</v>
      </c>
      <c r="K39" s="147">
        <v>90.0</v>
      </c>
      <c r="L39" s="147">
        <v>1222.0</v>
      </c>
    </row>
    <row r="40">
      <c r="A40" s="117" t="s">
        <v>138</v>
      </c>
      <c r="B40" s="147">
        <v>471.0</v>
      </c>
      <c r="C40" s="147">
        <v>5.0</v>
      </c>
      <c r="D40" s="147">
        <v>13.0</v>
      </c>
      <c r="E40" s="147">
        <v>98.0</v>
      </c>
      <c r="F40" s="147">
        <v>0.0</v>
      </c>
      <c r="G40" s="147">
        <v>697.0</v>
      </c>
      <c r="H40" s="147">
        <v>26.0</v>
      </c>
      <c r="I40" s="147">
        <v>11.0</v>
      </c>
      <c r="J40" s="147">
        <v>18.0</v>
      </c>
      <c r="K40" s="147">
        <v>198.0</v>
      </c>
      <c r="L40" s="147">
        <v>1537.0</v>
      </c>
    </row>
    <row r="41">
      <c r="A41" s="117" t="s">
        <v>139</v>
      </c>
      <c r="B41" s="147">
        <v>761.0</v>
      </c>
      <c r="C41" s="147" t="s">
        <v>55</v>
      </c>
      <c r="D41" s="147">
        <v>37.0</v>
      </c>
      <c r="E41" s="147">
        <v>155.0</v>
      </c>
      <c r="F41" s="147">
        <v>0.0</v>
      </c>
      <c r="G41" s="147">
        <v>1049.0</v>
      </c>
      <c r="H41" s="147">
        <v>56.0</v>
      </c>
      <c r="I41" s="147">
        <v>19.0</v>
      </c>
      <c r="J41" s="147">
        <v>42.0</v>
      </c>
      <c r="K41" s="147">
        <v>347.0</v>
      </c>
      <c r="L41" s="147">
        <v>2468.0</v>
      </c>
    </row>
    <row r="42">
      <c r="A42" s="117" t="s">
        <v>140</v>
      </c>
      <c r="B42" s="147">
        <v>848.0</v>
      </c>
      <c r="C42" s="147" t="s">
        <v>55</v>
      </c>
      <c r="D42" s="147">
        <v>45.0</v>
      </c>
      <c r="E42" s="147">
        <v>170.0</v>
      </c>
      <c r="F42" s="147">
        <v>0.0</v>
      </c>
      <c r="G42" s="147">
        <v>1223.0</v>
      </c>
      <c r="H42" s="147">
        <v>53.0</v>
      </c>
      <c r="I42" s="147">
        <v>19.0</v>
      </c>
      <c r="J42" s="147">
        <v>35.0</v>
      </c>
      <c r="K42" s="147">
        <v>453.0</v>
      </c>
      <c r="L42" s="147">
        <v>2850.0</v>
      </c>
    </row>
    <row r="43">
      <c r="A43" s="117" t="s">
        <v>141</v>
      </c>
      <c r="B43" s="147">
        <v>1024.0</v>
      </c>
      <c r="C43" s="147">
        <v>5.0</v>
      </c>
      <c r="D43" s="147">
        <v>79.0</v>
      </c>
      <c r="E43" s="147">
        <v>223.0</v>
      </c>
      <c r="F43" s="147">
        <v>0.0</v>
      </c>
      <c r="G43" s="147">
        <v>1715.0</v>
      </c>
      <c r="H43" s="147">
        <v>90.0</v>
      </c>
      <c r="I43" s="147">
        <v>26.0</v>
      </c>
      <c r="J43" s="147">
        <v>67.0</v>
      </c>
      <c r="K43" s="147">
        <v>503.0</v>
      </c>
      <c r="L43" s="147">
        <v>3732.0</v>
      </c>
    </row>
    <row r="44">
      <c r="A44" s="117" t="s">
        <v>142</v>
      </c>
      <c r="B44" s="147">
        <v>1525.0</v>
      </c>
      <c r="C44" s="147">
        <v>6.0</v>
      </c>
      <c r="D44" s="147">
        <v>86.0</v>
      </c>
      <c r="E44" s="147">
        <v>346.0</v>
      </c>
      <c r="F44" s="147">
        <v>0.0</v>
      </c>
      <c r="G44" s="147">
        <v>2743.0</v>
      </c>
      <c r="H44" s="147">
        <v>100.0</v>
      </c>
      <c r="I44" s="147">
        <v>57.0</v>
      </c>
      <c r="J44" s="147">
        <v>102.0</v>
      </c>
      <c r="K44" s="147">
        <v>583.0</v>
      </c>
      <c r="L44" s="147">
        <v>5548.0</v>
      </c>
    </row>
    <row r="45">
      <c r="A45" s="117" t="s">
        <v>143</v>
      </c>
      <c r="B45" s="147">
        <v>1625.0</v>
      </c>
      <c r="C45" s="147">
        <v>13.0</v>
      </c>
      <c r="D45" s="147">
        <v>126.0</v>
      </c>
      <c r="E45" s="147">
        <v>360.0</v>
      </c>
      <c r="F45" s="147">
        <v>0.0</v>
      </c>
      <c r="G45" s="147">
        <v>3253.0</v>
      </c>
      <c r="H45" s="147">
        <v>124.0</v>
      </c>
      <c r="I45" s="147">
        <v>53.0</v>
      </c>
      <c r="J45" s="147">
        <v>145.0</v>
      </c>
      <c r="K45" s="147">
        <v>757.0</v>
      </c>
      <c r="L45" s="147">
        <v>6456.0</v>
      </c>
    </row>
    <row r="46">
      <c r="A46" s="117" t="s">
        <v>144</v>
      </c>
      <c r="B46" s="147">
        <v>1370.0</v>
      </c>
      <c r="C46" s="147">
        <v>12.0</v>
      </c>
      <c r="D46" s="147">
        <v>89.0</v>
      </c>
      <c r="E46" s="147">
        <v>289.0</v>
      </c>
      <c r="F46" s="147">
        <v>0.0</v>
      </c>
      <c r="G46" s="147">
        <v>2931.0</v>
      </c>
      <c r="H46" s="147">
        <v>126.0</v>
      </c>
      <c r="I46" s="147">
        <v>48.0</v>
      </c>
      <c r="J46" s="147">
        <v>139.0</v>
      </c>
      <c r="K46" s="147">
        <v>877.0</v>
      </c>
      <c r="L46" s="147">
        <v>5881.0</v>
      </c>
    </row>
    <row r="47">
      <c r="A47" s="117" t="s">
        <v>145</v>
      </c>
      <c r="B47" s="147">
        <v>2115.0</v>
      </c>
      <c r="C47" s="147">
        <v>13.0</v>
      </c>
      <c r="D47" s="147">
        <v>168.0</v>
      </c>
      <c r="E47" s="147">
        <v>462.0</v>
      </c>
      <c r="F47" s="147">
        <v>0.0</v>
      </c>
      <c r="G47" s="147">
        <v>4501.0</v>
      </c>
      <c r="H47" s="147">
        <v>178.0</v>
      </c>
      <c r="I47" s="147">
        <v>78.0</v>
      </c>
      <c r="J47" s="147">
        <v>191.0</v>
      </c>
      <c r="K47" s="147">
        <v>1075.0</v>
      </c>
      <c r="L47" s="147">
        <v>8781.0</v>
      </c>
    </row>
    <row r="48">
      <c r="A48" s="117" t="s">
        <v>146</v>
      </c>
      <c r="B48" s="147">
        <v>1844.0</v>
      </c>
      <c r="C48" s="147">
        <v>16.0</v>
      </c>
      <c r="D48" s="147">
        <v>164.0</v>
      </c>
      <c r="E48" s="147">
        <v>469.0</v>
      </c>
      <c r="F48" s="147">
        <v>0.0</v>
      </c>
      <c r="G48" s="147">
        <v>4226.0</v>
      </c>
      <c r="H48" s="147">
        <v>165.0</v>
      </c>
      <c r="I48" s="147">
        <v>79.0</v>
      </c>
      <c r="J48" s="147">
        <v>204.0</v>
      </c>
      <c r="K48" s="147">
        <v>908.0</v>
      </c>
      <c r="L48" s="147">
        <v>8075.0</v>
      </c>
    </row>
    <row r="49">
      <c r="A49" s="117" t="s">
        <v>147</v>
      </c>
      <c r="B49" s="147">
        <v>1334.0</v>
      </c>
      <c r="C49" s="147">
        <v>10.0</v>
      </c>
      <c r="D49" s="147">
        <v>125.0</v>
      </c>
      <c r="E49" s="147">
        <v>310.0</v>
      </c>
      <c r="F49" s="147">
        <v>0.0</v>
      </c>
      <c r="G49" s="147">
        <v>3349.0</v>
      </c>
      <c r="H49" s="147">
        <v>110.0</v>
      </c>
      <c r="I49" s="147">
        <v>65.0</v>
      </c>
      <c r="J49" s="147">
        <v>140.0</v>
      </c>
      <c r="K49" s="147">
        <v>602.0</v>
      </c>
      <c r="L49" s="147">
        <v>6045.0</v>
      </c>
    </row>
    <row r="50">
      <c r="A50" s="117" t="s">
        <v>148</v>
      </c>
      <c r="B50" s="147">
        <v>911.0</v>
      </c>
      <c r="C50" s="147">
        <v>11.0</v>
      </c>
      <c r="D50" s="147">
        <v>125.0</v>
      </c>
      <c r="E50" s="147">
        <v>219.0</v>
      </c>
      <c r="F50" s="147">
        <v>0.0</v>
      </c>
      <c r="G50" s="147">
        <v>2812.0</v>
      </c>
      <c r="H50" s="147">
        <v>133.0</v>
      </c>
      <c r="I50" s="147">
        <v>59.0</v>
      </c>
      <c r="J50" s="147">
        <v>122.0</v>
      </c>
      <c r="K50" s="147">
        <v>524.0</v>
      </c>
      <c r="L50" s="147">
        <v>4916.0</v>
      </c>
    </row>
    <row r="51">
      <c r="A51" s="117" t="s">
        <v>149</v>
      </c>
      <c r="B51" s="147">
        <v>1255.0</v>
      </c>
      <c r="C51" s="147" t="s">
        <v>55</v>
      </c>
      <c r="D51" s="147">
        <v>165.0</v>
      </c>
      <c r="E51" s="147">
        <v>272.0</v>
      </c>
      <c r="F51" s="147">
        <v>0.0</v>
      </c>
      <c r="G51" s="147">
        <v>4030.0</v>
      </c>
      <c r="H51" s="147">
        <v>129.0</v>
      </c>
      <c r="I51" s="147">
        <v>79.0</v>
      </c>
      <c r="J51" s="147">
        <v>186.0</v>
      </c>
      <c r="K51" s="147">
        <v>625.0</v>
      </c>
      <c r="L51" s="147">
        <v>6745.0</v>
      </c>
    </row>
    <row r="52">
      <c r="A52" s="117" t="s">
        <v>150</v>
      </c>
      <c r="B52" s="147">
        <v>1590.0</v>
      </c>
      <c r="C52" s="147">
        <v>24.0</v>
      </c>
      <c r="D52" s="147">
        <v>182.0</v>
      </c>
      <c r="E52" s="147">
        <v>388.0</v>
      </c>
      <c r="F52" s="147">
        <v>0.0</v>
      </c>
      <c r="G52" s="147">
        <v>4354.0</v>
      </c>
      <c r="H52" s="147">
        <v>179.0</v>
      </c>
      <c r="I52" s="147">
        <v>85.0</v>
      </c>
      <c r="J52" s="147">
        <v>236.0</v>
      </c>
      <c r="K52" s="147">
        <v>597.0</v>
      </c>
      <c r="L52" s="147">
        <v>7635.0</v>
      </c>
    </row>
    <row r="53">
      <c r="A53" s="117" t="s">
        <v>151</v>
      </c>
      <c r="B53" s="147">
        <v>1228.0</v>
      </c>
      <c r="C53" s="147">
        <v>15.0</v>
      </c>
      <c r="D53" s="147">
        <v>148.0</v>
      </c>
      <c r="E53" s="147">
        <v>359.0</v>
      </c>
      <c r="F53" s="147">
        <v>0.0</v>
      </c>
      <c r="G53" s="147">
        <v>3237.0</v>
      </c>
      <c r="H53" s="147">
        <v>148.0</v>
      </c>
      <c r="I53" s="147">
        <v>78.0</v>
      </c>
      <c r="J53" s="147">
        <v>163.0</v>
      </c>
      <c r="K53" s="147">
        <v>383.0</v>
      </c>
      <c r="L53" s="147">
        <v>5759.0</v>
      </c>
    </row>
    <row r="54">
      <c r="A54" s="117" t="s">
        <v>152</v>
      </c>
      <c r="B54" s="147">
        <v>892.0</v>
      </c>
      <c r="C54" s="147">
        <v>18.0</v>
      </c>
      <c r="D54" s="147">
        <v>84.0</v>
      </c>
      <c r="E54" s="147">
        <v>268.0</v>
      </c>
      <c r="F54" s="147">
        <v>0.0</v>
      </c>
      <c r="G54" s="147">
        <v>2981.0</v>
      </c>
      <c r="H54" s="147">
        <v>109.0</v>
      </c>
      <c r="I54" s="147">
        <v>71.0</v>
      </c>
      <c r="J54" s="147">
        <v>119.0</v>
      </c>
      <c r="K54" s="147">
        <v>388.0</v>
      </c>
      <c r="L54" s="147">
        <v>4930.0</v>
      </c>
    </row>
    <row r="55">
      <c r="A55" s="117" t="s">
        <v>153</v>
      </c>
      <c r="B55" s="147">
        <v>718.0</v>
      </c>
      <c r="C55" s="147">
        <v>17.0</v>
      </c>
      <c r="D55" s="147">
        <v>64.0</v>
      </c>
      <c r="E55" s="147">
        <v>247.0</v>
      </c>
      <c r="F55" s="147">
        <v>0.0</v>
      </c>
      <c r="G55" s="147">
        <v>2312.0</v>
      </c>
      <c r="H55" s="147">
        <v>63.0</v>
      </c>
      <c r="I55" s="147">
        <v>61.0</v>
      </c>
      <c r="J55" s="147">
        <v>93.0</v>
      </c>
      <c r="K55" s="147">
        <v>390.0</v>
      </c>
      <c r="L55" s="147">
        <v>3965.0</v>
      </c>
    </row>
    <row r="56">
      <c r="A56" s="117" t="s">
        <v>154</v>
      </c>
      <c r="B56" s="147">
        <v>545.0</v>
      </c>
      <c r="C56" s="147">
        <v>10.0</v>
      </c>
      <c r="D56" s="147">
        <v>85.0</v>
      </c>
      <c r="E56" s="147">
        <v>167.0</v>
      </c>
      <c r="F56" s="147">
        <v>0.0</v>
      </c>
      <c r="G56" s="147">
        <v>1737.0</v>
      </c>
      <c r="H56" s="147">
        <v>65.0</v>
      </c>
      <c r="I56" s="147">
        <v>34.0</v>
      </c>
      <c r="J56" s="147">
        <v>68.0</v>
      </c>
      <c r="K56" s="147">
        <v>312.0</v>
      </c>
      <c r="L56" s="147">
        <v>3023.0</v>
      </c>
    </row>
    <row r="57">
      <c r="A57" s="117" t="s">
        <v>155</v>
      </c>
      <c r="B57" s="147">
        <v>503.0</v>
      </c>
      <c r="C57" s="147">
        <v>16.0</v>
      </c>
      <c r="D57" s="147">
        <v>60.0</v>
      </c>
      <c r="E57" s="147">
        <v>126.0</v>
      </c>
      <c r="F57" s="147">
        <v>0.0</v>
      </c>
      <c r="G57" s="147">
        <v>1325.0</v>
      </c>
      <c r="H57" s="147">
        <v>46.0</v>
      </c>
      <c r="I57" s="147">
        <v>33.0</v>
      </c>
      <c r="J57" s="147">
        <v>51.0</v>
      </c>
      <c r="K57" s="147">
        <v>267.0</v>
      </c>
      <c r="L57" s="147">
        <v>2427.0</v>
      </c>
    </row>
    <row r="58">
      <c r="A58" s="117" t="s">
        <v>156</v>
      </c>
      <c r="B58" s="147">
        <v>424.0</v>
      </c>
      <c r="C58" s="147">
        <v>8.0</v>
      </c>
      <c r="D58" s="147">
        <v>49.0</v>
      </c>
      <c r="E58" s="147">
        <v>113.0</v>
      </c>
      <c r="F58" s="147">
        <v>0.0</v>
      </c>
      <c r="G58" s="147">
        <v>1144.0</v>
      </c>
      <c r="H58" s="147">
        <v>49.0</v>
      </c>
      <c r="I58" s="147">
        <v>25.0</v>
      </c>
      <c r="J58" s="147">
        <v>44.0</v>
      </c>
      <c r="K58" s="147">
        <v>252.0</v>
      </c>
      <c r="L58" s="147">
        <v>2108.0</v>
      </c>
    </row>
    <row r="59">
      <c r="A59" s="117" t="s">
        <v>157</v>
      </c>
      <c r="B59" s="147">
        <v>426.0</v>
      </c>
      <c r="C59" s="147">
        <v>19.0</v>
      </c>
      <c r="D59" s="147">
        <v>52.0</v>
      </c>
      <c r="E59" s="147">
        <v>106.0</v>
      </c>
      <c r="F59" s="147">
        <v>0.0</v>
      </c>
      <c r="G59" s="147">
        <v>1277.0</v>
      </c>
      <c r="H59" s="147">
        <v>44.0</v>
      </c>
      <c r="I59" s="147">
        <v>39.0</v>
      </c>
      <c r="J59" s="147">
        <v>37.0</v>
      </c>
      <c r="K59" s="147">
        <v>346.0</v>
      </c>
      <c r="L59" s="147">
        <v>2346.0</v>
      </c>
    </row>
    <row r="60">
      <c r="A60" s="117" t="s">
        <v>158</v>
      </c>
      <c r="B60" s="147">
        <v>390.0</v>
      </c>
      <c r="C60" s="147">
        <v>15.0</v>
      </c>
      <c r="D60" s="147">
        <v>30.0</v>
      </c>
      <c r="E60" s="147">
        <v>90.0</v>
      </c>
      <c r="F60" s="147">
        <v>0.0</v>
      </c>
      <c r="G60" s="147">
        <v>1107.0</v>
      </c>
      <c r="H60" s="147">
        <v>33.0</v>
      </c>
      <c r="I60" s="147">
        <v>28.0</v>
      </c>
      <c r="J60" s="147">
        <v>35.0</v>
      </c>
      <c r="K60" s="147">
        <v>390.0</v>
      </c>
      <c r="L60" s="147">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1" t="s">
        <v>186</v>
      </c>
      <c r="I1" s="102"/>
      <c r="J1" s="103"/>
    </row>
    <row r="2">
      <c r="A2" s="106" t="s">
        <v>187</v>
      </c>
    </row>
    <row r="3">
      <c r="A3" s="106" t="s">
        <v>0</v>
      </c>
      <c r="B3" s="108">
        <v>44265.0</v>
      </c>
      <c r="C3" s="104"/>
      <c r="D3" s="104"/>
      <c r="E3" s="104"/>
      <c r="F3" s="104"/>
      <c r="G3" s="104"/>
      <c r="H3" s="104"/>
      <c r="I3" s="104"/>
      <c r="J3" s="104"/>
    </row>
    <row r="4">
      <c r="A4" s="109"/>
      <c r="B4" s="143"/>
      <c r="C4" s="104"/>
      <c r="D4" s="104"/>
      <c r="E4" s="104"/>
      <c r="F4" s="104"/>
      <c r="G4" s="104"/>
      <c r="H4" s="104"/>
      <c r="I4" s="104"/>
      <c r="J4" s="104"/>
    </row>
    <row r="5" ht="45.75" customHeight="1">
      <c r="A5" s="110" t="s">
        <v>188</v>
      </c>
      <c r="B5" s="111"/>
      <c r="C5" s="111"/>
      <c r="D5" s="111"/>
      <c r="E5" s="111"/>
      <c r="F5" s="111"/>
      <c r="G5" s="111"/>
      <c r="H5" s="111"/>
      <c r="I5" s="111"/>
      <c r="J5" s="41"/>
    </row>
    <row r="6">
      <c r="A6" s="104"/>
      <c r="B6" s="113"/>
      <c r="C6" s="104"/>
      <c r="D6" s="104"/>
      <c r="E6" s="104"/>
      <c r="F6" s="104"/>
      <c r="G6" s="104"/>
      <c r="H6" s="104"/>
      <c r="I6" s="104"/>
      <c r="J6" s="104"/>
    </row>
    <row r="7" ht="33.0" customHeight="1">
      <c r="A7" s="148" t="s">
        <v>103</v>
      </c>
      <c r="B7" s="145" t="s">
        <v>69</v>
      </c>
      <c r="C7" s="145" t="s">
        <v>70</v>
      </c>
      <c r="D7" s="145" t="s">
        <v>71</v>
      </c>
      <c r="E7" s="145" t="s">
        <v>72</v>
      </c>
      <c r="F7" s="145" t="s">
        <v>185</v>
      </c>
      <c r="G7" s="145" t="s">
        <v>74</v>
      </c>
      <c r="H7" s="145" t="s">
        <v>75</v>
      </c>
      <c r="I7" s="145" t="s">
        <v>76</v>
      </c>
      <c r="J7" s="145" t="s">
        <v>105</v>
      </c>
    </row>
    <row r="8">
      <c r="A8" s="120" t="s">
        <v>162</v>
      </c>
      <c r="B8" s="149">
        <v>158858.0</v>
      </c>
      <c r="C8" s="150">
        <v>3708.0</v>
      </c>
      <c r="D8" s="150">
        <v>35128.0</v>
      </c>
      <c r="E8" s="149">
        <v>59001.0</v>
      </c>
      <c r="F8" s="151">
        <v>684.0</v>
      </c>
      <c r="G8" s="149">
        <v>767727.0</v>
      </c>
      <c r="H8" s="150">
        <v>7090.0</v>
      </c>
      <c r="I8" s="149">
        <v>24415.0</v>
      </c>
      <c r="J8" s="149">
        <v>1056611.0</v>
      </c>
    </row>
    <row r="9">
      <c r="A9" s="117" t="s">
        <v>106</v>
      </c>
      <c r="B9" s="72">
        <v>0.0</v>
      </c>
      <c r="C9" s="72">
        <v>0.0</v>
      </c>
      <c r="D9" s="72">
        <v>0.0</v>
      </c>
      <c r="E9" s="72">
        <v>0.0</v>
      </c>
      <c r="F9" s="72">
        <v>0.0</v>
      </c>
      <c r="G9" s="72" t="s">
        <v>163</v>
      </c>
      <c r="H9" s="72" t="s">
        <v>163</v>
      </c>
      <c r="I9" s="72">
        <v>0.0</v>
      </c>
      <c r="J9" s="72" t="s">
        <v>163</v>
      </c>
    </row>
    <row r="10">
      <c r="A10" s="117" t="s">
        <v>107</v>
      </c>
      <c r="B10" s="72">
        <v>0.0</v>
      </c>
      <c r="C10" s="72">
        <v>0.0</v>
      </c>
      <c r="D10" s="72" t="s">
        <v>163</v>
      </c>
      <c r="E10" s="72">
        <v>0.0</v>
      </c>
      <c r="F10" s="72">
        <v>0.0</v>
      </c>
      <c r="G10" s="72">
        <v>1.0</v>
      </c>
      <c r="H10" s="72" t="s">
        <v>163</v>
      </c>
      <c r="I10" s="72">
        <v>0.0</v>
      </c>
      <c r="J10" s="72">
        <v>1.0</v>
      </c>
    </row>
    <row r="11">
      <c r="A11" s="117" t="s">
        <v>108</v>
      </c>
      <c r="B11" s="72">
        <v>4.0</v>
      </c>
      <c r="C11" s="72">
        <v>0.0</v>
      </c>
      <c r="D11" s="72" t="s">
        <v>163</v>
      </c>
      <c r="E11" s="72" t="s">
        <v>163</v>
      </c>
      <c r="F11" s="72">
        <v>0.0</v>
      </c>
      <c r="G11" s="72">
        <v>4.0</v>
      </c>
      <c r="H11" s="72">
        <v>0.0</v>
      </c>
      <c r="I11" s="72">
        <v>0.0</v>
      </c>
      <c r="J11" s="72">
        <v>6.0</v>
      </c>
    </row>
    <row r="12">
      <c r="A12" s="117" t="s">
        <v>109</v>
      </c>
      <c r="B12" s="72">
        <v>17.0</v>
      </c>
      <c r="C12" s="72" t="s">
        <v>163</v>
      </c>
      <c r="D12" s="72" t="s">
        <v>163</v>
      </c>
      <c r="E12" s="72">
        <v>29.0</v>
      </c>
      <c r="F12" s="72">
        <v>0.0</v>
      </c>
      <c r="G12" s="72">
        <v>11.0</v>
      </c>
      <c r="H12" s="72" t="s">
        <v>163</v>
      </c>
      <c r="I12" s="72">
        <v>0.0</v>
      </c>
      <c r="J12" s="72">
        <v>20.0</v>
      </c>
    </row>
    <row r="13">
      <c r="A13" s="117" t="s">
        <v>110</v>
      </c>
      <c r="B13" s="72">
        <v>55.0</v>
      </c>
      <c r="C13" s="72" t="s">
        <v>163</v>
      </c>
      <c r="D13" s="72" t="s">
        <v>163</v>
      </c>
      <c r="E13" s="72">
        <v>93.0</v>
      </c>
      <c r="F13" s="72">
        <v>0.0</v>
      </c>
      <c r="G13" s="72">
        <v>33.0</v>
      </c>
      <c r="H13" s="72">
        <v>85.0</v>
      </c>
      <c r="I13" s="72" t="s">
        <v>163</v>
      </c>
      <c r="J13" s="72">
        <v>59.0</v>
      </c>
    </row>
    <row r="14">
      <c r="A14" s="117" t="s">
        <v>111</v>
      </c>
      <c r="B14" s="72">
        <v>316.0</v>
      </c>
      <c r="C14" s="72">
        <v>216.0</v>
      </c>
      <c r="D14" s="72">
        <v>77.0</v>
      </c>
      <c r="E14" s="72">
        <v>281.0</v>
      </c>
      <c r="F14" s="72">
        <v>0.0</v>
      </c>
      <c r="G14" s="72">
        <v>100.0</v>
      </c>
      <c r="H14" s="72">
        <v>169.0</v>
      </c>
      <c r="I14" s="72">
        <v>20.0</v>
      </c>
      <c r="J14" s="72">
        <v>173.0</v>
      </c>
    </row>
    <row r="15">
      <c r="A15" s="117" t="s">
        <v>112</v>
      </c>
      <c r="B15" s="72">
        <v>470.0</v>
      </c>
      <c r="C15" s="72">
        <v>297.0</v>
      </c>
      <c r="D15" s="72">
        <v>65.0</v>
      </c>
      <c r="E15" s="72">
        <v>359.0</v>
      </c>
      <c r="F15" s="72">
        <v>0.0</v>
      </c>
      <c r="G15" s="72">
        <v>80.0</v>
      </c>
      <c r="H15" s="72">
        <v>169.0</v>
      </c>
      <c r="I15" s="72">
        <v>45.0</v>
      </c>
      <c r="J15" s="72">
        <v>183.0</v>
      </c>
    </row>
    <row r="16">
      <c r="A16" s="117" t="s">
        <v>113</v>
      </c>
      <c r="B16" s="72">
        <v>599.0</v>
      </c>
      <c r="C16" s="72">
        <v>270.0</v>
      </c>
      <c r="D16" s="72">
        <v>63.0</v>
      </c>
      <c r="E16" s="72">
        <v>469.0</v>
      </c>
      <c r="F16" s="72">
        <v>0.0</v>
      </c>
      <c r="G16" s="72">
        <v>95.0</v>
      </c>
      <c r="H16" s="72">
        <v>296.0</v>
      </c>
      <c r="I16" s="72">
        <v>57.0</v>
      </c>
      <c r="J16" s="72">
        <v>239.0</v>
      </c>
    </row>
    <row r="17">
      <c r="A17" s="117" t="s">
        <v>114</v>
      </c>
      <c r="B17" s="72">
        <v>473.0</v>
      </c>
      <c r="C17" s="72">
        <v>162.0</v>
      </c>
      <c r="D17" s="72">
        <v>120.0</v>
      </c>
      <c r="E17" s="72">
        <v>388.0</v>
      </c>
      <c r="F17" s="72">
        <v>0.0</v>
      </c>
      <c r="G17" s="72">
        <v>63.0</v>
      </c>
      <c r="H17" s="72">
        <v>268.0</v>
      </c>
      <c r="I17" s="72">
        <v>29.0</v>
      </c>
      <c r="J17" s="72">
        <v>189.0</v>
      </c>
    </row>
    <row r="18">
      <c r="A18" s="117" t="s">
        <v>115</v>
      </c>
      <c r="B18" s="72">
        <v>441.0</v>
      </c>
      <c r="C18" s="72">
        <v>216.0</v>
      </c>
      <c r="D18" s="72">
        <v>74.0</v>
      </c>
      <c r="E18" s="72">
        <v>344.0</v>
      </c>
      <c r="F18" s="72">
        <v>0.0</v>
      </c>
      <c r="G18" s="72">
        <v>74.0</v>
      </c>
      <c r="H18" s="72">
        <v>324.0</v>
      </c>
      <c r="I18" s="72" t="s">
        <v>163</v>
      </c>
      <c r="J18" s="72">
        <v>175.0</v>
      </c>
    </row>
    <row r="19">
      <c r="A19" s="117" t="s">
        <v>116</v>
      </c>
      <c r="B19" s="72">
        <v>391.0</v>
      </c>
      <c r="C19" s="72" t="s">
        <v>163</v>
      </c>
      <c r="D19" s="72">
        <v>105.0</v>
      </c>
      <c r="E19" s="72">
        <v>275.0</v>
      </c>
      <c r="F19" s="72">
        <v>0.0</v>
      </c>
      <c r="G19" s="72">
        <v>53.0</v>
      </c>
      <c r="H19" s="72">
        <v>367.0</v>
      </c>
      <c r="I19" s="72">
        <v>20.0</v>
      </c>
      <c r="J19" s="72">
        <v>138.0</v>
      </c>
    </row>
    <row r="20">
      <c r="A20" s="117" t="s">
        <v>117</v>
      </c>
      <c r="B20" s="72">
        <v>311.0</v>
      </c>
      <c r="C20" s="72" t="s">
        <v>163</v>
      </c>
      <c r="D20" s="72">
        <v>74.0</v>
      </c>
      <c r="E20" s="72">
        <v>203.0</v>
      </c>
      <c r="F20" s="72">
        <v>0.0</v>
      </c>
      <c r="G20" s="72">
        <v>39.0</v>
      </c>
      <c r="H20" s="72">
        <v>310.0</v>
      </c>
      <c r="I20" s="72">
        <v>20.0</v>
      </c>
      <c r="J20" s="72">
        <v>103.0</v>
      </c>
    </row>
    <row r="21">
      <c r="A21" s="117" t="s">
        <v>118</v>
      </c>
      <c r="B21" s="72">
        <v>262.0</v>
      </c>
      <c r="C21" s="72" t="s">
        <v>163</v>
      </c>
      <c r="D21" s="72">
        <v>37.0</v>
      </c>
      <c r="E21" s="72">
        <v>166.0</v>
      </c>
      <c r="F21" s="72">
        <v>0.0</v>
      </c>
      <c r="G21" s="72">
        <v>25.0</v>
      </c>
      <c r="H21" s="72">
        <v>141.0</v>
      </c>
      <c r="I21" s="72">
        <v>25.0</v>
      </c>
      <c r="J21" s="72">
        <v>79.0</v>
      </c>
    </row>
    <row r="22">
      <c r="A22" s="117" t="s">
        <v>119</v>
      </c>
      <c r="B22" s="72">
        <v>206.0</v>
      </c>
      <c r="C22" s="72">
        <v>0.0</v>
      </c>
      <c r="D22" s="72">
        <v>23.0</v>
      </c>
      <c r="E22" s="72">
        <v>122.0</v>
      </c>
      <c r="F22" s="72">
        <v>0.0</v>
      </c>
      <c r="G22" s="72">
        <v>16.0</v>
      </c>
      <c r="H22" s="72" t="s">
        <v>163</v>
      </c>
      <c r="I22" s="72" t="s">
        <v>163</v>
      </c>
      <c r="J22" s="72">
        <v>58.0</v>
      </c>
    </row>
    <row r="23">
      <c r="A23" s="117" t="s">
        <v>120</v>
      </c>
      <c r="B23" s="72">
        <v>122.0</v>
      </c>
      <c r="C23" s="72" t="s">
        <v>163</v>
      </c>
      <c r="D23" s="72">
        <v>37.0</v>
      </c>
      <c r="E23" s="72">
        <v>81.0</v>
      </c>
      <c r="F23" s="72">
        <v>0.0</v>
      </c>
      <c r="G23" s="72">
        <v>17.0</v>
      </c>
      <c r="H23" s="72">
        <v>113.0</v>
      </c>
      <c r="I23" s="72" t="s">
        <v>163</v>
      </c>
      <c r="J23" s="72">
        <v>43.0</v>
      </c>
    </row>
    <row r="24">
      <c r="A24" s="117" t="s">
        <v>121</v>
      </c>
      <c r="B24" s="72">
        <v>99.0</v>
      </c>
      <c r="C24" s="72" t="s">
        <v>163</v>
      </c>
      <c r="D24" s="72" t="s">
        <v>163</v>
      </c>
      <c r="E24" s="72">
        <v>56.0</v>
      </c>
      <c r="F24" s="72">
        <v>0.0</v>
      </c>
      <c r="G24" s="72">
        <v>14.0</v>
      </c>
      <c r="H24" s="72">
        <v>71.0</v>
      </c>
      <c r="I24" s="72">
        <v>0.0</v>
      </c>
      <c r="J24" s="72">
        <v>34.0</v>
      </c>
    </row>
    <row r="25">
      <c r="A25" s="117" t="s">
        <v>122</v>
      </c>
      <c r="B25" s="72">
        <v>89.0</v>
      </c>
      <c r="C25" s="72" t="s">
        <v>163</v>
      </c>
      <c r="D25" s="72" t="s">
        <v>163</v>
      </c>
      <c r="E25" s="72">
        <v>78.0</v>
      </c>
      <c r="F25" s="72">
        <v>0.0</v>
      </c>
      <c r="G25" s="72">
        <v>16.0</v>
      </c>
      <c r="H25" s="72" t="s">
        <v>163</v>
      </c>
      <c r="I25" s="72">
        <v>25.0</v>
      </c>
      <c r="J25" s="72">
        <v>34.0</v>
      </c>
    </row>
    <row r="26">
      <c r="A26" s="117" t="s">
        <v>123</v>
      </c>
      <c r="B26" s="72">
        <v>69.0</v>
      </c>
      <c r="C26" s="72" t="s">
        <v>163</v>
      </c>
      <c r="D26" s="72">
        <v>31.0</v>
      </c>
      <c r="E26" s="72">
        <v>46.0</v>
      </c>
      <c r="F26" s="72">
        <v>0.0</v>
      </c>
      <c r="G26" s="72">
        <v>13.0</v>
      </c>
      <c r="H26" s="72" t="s">
        <v>163</v>
      </c>
      <c r="I26" s="72">
        <v>20.0</v>
      </c>
      <c r="J26" s="72">
        <v>26.0</v>
      </c>
    </row>
    <row r="27">
      <c r="A27" s="117" t="s">
        <v>124</v>
      </c>
      <c r="B27" s="72">
        <v>75.0</v>
      </c>
      <c r="C27" s="72" t="s">
        <v>163</v>
      </c>
      <c r="D27" s="72">
        <v>26.0</v>
      </c>
      <c r="E27" s="72">
        <v>51.0</v>
      </c>
      <c r="F27" s="72">
        <v>0.0</v>
      </c>
      <c r="G27" s="72">
        <v>20.0</v>
      </c>
      <c r="H27" s="72">
        <v>85.0</v>
      </c>
      <c r="I27" s="72" t="s">
        <v>163</v>
      </c>
      <c r="J27" s="72">
        <v>32.0</v>
      </c>
    </row>
    <row r="28">
      <c r="A28" s="117" t="s">
        <v>125</v>
      </c>
      <c r="B28" s="72">
        <v>88.0</v>
      </c>
      <c r="C28" s="72" t="s">
        <v>163</v>
      </c>
      <c r="D28" s="72">
        <v>14.0</v>
      </c>
      <c r="E28" s="72">
        <v>103.0</v>
      </c>
      <c r="F28" s="72">
        <v>0.0</v>
      </c>
      <c r="G28" s="72">
        <v>22.0</v>
      </c>
      <c r="H28" s="72">
        <v>113.0</v>
      </c>
      <c r="I28" s="72">
        <v>45.0</v>
      </c>
      <c r="J28" s="72">
        <v>41.0</v>
      </c>
    </row>
    <row r="29">
      <c r="A29" s="117" t="s">
        <v>126</v>
      </c>
      <c r="B29" s="72">
        <v>151.0</v>
      </c>
      <c r="C29" s="72" t="s">
        <v>163</v>
      </c>
      <c r="D29" s="72">
        <v>37.0</v>
      </c>
      <c r="E29" s="72">
        <v>151.0</v>
      </c>
      <c r="F29" s="72">
        <v>0.0</v>
      </c>
      <c r="G29" s="72">
        <v>27.0</v>
      </c>
      <c r="H29" s="72">
        <v>324.0</v>
      </c>
      <c r="I29" s="72">
        <v>53.0</v>
      </c>
      <c r="J29" s="72">
        <v>61.0</v>
      </c>
    </row>
    <row r="30">
      <c r="A30" s="117" t="s">
        <v>127</v>
      </c>
      <c r="B30" s="72">
        <v>195.0</v>
      </c>
      <c r="C30" s="72" t="s">
        <v>163</v>
      </c>
      <c r="D30" s="72">
        <v>57.0</v>
      </c>
      <c r="E30" s="72">
        <v>125.0</v>
      </c>
      <c r="F30" s="72">
        <v>0.0</v>
      </c>
      <c r="G30" s="72">
        <v>26.0</v>
      </c>
      <c r="H30" s="72">
        <v>197.0</v>
      </c>
      <c r="I30" s="72">
        <v>37.0</v>
      </c>
      <c r="J30" s="72">
        <v>65.0</v>
      </c>
    </row>
    <row r="31">
      <c r="A31" s="117" t="s">
        <v>128</v>
      </c>
      <c r="B31" s="72">
        <v>204.0</v>
      </c>
      <c r="C31" s="72" t="s">
        <v>163</v>
      </c>
      <c r="D31" s="72">
        <v>43.0</v>
      </c>
      <c r="E31" s="72">
        <v>137.0</v>
      </c>
      <c r="F31" s="72">
        <v>0.0</v>
      </c>
      <c r="G31" s="72">
        <v>26.0</v>
      </c>
      <c r="H31" s="72">
        <v>85.0</v>
      </c>
      <c r="I31" s="72">
        <v>33.0</v>
      </c>
      <c r="J31" s="72">
        <v>66.0</v>
      </c>
    </row>
    <row r="32">
      <c r="A32" s="117" t="s">
        <v>129</v>
      </c>
      <c r="B32" s="72">
        <v>191.0</v>
      </c>
      <c r="C32" s="72">
        <v>0.0</v>
      </c>
      <c r="D32" s="72">
        <v>20.0</v>
      </c>
      <c r="E32" s="72">
        <v>64.0</v>
      </c>
      <c r="F32" s="72">
        <v>0.0</v>
      </c>
      <c r="G32" s="72">
        <v>25.0</v>
      </c>
      <c r="H32" s="72">
        <v>127.0</v>
      </c>
      <c r="I32" s="72">
        <v>29.0</v>
      </c>
      <c r="J32" s="72">
        <v>58.0</v>
      </c>
    </row>
    <row r="33">
      <c r="A33" s="117" t="s">
        <v>130</v>
      </c>
      <c r="B33" s="72">
        <v>189.0</v>
      </c>
      <c r="C33" s="72" t="s">
        <v>163</v>
      </c>
      <c r="D33" s="72">
        <v>31.0</v>
      </c>
      <c r="E33" s="72">
        <v>76.0</v>
      </c>
      <c r="F33" s="72">
        <v>0.0</v>
      </c>
      <c r="G33" s="72">
        <v>30.0</v>
      </c>
      <c r="H33" s="72">
        <v>127.0</v>
      </c>
      <c r="I33" s="72">
        <v>49.0</v>
      </c>
      <c r="J33" s="72">
        <v>63.0</v>
      </c>
    </row>
    <row r="34">
      <c r="A34" s="117" t="s">
        <v>131</v>
      </c>
      <c r="B34" s="72">
        <v>146.0</v>
      </c>
      <c r="C34" s="72" t="s">
        <v>163</v>
      </c>
      <c r="D34" s="72">
        <v>26.0</v>
      </c>
      <c r="E34" s="72">
        <v>58.0</v>
      </c>
      <c r="F34" s="72">
        <v>0.0</v>
      </c>
      <c r="G34" s="72">
        <v>23.0</v>
      </c>
      <c r="H34" s="72">
        <v>99.0</v>
      </c>
      <c r="I34" s="72">
        <v>41.0</v>
      </c>
      <c r="J34" s="72">
        <v>51.0</v>
      </c>
    </row>
    <row r="35">
      <c r="A35" s="117" t="s">
        <v>132</v>
      </c>
      <c r="B35" s="123">
        <v>132.0</v>
      </c>
      <c r="C35" s="123" t="s">
        <v>163</v>
      </c>
      <c r="D35" s="123">
        <v>48.0</v>
      </c>
      <c r="E35" s="123">
        <v>88.0</v>
      </c>
      <c r="F35" s="123">
        <v>0.0</v>
      </c>
      <c r="G35" s="123">
        <v>19.0</v>
      </c>
      <c r="H35" s="123">
        <v>99.0</v>
      </c>
      <c r="I35" s="123" t="s">
        <v>163</v>
      </c>
      <c r="J35" s="123">
        <v>46.0</v>
      </c>
    </row>
    <row r="36">
      <c r="A36" s="117" t="s">
        <v>133</v>
      </c>
      <c r="B36" s="123">
        <v>108.0</v>
      </c>
      <c r="C36" s="123">
        <v>0.0</v>
      </c>
      <c r="D36" s="123">
        <v>14.0</v>
      </c>
      <c r="E36" s="123">
        <v>107.0</v>
      </c>
      <c r="F36" s="123">
        <v>0.0</v>
      </c>
      <c r="G36" s="123">
        <v>29.0</v>
      </c>
      <c r="H36" s="123">
        <v>141.0</v>
      </c>
      <c r="I36" s="123" t="s">
        <v>163</v>
      </c>
      <c r="J36" s="123">
        <v>51.0</v>
      </c>
    </row>
    <row r="37">
      <c r="A37" s="117" t="s">
        <v>134</v>
      </c>
      <c r="B37" s="123">
        <v>145.0</v>
      </c>
      <c r="C37" s="123" t="s">
        <v>163</v>
      </c>
      <c r="D37" s="123">
        <v>26.0</v>
      </c>
      <c r="E37" s="123">
        <v>75.0</v>
      </c>
      <c r="F37" s="123">
        <v>0.0</v>
      </c>
      <c r="G37" s="123">
        <v>46.0</v>
      </c>
      <c r="H37" s="123">
        <v>226.0</v>
      </c>
      <c r="I37" s="123">
        <v>29.0</v>
      </c>
      <c r="J37" s="123">
        <v>68.0</v>
      </c>
    </row>
    <row r="38">
      <c r="A38" s="117" t="s">
        <v>135</v>
      </c>
      <c r="B38" s="147">
        <v>142.0</v>
      </c>
      <c r="C38" s="147" t="s">
        <v>163</v>
      </c>
      <c r="D38" s="147">
        <v>23.0</v>
      </c>
      <c r="E38" s="147">
        <v>117.0</v>
      </c>
      <c r="F38" s="147">
        <v>0.0</v>
      </c>
      <c r="G38" s="147">
        <v>43.0</v>
      </c>
      <c r="H38" s="147">
        <v>155.0</v>
      </c>
      <c r="I38" s="147">
        <v>45.0</v>
      </c>
      <c r="J38" s="147">
        <v>67.0</v>
      </c>
    </row>
    <row r="39">
      <c r="A39" s="117" t="s">
        <v>136</v>
      </c>
      <c r="B39" s="147">
        <v>174.0</v>
      </c>
      <c r="C39" s="147" t="s">
        <v>163</v>
      </c>
      <c r="D39" s="147">
        <v>23.0</v>
      </c>
      <c r="E39" s="147">
        <v>154.0</v>
      </c>
      <c r="F39" s="147">
        <v>0.0</v>
      </c>
      <c r="G39" s="147">
        <v>60.0</v>
      </c>
      <c r="H39" s="147">
        <v>339.0</v>
      </c>
      <c r="I39" s="147">
        <v>57.0</v>
      </c>
      <c r="J39" s="147">
        <v>91.0</v>
      </c>
    </row>
    <row r="40">
      <c r="A40" s="117" t="s">
        <v>137</v>
      </c>
      <c r="B40" s="147">
        <v>222.0</v>
      </c>
      <c r="C40" s="147">
        <v>189.0</v>
      </c>
      <c r="D40" s="147">
        <v>26.0</v>
      </c>
      <c r="E40" s="147">
        <v>175.0</v>
      </c>
      <c r="F40" s="147">
        <v>0.0</v>
      </c>
      <c r="G40" s="147">
        <v>80.0</v>
      </c>
      <c r="H40" s="147">
        <v>268.0</v>
      </c>
      <c r="I40" s="147">
        <v>49.0</v>
      </c>
      <c r="J40" s="147">
        <v>116.0</v>
      </c>
    </row>
    <row r="41">
      <c r="A41" s="117" t="s">
        <v>138</v>
      </c>
      <c r="B41" s="147">
        <v>296.0</v>
      </c>
      <c r="C41" s="147">
        <v>135.0</v>
      </c>
      <c r="D41" s="147">
        <v>37.0</v>
      </c>
      <c r="E41" s="147">
        <v>166.0</v>
      </c>
      <c r="F41" s="147">
        <v>0.0</v>
      </c>
      <c r="G41" s="147">
        <v>91.0</v>
      </c>
      <c r="H41" s="147">
        <v>367.0</v>
      </c>
      <c r="I41" s="147">
        <v>45.0</v>
      </c>
      <c r="J41" s="147">
        <v>145.0</v>
      </c>
    </row>
    <row r="42">
      <c r="A42" s="117" t="s">
        <v>139</v>
      </c>
      <c r="B42" s="147">
        <v>479.0</v>
      </c>
      <c r="C42" s="147" t="s">
        <v>163</v>
      </c>
      <c r="D42" s="147">
        <v>105.0</v>
      </c>
      <c r="E42" s="147">
        <v>263.0</v>
      </c>
      <c r="F42" s="147">
        <v>0.0</v>
      </c>
      <c r="G42" s="147">
        <v>137.0</v>
      </c>
      <c r="H42" s="147">
        <v>790.0</v>
      </c>
      <c r="I42" s="147">
        <v>78.0</v>
      </c>
      <c r="J42" s="147">
        <v>234.0</v>
      </c>
    </row>
    <row r="43">
      <c r="A43" s="117" t="s">
        <v>140</v>
      </c>
      <c r="B43" s="147">
        <v>534.0</v>
      </c>
      <c r="C43" s="147" t="s">
        <v>163</v>
      </c>
      <c r="D43" s="147">
        <v>128.0</v>
      </c>
      <c r="E43" s="147">
        <v>288.0</v>
      </c>
      <c r="F43" s="147">
        <v>0.0</v>
      </c>
      <c r="G43" s="147">
        <v>159.0</v>
      </c>
      <c r="H43" s="147">
        <v>748.0</v>
      </c>
      <c r="I43" s="147">
        <v>78.0</v>
      </c>
      <c r="J43" s="147">
        <v>270.0</v>
      </c>
    </row>
    <row r="44">
      <c r="A44" s="117" t="s">
        <v>141</v>
      </c>
      <c r="B44" s="147">
        <v>645.0</v>
      </c>
      <c r="C44" s="147">
        <v>135.0</v>
      </c>
      <c r="D44" s="147">
        <v>225.0</v>
      </c>
      <c r="E44" s="147">
        <v>378.0</v>
      </c>
      <c r="F44" s="147">
        <v>0.0</v>
      </c>
      <c r="G44" s="147">
        <v>223.0</v>
      </c>
      <c r="H44" s="147">
        <v>1269.0</v>
      </c>
      <c r="I44" s="147">
        <v>106.0</v>
      </c>
      <c r="J44" s="147">
        <v>353.0</v>
      </c>
    </row>
    <row r="45">
      <c r="A45" s="117" t="s">
        <v>142</v>
      </c>
      <c r="B45" s="147">
        <v>960.0</v>
      </c>
      <c r="C45" s="147">
        <v>162.0</v>
      </c>
      <c r="D45" s="147">
        <v>245.0</v>
      </c>
      <c r="E45" s="147">
        <v>586.0</v>
      </c>
      <c r="F45" s="147">
        <v>0.0</v>
      </c>
      <c r="G45" s="147">
        <v>357.0</v>
      </c>
      <c r="H45" s="147">
        <v>1410.0</v>
      </c>
      <c r="I45" s="147">
        <v>233.0</v>
      </c>
      <c r="J45" s="147">
        <v>525.0</v>
      </c>
    </row>
    <row r="46">
      <c r="A46" s="117" t="s">
        <v>143</v>
      </c>
      <c r="B46" s="147">
        <v>1023.0</v>
      </c>
      <c r="C46" s="147">
        <v>351.0</v>
      </c>
      <c r="D46" s="147">
        <v>359.0</v>
      </c>
      <c r="E46" s="147">
        <v>610.0</v>
      </c>
      <c r="F46" s="147">
        <v>0.0</v>
      </c>
      <c r="G46" s="147">
        <v>424.0</v>
      </c>
      <c r="H46" s="147">
        <v>1749.0</v>
      </c>
      <c r="I46" s="147">
        <v>217.0</v>
      </c>
      <c r="J46" s="147">
        <v>611.0</v>
      </c>
    </row>
    <row r="47">
      <c r="A47" s="117" t="s">
        <v>144</v>
      </c>
      <c r="B47" s="147">
        <v>862.0</v>
      </c>
      <c r="C47" s="147">
        <v>324.0</v>
      </c>
      <c r="D47" s="147">
        <v>253.0</v>
      </c>
      <c r="E47" s="147">
        <v>490.0</v>
      </c>
      <c r="F47" s="147">
        <v>0.0</v>
      </c>
      <c r="G47" s="147">
        <v>382.0</v>
      </c>
      <c r="H47" s="147">
        <v>1777.0</v>
      </c>
      <c r="I47" s="147">
        <v>197.0</v>
      </c>
      <c r="J47" s="147">
        <v>557.0</v>
      </c>
    </row>
    <row r="48">
      <c r="A48" s="117" t="s">
        <v>145</v>
      </c>
      <c r="B48" s="147">
        <v>1331.0</v>
      </c>
      <c r="C48" s="147">
        <v>351.0</v>
      </c>
      <c r="D48" s="147">
        <v>478.0</v>
      </c>
      <c r="E48" s="147">
        <v>783.0</v>
      </c>
      <c r="F48" s="147">
        <v>0.0</v>
      </c>
      <c r="G48" s="147">
        <v>586.0</v>
      </c>
      <c r="H48" s="147">
        <v>2511.0</v>
      </c>
      <c r="I48" s="147">
        <v>319.0</v>
      </c>
      <c r="J48" s="147">
        <v>831.0</v>
      </c>
    </row>
    <row r="49">
      <c r="A49" s="117" t="s">
        <v>146</v>
      </c>
      <c r="B49" s="147">
        <v>1161.0</v>
      </c>
      <c r="C49" s="147">
        <v>431.0</v>
      </c>
      <c r="D49" s="147">
        <v>467.0</v>
      </c>
      <c r="E49" s="147">
        <v>795.0</v>
      </c>
      <c r="F49" s="147">
        <v>0.0</v>
      </c>
      <c r="G49" s="147">
        <v>550.0</v>
      </c>
      <c r="H49" s="147">
        <v>2327.0</v>
      </c>
      <c r="I49" s="147">
        <v>324.0</v>
      </c>
      <c r="J49" s="147">
        <v>764.0</v>
      </c>
    </row>
    <row r="50">
      <c r="A50" s="117" t="s">
        <v>147</v>
      </c>
      <c r="B50" s="147">
        <v>840.0</v>
      </c>
      <c r="C50" s="147">
        <v>270.0</v>
      </c>
      <c r="D50" s="147">
        <v>356.0</v>
      </c>
      <c r="E50" s="147">
        <v>525.0</v>
      </c>
      <c r="F50" s="147">
        <v>0.0</v>
      </c>
      <c r="G50" s="147">
        <v>436.0</v>
      </c>
      <c r="H50" s="147">
        <v>1551.0</v>
      </c>
      <c r="I50" s="147">
        <v>266.0</v>
      </c>
      <c r="J50" s="147">
        <v>572.0</v>
      </c>
    </row>
    <row r="51">
      <c r="A51" s="117" t="s">
        <v>148</v>
      </c>
      <c r="B51" s="147">
        <v>573.0</v>
      </c>
      <c r="C51" s="147">
        <v>297.0</v>
      </c>
      <c r="D51" s="147">
        <v>356.0</v>
      </c>
      <c r="E51" s="147">
        <v>371.0</v>
      </c>
      <c r="F51" s="147">
        <v>0.0</v>
      </c>
      <c r="G51" s="147">
        <v>366.0</v>
      </c>
      <c r="H51" s="147">
        <v>1876.0</v>
      </c>
      <c r="I51" s="147">
        <v>242.0</v>
      </c>
      <c r="J51" s="147">
        <v>465.0</v>
      </c>
    </row>
    <row r="52">
      <c r="A52" s="117" t="s">
        <v>149</v>
      </c>
      <c r="B52" s="147">
        <v>790.0</v>
      </c>
      <c r="C52" s="147" t="s">
        <v>163</v>
      </c>
      <c r="D52" s="147">
        <v>470.0</v>
      </c>
      <c r="E52" s="147">
        <v>461.0</v>
      </c>
      <c r="F52" s="147">
        <v>0.0</v>
      </c>
      <c r="G52" s="147">
        <v>525.0</v>
      </c>
      <c r="H52" s="147">
        <v>1819.0</v>
      </c>
      <c r="I52" s="147">
        <v>324.0</v>
      </c>
      <c r="J52" s="147">
        <v>638.0</v>
      </c>
    </row>
    <row r="53">
      <c r="A53" s="117" t="s">
        <v>150</v>
      </c>
      <c r="B53" s="147">
        <v>1001.0</v>
      </c>
      <c r="C53" s="147">
        <v>647.0</v>
      </c>
      <c r="D53" s="147">
        <v>518.0</v>
      </c>
      <c r="E53" s="147">
        <v>658.0</v>
      </c>
      <c r="F53" s="147">
        <v>0.0</v>
      </c>
      <c r="G53" s="147">
        <v>567.0</v>
      </c>
      <c r="H53" s="147">
        <v>2525.0</v>
      </c>
      <c r="I53" s="147">
        <v>348.0</v>
      </c>
      <c r="J53" s="147">
        <v>723.0</v>
      </c>
    </row>
    <row r="54">
      <c r="A54" s="117" t="s">
        <v>151</v>
      </c>
      <c r="B54" s="147">
        <v>773.0</v>
      </c>
      <c r="C54" s="147">
        <v>405.0</v>
      </c>
      <c r="D54" s="147">
        <v>421.0</v>
      </c>
      <c r="E54" s="147">
        <v>608.0</v>
      </c>
      <c r="F54" s="147">
        <v>0.0</v>
      </c>
      <c r="G54" s="147">
        <v>422.0</v>
      </c>
      <c r="H54" s="147">
        <v>2087.0</v>
      </c>
      <c r="I54" s="147">
        <v>319.0</v>
      </c>
      <c r="J54" s="147">
        <v>545.0</v>
      </c>
    </row>
    <row r="55">
      <c r="A55" s="117" t="s">
        <v>152</v>
      </c>
      <c r="B55" s="147">
        <v>562.0</v>
      </c>
      <c r="C55" s="147">
        <v>485.0</v>
      </c>
      <c r="D55" s="147">
        <v>239.0</v>
      </c>
      <c r="E55" s="147">
        <v>454.0</v>
      </c>
      <c r="F55" s="147">
        <v>0.0</v>
      </c>
      <c r="G55" s="147">
        <v>388.0</v>
      </c>
      <c r="H55" s="147">
        <v>1537.0</v>
      </c>
      <c r="I55" s="147">
        <v>291.0</v>
      </c>
      <c r="J55" s="147">
        <v>467.0</v>
      </c>
    </row>
    <row r="56">
      <c r="A56" s="117" t="s">
        <v>153</v>
      </c>
      <c r="B56" s="147">
        <v>452.0</v>
      </c>
      <c r="C56" s="147">
        <v>458.0</v>
      </c>
      <c r="D56" s="147">
        <v>182.0</v>
      </c>
      <c r="E56" s="147">
        <v>419.0</v>
      </c>
      <c r="F56" s="147">
        <v>0.0</v>
      </c>
      <c r="G56" s="147">
        <v>301.0</v>
      </c>
      <c r="H56" s="147">
        <v>889.0</v>
      </c>
      <c r="I56" s="147">
        <v>250.0</v>
      </c>
      <c r="J56" s="147">
        <v>375.0</v>
      </c>
    </row>
    <row r="57">
      <c r="A57" s="117" t="s">
        <v>154</v>
      </c>
      <c r="B57" s="147">
        <v>343.0</v>
      </c>
      <c r="C57" s="147">
        <v>270.0</v>
      </c>
      <c r="D57" s="147">
        <v>242.0</v>
      </c>
      <c r="E57" s="147">
        <v>283.0</v>
      </c>
      <c r="F57" s="147">
        <v>0.0</v>
      </c>
      <c r="G57" s="147">
        <v>226.0</v>
      </c>
      <c r="H57" s="147">
        <v>917.0</v>
      </c>
      <c r="I57" s="147">
        <v>139.0</v>
      </c>
      <c r="J57" s="147">
        <v>286.0</v>
      </c>
    </row>
    <row r="58">
      <c r="A58" s="117" t="s">
        <v>155</v>
      </c>
      <c r="B58" s="147">
        <v>317.0</v>
      </c>
      <c r="C58" s="147">
        <v>431.0</v>
      </c>
      <c r="D58" s="147">
        <v>171.0</v>
      </c>
      <c r="E58" s="147">
        <v>214.0</v>
      </c>
      <c r="F58" s="147">
        <v>0.0</v>
      </c>
      <c r="G58" s="147">
        <v>173.0</v>
      </c>
      <c r="H58" s="147">
        <v>649.0</v>
      </c>
      <c r="I58" s="147">
        <v>135.0</v>
      </c>
      <c r="J58" s="147">
        <v>230.0</v>
      </c>
    </row>
    <row r="59">
      <c r="A59" s="117" t="s">
        <v>156</v>
      </c>
      <c r="B59" s="147">
        <v>267.0</v>
      </c>
      <c r="C59" s="147">
        <v>216.0</v>
      </c>
      <c r="D59" s="147">
        <v>139.0</v>
      </c>
      <c r="E59" s="147">
        <v>192.0</v>
      </c>
      <c r="F59" s="147">
        <v>0.0</v>
      </c>
      <c r="G59" s="147">
        <v>149.0</v>
      </c>
      <c r="H59" s="147">
        <v>691.0</v>
      </c>
      <c r="I59" s="147">
        <v>102.0</v>
      </c>
      <c r="J59" s="147">
        <v>200.0</v>
      </c>
    </row>
    <row r="60">
      <c r="A60" s="117" t="s">
        <v>157</v>
      </c>
      <c r="B60" s="147">
        <v>268.0</v>
      </c>
      <c r="C60" s="147">
        <v>512.0</v>
      </c>
      <c r="D60" s="147">
        <v>148.0</v>
      </c>
      <c r="E60" s="147">
        <v>180.0</v>
      </c>
      <c r="F60" s="147">
        <v>0.0</v>
      </c>
      <c r="G60" s="147">
        <v>166.0</v>
      </c>
      <c r="H60" s="147">
        <v>621.0</v>
      </c>
      <c r="I60" s="147">
        <v>160.0</v>
      </c>
      <c r="J60" s="147">
        <v>222.0</v>
      </c>
    </row>
    <row r="61">
      <c r="A61" s="117" t="s">
        <v>158</v>
      </c>
      <c r="B61" s="147">
        <v>246.0</v>
      </c>
      <c r="C61" s="147">
        <v>405.0</v>
      </c>
      <c r="D61" s="147">
        <v>85.0</v>
      </c>
      <c r="E61" s="147">
        <v>153.0</v>
      </c>
      <c r="F61" s="147">
        <v>0.0</v>
      </c>
      <c r="G61" s="147">
        <v>144.0</v>
      </c>
      <c r="H61" s="147">
        <v>465.0</v>
      </c>
      <c r="I61" s="147">
        <v>115.0</v>
      </c>
      <c r="J61" s="147">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1" t="s">
        <v>189</v>
      </c>
      <c r="G1" s="102"/>
      <c r="H1" s="102"/>
      <c r="I1" s="102"/>
      <c r="J1" s="103"/>
      <c r="K1" s="104"/>
      <c r="L1" s="105"/>
      <c r="M1" s="104"/>
      <c r="N1" s="105"/>
      <c r="O1" s="104"/>
      <c r="P1" s="124"/>
    </row>
    <row r="2">
      <c r="A2" s="106" t="s">
        <v>172</v>
      </c>
      <c r="G2" s="104"/>
      <c r="H2" s="104"/>
      <c r="I2" s="104"/>
      <c r="J2" s="107"/>
      <c r="K2" s="104"/>
      <c r="L2" s="104"/>
      <c r="M2" s="104"/>
      <c r="N2" s="104"/>
      <c r="O2" s="104"/>
      <c r="P2" s="104"/>
    </row>
    <row r="3">
      <c r="A3" s="106" t="s">
        <v>0</v>
      </c>
      <c r="B3" s="108">
        <v>44265.0</v>
      </c>
      <c r="C3" s="104"/>
      <c r="D3" s="104"/>
      <c r="E3" s="104"/>
      <c r="F3" s="104"/>
      <c r="G3" s="104"/>
      <c r="H3" s="104"/>
      <c r="I3" s="104"/>
      <c r="J3" s="104"/>
      <c r="K3" s="104"/>
      <c r="L3" s="104"/>
      <c r="M3" s="104"/>
      <c r="N3" s="104"/>
      <c r="O3" s="104"/>
      <c r="P3" s="104"/>
    </row>
    <row r="4">
      <c r="A4" s="109"/>
      <c r="B4" s="143"/>
      <c r="C4" s="104"/>
      <c r="D4" s="104"/>
      <c r="E4" s="104"/>
      <c r="F4" s="104"/>
      <c r="G4" s="104"/>
      <c r="H4" s="104"/>
      <c r="I4" s="104"/>
      <c r="J4" s="104"/>
      <c r="K4" s="104"/>
      <c r="L4" s="104"/>
      <c r="M4" s="104"/>
      <c r="N4" s="104"/>
      <c r="O4" s="104"/>
      <c r="P4" s="104"/>
    </row>
    <row r="5">
      <c r="A5" s="152" t="s">
        <v>190</v>
      </c>
      <c r="B5" s="111"/>
      <c r="C5" s="111"/>
      <c r="D5" s="111"/>
      <c r="E5" s="111"/>
      <c r="F5" s="111"/>
      <c r="G5" s="111"/>
      <c r="H5" s="111"/>
      <c r="I5" s="111"/>
      <c r="J5" s="41"/>
      <c r="K5" s="112"/>
      <c r="L5" s="112"/>
      <c r="M5" s="112"/>
      <c r="N5" s="112"/>
      <c r="O5" s="112"/>
      <c r="P5" s="112"/>
    </row>
    <row r="6">
      <c r="A6" s="104"/>
      <c r="B6" s="104"/>
      <c r="C6" s="104"/>
      <c r="D6" s="104"/>
      <c r="E6" s="104"/>
      <c r="F6" s="104"/>
      <c r="G6" s="104"/>
      <c r="H6" s="104"/>
      <c r="I6" s="104"/>
      <c r="J6" s="104"/>
      <c r="K6" s="104"/>
      <c r="L6" s="104"/>
      <c r="M6" s="104"/>
      <c r="N6" s="104"/>
      <c r="O6" s="104"/>
      <c r="P6" s="104"/>
    </row>
    <row r="7" ht="63.75" customHeight="1">
      <c r="A7" s="153" t="s">
        <v>174</v>
      </c>
      <c r="B7" s="154" t="s">
        <v>69</v>
      </c>
      <c r="C7" s="154" t="s">
        <v>70</v>
      </c>
      <c r="D7" s="155" t="s">
        <v>71</v>
      </c>
      <c r="E7" s="154" t="s">
        <v>72</v>
      </c>
      <c r="F7" s="154" t="s">
        <v>185</v>
      </c>
      <c r="G7" s="155" t="s">
        <v>74</v>
      </c>
      <c r="H7" s="155" t="s">
        <v>75</v>
      </c>
      <c r="I7" s="156" t="s">
        <v>86</v>
      </c>
      <c r="J7" s="157" t="s">
        <v>105</v>
      </c>
      <c r="K7" s="104"/>
      <c r="L7" s="104"/>
      <c r="M7" s="104"/>
      <c r="N7" s="104"/>
      <c r="O7" s="104"/>
      <c r="P7" s="104"/>
    </row>
    <row r="8">
      <c r="A8" s="134" t="s">
        <v>147</v>
      </c>
      <c r="B8" s="119">
        <v>125.0</v>
      </c>
      <c r="C8" s="119" t="s">
        <v>55</v>
      </c>
      <c r="D8" s="119">
        <v>116.0</v>
      </c>
      <c r="E8" s="119">
        <v>96.0</v>
      </c>
      <c r="F8" s="119">
        <v>6.0</v>
      </c>
      <c r="G8" s="135">
        <v>2561.0</v>
      </c>
      <c r="H8" s="119">
        <v>316.0</v>
      </c>
      <c r="I8" s="119">
        <v>373.0</v>
      </c>
      <c r="J8" s="135">
        <v>3596.0</v>
      </c>
      <c r="K8" s="104"/>
      <c r="L8" s="104"/>
      <c r="M8" s="104"/>
      <c r="N8" s="104"/>
      <c r="O8" s="104"/>
      <c r="P8" s="104"/>
    </row>
    <row r="9">
      <c r="A9" s="134" t="s">
        <v>148</v>
      </c>
      <c r="B9" s="119">
        <v>309.0</v>
      </c>
      <c r="C9" s="119">
        <v>8.0</v>
      </c>
      <c r="D9" s="119">
        <v>124.0</v>
      </c>
      <c r="E9" s="119">
        <v>220.0</v>
      </c>
      <c r="F9" s="119">
        <v>8.0</v>
      </c>
      <c r="G9" s="135">
        <v>4460.0</v>
      </c>
      <c r="H9" s="119">
        <v>655.0</v>
      </c>
      <c r="I9" s="119">
        <v>507.0</v>
      </c>
      <c r="J9" s="135">
        <v>6291.0</v>
      </c>
      <c r="K9" s="104"/>
      <c r="L9" s="104"/>
      <c r="M9" s="104"/>
      <c r="N9" s="104"/>
      <c r="O9" s="104"/>
      <c r="P9" s="104"/>
    </row>
    <row r="10">
      <c r="A10" s="134" t="s">
        <v>149</v>
      </c>
      <c r="B10" s="119">
        <v>923.0</v>
      </c>
      <c r="C10" s="119">
        <v>14.0</v>
      </c>
      <c r="D10" s="119">
        <v>152.0</v>
      </c>
      <c r="E10" s="119">
        <v>293.0</v>
      </c>
      <c r="F10" s="119">
        <v>11.0</v>
      </c>
      <c r="G10" s="135">
        <v>7096.0</v>
      </c>
      <c r="H10" s="119">
        <v>725.0</v>
      </c>
      <c r="I10" s="135">
        <v>2696.0</v>
      </c>
      <c r="J10" s="135">
        <v>11910.0</v>
      </c>
      <c r="K10" s="104"/>
      <c r="L10" s="104"/>
      <c r="M10" s="104"/>
      <c r="N10" s="104"/>
      <c r="O10" s="104"/>
      <c r="P10" s="104"/>
    </row>
    <row r="11">
      <c r="A11" s="134" t="s">
        <v>150</v>
      </c>
      <c r="B11" s="119">
        <v>891.0</v>
      </c>
      <c r="C11" s="119">
        <v>9.0</v>
      </c>
      <c r="D11" s="119">
        <v>181.0</v>
      </c>
      <c r="E11" s="119">
        <v>365.0</v>
      </c>
      <c r="F11" s="119">
        <v>13.0</v>
      </c>
      <c r="G11" s="135">
        <v>6097.0</v>
      </c>
      <c r="H11" s="119">
        <v>540.0</v>
      </c>
      <c r="I11" s="135">
        <v>3857.0</v>
      </c>
      <c r="J11" s="135">
        <v>11953.0</v>
      </c>
      <c r="K11" s="104"/>
      <c r="L11" s="104"/>
      <c r="M11" s="104"/>
      <c r="N11" s="104"/>
      <c r="O11" s="104"/>
      <c r="P11" s="104"/>
    </row>
    <row r="12">
      <c r="A12" s="134" t="s">
        <v>151</v>
      </c>
      <c r="B12" s="119">
        <v>812.0</v>
      </c>
      <c r="C12" s="119">
        <v>28.0</v>
      </c>
      <c r="D12" s="119">
        <v>146.0</v>
      </c>
      <c r="E12" s="119">
        <v>391.0</v>
      </c>
      <c r="F12" s="119">
        <v>10.0</v>
      </c>
      <c r="G12" s="135">
        <v>4948.0</v>
      </c>
      <c r="H12" s="119">
        <v>517.0</v>
      </c>
      <c r="I12" s="135">
        <v>3171.0</v>
      </c>
      <c r="J12" s="135">
        <v>10023.0</v>
      </c>
      <c r="K12" s="104"/>
      <c r="L12" s="104"/>
      <c r="M12" s="104"/>
      <c r="N12" s="104"/>
      <c r="O12" s="104"/>
      <c r="P12" s="104"/>
    </row>
    <row r="13">
      <c r="A13" s="134" t="s">
        <v>152</v>
      </c>
      <c r="B13" s="135">
        <v>1222.0</v>
      </c>
      <c r="C13" s="119">
        <v>22.0</v>
      </c>
      <c r="D13" s="119">
        <v>163.0</v>
      </c>
      <c r="E13" s="119">
        <v>472.0</v>
      </c>
      <c r="F13" s="119">
        <v>8.0</v>
      </c>
      <c r="G13" s="135">
        <v>6302.0</v>
      </c>
      <c r="H13" s="119">
        <v>415.0</v>
      </c>
      <c r="I13" s="135">
        <v>2568.0</v>
      </c>
      <c r="J13" s="135">
        <v>11172.0</v>
      </c>
      <c r="K13" s="104"/>
      <c r="L13" s="104"/>
      <c r="M13" s="104"/>
      <c r="N13" s="104"/>
      <c r="O13" s="104"/>
      <c r="P13" s="104"/>
    </row>
    <row r="14">
      <c r="A14" s="134" t="s">
        <v>153</v>
      </c>
      <c r="B14" s="135">
        <v>1061.0</v>
      </c>
      <c r="C14" s="119">
        <v>42.0</v>
      </c>
      <c r="D14" s="119">
        <v>212.0</v>
      </c>
      <c r="E14" s="119">
        <v>617.0</v>
      </c>
      <c r="F14" s="119">
        <v>17.0</v>
      </c>
      <c r="G14" s="135">
        <v>8591.0</v>
      </c>
      <c r="H14" s="119">
        <v>447.0</v>
      </c>
      <c r="I14" s="135">
        <v>3138.0</v>
      </c>
      <c r="J14" s="135">
        <v>14125.0</v>
      </c>
      <c r="K14" s="104"/>
      <c r="L14" s="104"/>
      <c r="M14" s="104"/>
      <c r="N14" s="104"/>
      <c r="O14" s="104"/>
      <c r="P14" s="104"/>
    </row>
    <row r="15">
      <c r="A15" s="134" t="s">
        <v>154</v>
      </c>
      <c r="B15" s="135">
        <v>1291.0</v>
      </c>
      <c r="C15" s="119">
        <v>35.0</v>
      </c>
      <c r="D15" s="119">
        <v>153.0</v>
      </c>
      <c r="E15" s="119">
        <v>638.0</v>
      </c>
      <c r="F15" s="119">
        <v>19.0</v>
      </c>
      <c r="G15" s="135">
        <v>10879.0</v>
      </c>
      <c r="H15" s="119">
        <v>910.0</v>
      </c>
      <c r="I15" s="135">
        <v>2704.0</v>
      </c>
      <c r="J15" s="135">
        <v>16629.0</v>
      </c>
      <c r="K15" s="104"/>
      <c r="L15" s="104"/>
      <c r="M15" s="104"/>
      <c r="N15" s="104"/>
      <c r="O15" s="104"/>
      <c r="P15" s="104"/>
    </row>
    <row r="16">
      <c r="A16" s="134" t="s">
        <v>155</v>
      </c>
      <c r="B16" s="135">
        <v>1314.0</v>
      </c>
      <c r="C16" s="119">
        <v>30.0</v>
      </c>
      <c r="D16" s="119">
        <v>221.0</v>
      </c>
      <c r="E16" s="119">
        <v>516.0</v>
      </c>
      <c r="F16" s="119">
        <v>21.0</v>
      </c>
      <c r="G16" s="135">
        <v>10393.0</v>
      </c>
      <c r="H16" s="119">
        <v>814.0</v>
      </c>
      <c r="I16" s="135">
        <v>3062.0</v>
      </c>
      <c r="J16" s="135">
        <v>16371.0</v>
      </c>
      <c r="K16" s="104"/>
      <c r="L16" s="104"/>
      <c r="M16" s="104"/>
      <c r="N16" s="104"/>
      <c r="O16" s="104"/>
      <c r="P16" s="104"/>
    </row>
    <row r="17">
      <c r="A17" s="134" t="s">
        <v>156</v>
      </c>
      <c r="B17" s="135">
        <v>1784.0</v>
      </c>
      <c r="C17" s="119">
        <v>61.0</v>
      </c>
      <c r="D17" s="119">
        <v>488.0</v>
      </c>
      <c r="E17" s="119">
        <v>784.0</v>
      </c>
      <c r="F17" s="119">
        <v>38.0</v>
      </c>
      <c r="G17" s="135">
        <v>21826.0</v>
      </c>
      <c r="H17" s="119">
        <v>799.0</v>
      </c>
      <c r="I17" s="135">
        <v>3482.0</v>
      </c>
      <c r="J17" s="135">
        <v>29262.0</v>
      </c>
      <c r="K17" s="104"/>
      <c r="L17" s="104"/>
      <c r="M17" s="104"/>
      <c r="N17" s="104"/>
      <c r="O17" s="104"/>
      <c r="P17" s="104"/>
    </row>
    <row r="18">
      <c r="A18" s="134" t="s">
        <v>157</v>
      </c>
      <c r="B18" s="135">
        <v>1812.0</v>
      </c>
      <c r="C18" s="119">
        <v>71.0</v>
      </c>
      <c r="D18" s="119">
        <v>520.0</v>
      </c>
      <c r="E18" s="119">
        <v>861.0</v>
      </c>
      <c r="F18" s="119">
        <v>81.0</v>
      </c>
      <c r="G18" s="135">
        <v>31703.0</v>
      </c>
      <c r="H18" s="135">
        <v>1035.0</v>
      </c>
      <c r="I18" s="135">
        <v>4269.0</v>
      </c>
      <c r="J18" s="135">
        <v>40352.0</v>
      </c>
      <c r="K18" s="104"/>
      <c r="L18" s="104"/>
      <c r="M18" s="104"/>
      <c r="N18" s="104"/>
      <c r="O18" s="104"/>
      <c r="P18" s="104"/>
    </row>
    <row r="19">
      <c r="A19" s="134" t="s">
        <v>158</v>
      </c>
      <c r="B19" s="135">
        <v>2776.0</v>
      </c>
      <c r="C19" s="135">
        <v>59.0</v>
      </c>
      <c r="D19" s="135">
        <v>523.0</v>
      </c>
      <c r="E19" s="135">
        <v>938.0</v>
      </c>
      <c r="F19" s="135">
        <v>65.0</v>
      </c>
      <c r="G19" s="135">
        <v>22425.0</v>
      </c>
      <c r="H19" s="135">
        <v>1213.0</v>
      </c>
      <c r="I19" s="135">
        <v>3320.0</v>
      </c>
      <c r="J19" s="135">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1" t="s">
        <v>191</v>
      </c>
      <c r="H1" s="101"/>
      <c r="I1" s="103"/>
      <c r="J1" s="104"/>
      <c r="K1" s="105"/>
      <c r="L1" s="104"/>
      <c r="M1" s="105"/>
      <c r="N1" s="104"/>
      <c r="O1" s="124"/>
    </row>
    <row r="2">
      <c r="A2" s="106" t="s">
        <v>192</v>
      </c>
      <c r="N2" s="104"/>
      <c r="O2" s="104"/>
    </row>
    <row r="3">
      <c r="A3" s="106" t="s">
        <v>0</v>
      </c>
      <c r="B3" s="108">
        <v>44265.0</v>
      </c>
      <c r="C3" s="104"/>
      <c r="D3" s="104"/>
      <c r="E3" s="104"/>
      <c r="F3" s="104"/>
      <c r="G3" s="104"/>
      <c r="H3" s="104"/>
      <c r="I3" s="104"/>
      <c r="J3" s="104"/>
      <c r="K3" s="104"/>
      <c r="L3" s="104"/>
      <c r="M3" s="104"/>
      <c r="N3" s="104"/>
      <c r="O3" s="104"/>
    </row>
    <row r="4">
      <c r="A4" s="104"/>
      <c r="B4" s="104"/>
      <c r="C4" s="104"/>
      <c r="D4" s="104"/>
      <c r="E4" s="104"/>
      <c r="F4" s="104"/>
      <c r="G4" s="104"/>
      <c r="H4" s="104"/>
      <c r="I4" s="104"/>
      <c r="J4" s="104"/>
      <c r="K4" s="104"/>
      <c r="L4" s="104"/>
      <c r="M4" s="104"/>
      <c r="N4" s="104"/>
      <c r="O4" s="104"/>
    </row>
    <row r="5">
      <c r="A5" s="152" t="s">
        <v>193</v>
      </c>
      <c r="B5" s="111"/>
      <c r="C5" s="111"/>
      <c r="D5" s="111"/>
      <c r="E5" s="111"/>
      <c r="F5" s="111"/>
      <c r="G5" s="111"/>
      <c r="H5" s="111"/>
      <c r="I5" s="41"/>
      <c r="J5" s="158"/>
      <c r="K5" s="158"/>
      <c r="L5" s="158"/>
      <c r="M5" s="158"/>
      <c r="N5" s="158"/>
      <c r="O5" s="158"/>
    </row>
    <row r="6">
      <c r="A6" s="104"/>
      <c r="B6" s="104"/>
      <c r="C6" s="104"/>
      <c r="D6" s="104"/>
      <c r="E6" s="104"/>
      <c r="F6" s="104"/>
      <c r="G6" s="104"/>
      <c r="H6" s="104"/>
      <c r="I6" s="104"/>
      <c r="J6" s="104"/>
      <c r="K6" s="104"/>
      <c r="L6" s="104"/>
      <c r="M6" s="104"/>
      <c r="N6" s="104"/>
      <c r="O6" s="104"/>
    </row>
    <row r="7" ht="42.75" customHeight="1">
      <c r="A7" s="159" t="s">
        <v>174</v>
      </c>
      <c r="B7" s="154" t="s">
        <v>69</v>
      </c>
      <c r="C7" s="154" t="s">
        <v>70</v>
      </c>
      <c r="D7" s="155" t="s">
        <v>71</v>
      </c>
      <c r="E7" s="154" t="s">
        <v>72</v>
      </c>
      <c r="F7" s="154" t="s">
        <v>185</v>
      </c>
      <c r="G7" s="155" t="s">
        <v>74</v>
      </c>
      <c r="H7" s="155" t="s">
        <v>75</v>
      </c>
      <c r="I7" s="155" t="s">
        <v>105</v>
      </c>
      <c r="J7" s="104"/>
      <c r="K7" s="104"/>
      <c r="L7" s="104"/>
      <c r="M7" s="104"/>
      <c r="N7" s="104"/>
      <c r="O7" s="104"/>
    </row>
    <row r="8">
      <c r="A8" s="120" t="s">
        <v>162</v>
      </c>
      <c r="B8" s="139">
        <v>158858.0</v>
      </c>
      <c r="C8" s="160">
        <v>3708.0</v>
      </c>
      <c r="D8" s="160">
        <v>35128.0</v>
      </c>
      <c r="E8" s="139">
        <v>59001.0</v>
      </c>
      <c r="F8" s="151">
        <v>684.0</v>
      </c>
      <c r="G8" s="139">
        <v>767727.0</v>
      </c>
      <c r="H8" s="160">
        <v>7090.0</v>
      </c>
      <c r="I8" s="139">
        <v>1056611.0</v>
      </c>
      <c r="J8" s="104"/>
      <c r="K8" s="161"/>
      <c r="L8" s="104"/>
      <c r="M8" s="104"/>
      <c r="N8" s="104"/>
      <c r="O8" s="104"/>
    </row>
    <row r="9">
      <c r="A9" s="134" t="s">
        <v>147</v>
      </c>
      <c r="B9" s="119">
        <v>79.0</v>
      </c>
      <c r="C9" s="119" t="s">
        <v>163</v>
      </c>
      <c r="D9" s="119">
        <v>330.0</v>
      </c>
      <c r="E9" s="119">
        <v>163.0</v>
      </c>
      <c r="F9" s="119">
        <v>877.0</v>
      </c>
      <c r="G9" s="119">
        <v>334.0</v>
      </c>
      <c r="H9" s="135">
        <v>4457.0</v>
      </c>
      <c r="I9" s="119">
        <v>340.0</v>
      </c>
      <c r="J9" s="104"/>
      <c r="K9" s="104"/>
      <c r="L9" s="104"/>
      <c r="M9" s="104"/>
      <c r="N9" s="104"/>
      <c r="O9" s="104"/>
    </row>
    <row r="10">
      <c r="A10" s="134" t="s">
        <v>148</v>
      </c>
      <c r="B10" s="119">
        <v>195.0</v>
      </c>
      <c r="C10" s="119">
        <v>216.0</v>
      </c>
      <c r="D10" s="119">
        <v>353.0</v>
      </c>
      <c r="E10" s="119">
        <v>373.0</v>
      </c>
      <c r="F10" s="135">
        <v>1170.0</v>
      </c>
      <c r="G10" s="119">
        <v>581.0</v>
      </c>
      <c r="H10" s="135">
        <v>9238.0</v>
      </c>
      <c r="I10" s="119">
        <v>595.0</v>
      </c>
      <c r="J10" s="104"/>
      <c r="K10" s="104"/>
      <c r="L10" s="104"/>
      <c r="M10" s="104"/>
      <c r="N10" s="104"/>
      <c r="O10" s="104"/>
    </row>
    <row r="11">
      <c r="A11" s="134" t="s">
        <v>149</v>
      </c>
      <c r="B11" s="119">
        <v>581.0</v>
      </c>
      <c r="C11" s="119">
        <v>378.0</v>
      </c>
      <c r="D11" s="119">
        <v>433.0</v>
      </c>
      <c r="E11" s="119">
        <v>497.0</v>
      </c>
      <c r="F11" s="135">
        <v>1608.0</v>
      </c>
      <c r="G11" s="119">
        <v>924.0</v>
      </c>
      <c r="H11" s="135">
        <v>10226.0</v>
      </c>
      <c r="I11" s="135">
        <v>1127.0</v>
      </c>
      <c r="J11" s="104"/>
      <c r="K11" s="104"/>
      <c r="L11" s="104"/>
      <c r="M11" s="104"/>
      <c r="N11" s="104"/>
      <c r="O11" s="104"/>
    </row>
    <row r="12">
      <c r="A12" s="134" t="s">
        <v>150</v>
      </c>
      <c r="B12" s="119">
        <v>561.0</v>
      </c>
      <c r="C12" s="119">
        <v>243.0</v>
      </c>
      <c r="D12" s="119">
        <v>515.0</v>
      </c>
      <c r="E12" s="119">
        <v>619.0</v>
      </c>
      <c r="F12" s="135">
        <v>1901.0</v>
      </c>
      <c r="G12" s="119">
        <v>794.0</v>
      </c>
      <c r="H12" s="135">
        <v>7616.0</v>
      </c>
      <c r="I12" s="135">
        <v>1131.0</v>
      </c>
      <c r="J12" s="104"/>
      <c r="K12" s="104"/>
      <c r="L12" s="104"/>
      <c r="M12" s="104"/>
      <c r="N12" s="104"/>
      <c r="O12" s="104"/>
    </row>
    <row r="13">
      <c r="A13" s="134" t="s">
        <v>151</v>
      </c>
      <c r="B13" s="119">
        <v>511.0</v>
      </c>
      <c r="C13" s="119">
        <v>755.0</v>
      </c>
      <c r="D13" s="119">
        <v>416.0</v>
      </c>
      <c r="E13" s="119">
        <v>663.0</v>
      </c>
      <c r="F13" s="135">
        <v>1462.0</v>
      </c>
      <c r="G13" s="119">
        <v>644.0</v>
      </c>
      <c r="H13" s="135">
        <v>7292.0</v>
      </c>
      <c r="I13" s="119">
        <v>949.0</v>
      </c>
      <c r="J13" s="104"/>
      <c r="K13" s="104"/>
      <c r="L13" s="104"/>
      <c r="M13" s="104"/>
      <c r="N13" s="104"/>
      <c r="O13" s="104"/>
    </row>
    <row r="14">
      <c r="A14" s="134" t="s">
        <v>152</v>
      </c>
      <c r="B14" s="119">
        <v>769.0</v>
      </c>
      <c r="C14" s="119">
        <v>593.0</v>
      </c>
      <c r="D14" s="119">
        <v>464.0</v>
      </c>
      <c r="E14" s="119">
        <v>800.0</v>
      </c>
      <c r="F14" s="135">
        <v>1170.0</v>
      </c>
      <c r="G14" s="119">
        <v>821.0</v>
      </c>
      <c r="H14" s="135">
        <v>5853.0</v>
      </c>
      <c r="I14" s="135">
        <v>1057.0</v>
      </c>
      <c r="J14" s="104"/>
      <c r="K14" s="104"/>
      <c r="L14" s="104"/>
      <c r="M14" s="104"/>
      <c r="N14" s="104"/>
      <c r="O14" s="104"/>
    </row>
    <row r="15">
      <c r="A15" s="134" t="s">
        <v>153</v>
      </c>
      <c r="B15" s="119">
        <v>668.0</v>
      </c>
      <c r="C15" s="135">
        <v>1133.0</v>
      </c>
      <c r="D15" s="119">
        <v>604.0</v>
      </c>
      <c r="E15" s="135">
        <v>1046.0</v>
      </c>
      <c r="F15" s="135">
        <v>2485.0</v>
      </c>
      <c r="G15" s="135">
        <v>1119.0</v>
      </c>
      <c r="H15" s="135">
        <v>6305.0</v>
      </c>
      <c r="I15" s="135">
        <v>1337.0</v>
      </c>
      <c r="J15" s="104"/>
      <c r="K15" s="104"/>
      <c r="L15" s="104"/>
      <c r="M15" s="104"/>
      <c r="N15" s="104"/>
      <c r="O15" s="104"/>
    </row>
    <row r="16">
      <c r="A16" s="134" t="s">
        <v>154</v>
      </c>
      <c r="B16" s="119">
        <v>813.0</v>
      </c>
      <c r="C16" s="119">
        <v>944.0</v>
      </c>
      <c r="D16" s="119">
        <v>436.0</v>
      </c>
      <c r="E16" s="135">
        <v>1081.0</v>
      </c>
      <c r="F16" s="135">
        <v>2778.0</v>
      </c>
      <c r="G16" s="135">
        <v>1417.0</v>
      </c>
      <c r="H16" s="135">
        <v>12835.0</v>
      </c>
      <c r="I16" s="135">
        <v>1574.0</v>
      </c>
      <c r="J16" s="104"/>
      <c r="K16" s="104"/>
      <c r="L16" s="104"/>
      <c r="M16" s="104"/>
      <c r="N16" s="104"/>
      <c r="O16" s="104"/>
    </row>
    <row r="17">
      <c r="A17" s="134" t="s">
        <v>155</v>
      </c>
      <c r="B17" s="119">
        <v>827.0</v>
      </c>
      <c r="C17" s="119">
        <v>809.0</v>
      </c>
      <c r="D17" s="119">
        <v>629.0</v>
      </c>
      <c r="E17" s="119">
        <v>875.0</v>
      </c>
      <c r="F17" s="135">
        <v>3070.0</v>
      </c>
      <c r="G17" s="135">
        <v>1354.0</v>
      </c>
      <c r="H17" s="135">
        <v>11481.0</v>
      </c>
      <c r="I17" s="135">
        <v>1549.0</v>
      </c>
      <c r="J17" s="104"/>
      <c r="K17" s="104"/>
      <c r="L17" s="104"/>
      <c r="M17" s="104"/>
      <c r="N17" s="104"/>
      <c r="O17" s="104"/>
    </row>
    <row r="18">
      <c r="A18" s="134" t="s">
        <v>156</v>
      </c>
      <c r="B18" s="135">
        <v>1123.0</v>
      </c>
      <c r="C18" s="135">
        <v>1645.0</v>
      </c>
      <c r="D18" s="135">
        <v>1389.0</v>
      </c>
      <c r="E18" s="135">
        <v>1329.0</v>
      </c>
      <c r="F18" s="135">
        <v>5556.0</v>
      </c>
      <c r="G18" s="135">
        <v>2843.0</v>
      </c>
      <c r="H18" s="135">
        <v>11269.0</v>
      </c>
      <c r="I18" s="135">
        <v>2769.0</v>
      </c>
      <c r="J18" s="104"/>
      <c r="K18" s="104"/>
      <c r="L18" s="104"/>
      <c r="M18" s="104"/>
      <c r="N18" s="104"/>
      <c r="O18" s="104"/>
    </row>
    <row r="19">
      <c r="A19" s="134" t="s">
        <v>157</v>
      </c>
      <c r="B19" s="135">
        <v>1141.0</v>
      </c>
      <c r="C19" s="135">
        <v>1915.0</v>
      </c>
      <c r="D19" s="135">
        <v>1480.0</v>
      </c>
      <c r="E19" s="135">
        <v>1459.0</v>
      </c>
      <c r="F19" s="135">
        <v>11842.0</v>
      </c>
      <c r="G19" s="135">
        <v>4129.0</v>
      </c>
      <c r="H19" s="135">
        <v>14598.0</v>
      </c>
      <c r="I19" s="135">
        <v>3819.0</v>
      </c>
      <c r="J19" s="104"/>
      <c r="K19" s="104"/>
      <c r="L19" s="104"/>
      <c r="M19" s="104"/>
      <c r="N19" s="104"/>
      <c r="O19" s="104"/>
    </row>
    <row r="20">
      <c r="A20" s="134" t="s">
        <v>158</v>
      </c>
      <c r="B20" s="135">
        <v>1747.0</v>
      </c>
      <c r="C20" s="135">
        <v>1591.0</v>
      </c>
      <c r="D20" s="135">
        <v>1489.0</v>
      </c>
      <c r="E20" s="135">
        <v>1590.0</v>
      </c>
      <c r="F20" s="135">
        <v>9503.0</v>
      </c>
      <c r="G20" s="135">
        <v>2921.0</v>
      </c>
      <c r="H20" s="135">
        <v>17109.0</v>
      </c>
      <c r="I20" s="135">
        <v>2964.0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1" t="s">
        <v>194</v>
      </c>
      <c r="G1" s="102"/>
      <c r="H1" s="102"/>
      <c r="I1" s="102"/>
      <c r="J1" s="103"/>
      <c r="K1" s="104"/>
      <c r="L1" s="105"/>
      <c r="M1" s="104"/>
      <c r="N1" s="105"/>
      <c r="O1" s="104"/>
      <c r="P1" s="124"/>
    </row>
    <row r="2">
      <c r="A2" s="106" t="s">
        <v>172</v>
      </c>
      <c r="G2" s="104"/>
      <c r="H2" s="104"/>
      <c r="I2" s="104"/>
      <c r="J2" s="107"/>
      <c r="K2" s="104"/>
      <c r="L2" s="104"/>
      <c r="M2" s="104"/>
      <c r="N2" s="104"/>
      <c r="O2" s="104"/>
      <c r="P2" s="104"/>
    </row>
    <row r="3">
      <c r="A3" s="106" t="s">
        <v>0</v>
      </c>
      <c r="B3" s="108">
        <v>44265.0</v>
      </c>
      <c r="C3" s="104"/>
      <c r="D3" s="104"/>
      <c r="E3" s="104"/>
      <c r="F3" s="104"/>
      <c r="G3" s="104"/>
      <c r="H3" s="104"/>
      <c r="I3" s="104"/>
      <c r="J3" s="104"/>
      <c r="K3" s="104"/>
      <c r="L3" s="104"/>
      <c r="M3" s="104"/>
      <c r="N3" s="104"/>
      <c r="O3" s="104"/>
      <c r="P3" s="104"/>
    </row>
    <row r="4">
      <c r="A4" s="109"/>
      <c r="B4" s="143"/>
      <c r="C4" s="104"/>
      <c r="D4" s="104"/>
      <c r="E4" s="104"/>
      <c r="F4" s="104"/>
      <c r="G4" s="104"/>
      <c r="H4" s="104"/>
      <c r="I4" s="104"/>
      <c r="J4" s="104"/>
      <c r="K4" s="104"/>
      <c r="L4" s="104"/>
      <c r="M4" s="104"/>
      <c r="N4" s="104"/>
      <c r="O4" s="104"/>
      <c r="P4" s="104"/>
    </row>
    <row r="5">
      <c r="A5" s="152" t="s">
        <v>195</v>
      </c>
      <c r="B5" s="111"/>
      <c r="C5" s="111"/>
      <c r="D5" s="111"/>
      <c r="E5" s="111"/>
      <c r="F5" s="111"/>
      <c r="G5" s="111"/>
      <c r="H5" s="111"/>
      <c r="I5" s="111"/>
      <c r="J5" s="41"/>
      <c r="K5" s="112"/>
      <c r="L5" s="112"/>
      <c r="M5" s="112"/>
      <c r="N5" s="112"/>
      <c r="O5" s="112"/>
      <c r="P5" s="112"/>
    </row>
    <row r="6">
      <c r="A6" s="104"/>
      <c r="B6" s="104"/>
      <c r="C6" s="104"/>
      <c r="D6" s="104"/>
      <c r="E6" s="104"/>
      <c r="F6" s="104"/>
      <c r="G6" s="104"/>
      <c r="H6" s="104"/>
      <c r="I6" s="104"/>
      <c r="J6" s="104"/>
      <c r="K6" s="104"/>
      <c r="L6" s="104"/>
      <c r="M6" s="104"/>
      <c r="N6" s="104"/>
      <c r="O6" s="104"/>
      <c r="P6" s="104"/>
    </row>
    <row r="7" ht="57.75" customHeight="1">
      <c r="A7" s="159" t="s">
        <v>181</v>
      </c>
      <c r="B7" s="154" t="s">
        <v>69</v>
      </c>
      <c r="C7" s="154" t="s">
        <v>70</v>
      </c>
      <c r="D7" s="155" t="s">
        <v>71</v>
      </c>
      <c r="E7" s="154" t="s">
        <v>72</v>
      </c>
      <c r="F7" s="154" t="s">
        <v>185</v>
      </c>
      <c r="G7" s="155" t="s">
        <v>74</v>
      </c>
      <c r="H7" s="155" t="s">
        <v>75</v>
      </c>
      <c r="I7" s="156" t="s">
        <v>86</v>
      </c>
      <c r="J7" s="157" t="s">
        <v>105</v>
      </c>
      <c r="K7" s="104"/>
      <c r="L7" s="104"/>
      <c r="M7" s="104"/>
      <c r="N7" s="104"/>
      <c r="O7" s="104"/>
      <c r="P7" s="104"/>
    </row>
    <row r="8">
      <c r="A8" s="134" t="s">
        <v>147</v>
      </c>
      <c r="B8" s="119">
        <v>0.0</v>
      </c>
      <c r="C8" s="119">
        <v>0.0</v>
      </c>
      <c r="D8" s="119">
        <v>0.0</v>
      </c>
      <c r="E8" s="119">
        <v>0.0</v>
      </c>
      <c r="F8" s="119">
        <v>0.0</v>
      </c>
      <c r="G8" s="119">
        <v>0.0</v>
      </c>
      <c r="H8" s="119">
        <v>0.0</v>
      </c>
      <c r="I8" s="119">
        <v>0.0</v>
      </c>
      <c r="J8" s="119">
        <v>0.0</v>
      </c>
      <c r="K8" s="104"/>
      <c r="L8" s="104"/>
      <c r="M8" s="104"/>
      <c r="N8" s="104"/>
      <c r="O8" s="104"/>
      <c r="P8" s="104"/>
    </row>
    <row r="9">
      <c r="A9" s="134" t="s">
        <v>148</v>
      </c>
      <c r="B9" s="119">
        <v>0.0</v>
      </c>
      <c r="C9" s="119">
        <v>0.0</v>
      </c>
      <c r="D9" s="119">
        <v>0.0</v>
      </c>
      <c r="E9" s="119">
        <v>0.0</v>
      </c>
      <c r="F9" s="119">
        <v>0.0</v>
      </c>
      <c r="G9" s="119">
        <v>0.0</v>
      </c>
      <c r="H9" s="119">
        <v>0.0</v>
      </c>
      <c r="I9" s="119">
        <v>0.0</v>
      </c>
      <c r="J9" s="119">
        <v>0.0</v>
      </c>
      <c r="K9" s="104"/>
      <c r="L9" s="104"/>
      <c r="M9" s="104"/>
      <c r="N9" s="104"/>
      <c r="O9" s="104"/>
      <c r="P9" s="104"/>
    </row>
    <row r="10">
      <c r="A10" s="134" t="s">
        <v>149</v>
      </c>
      <c r="B10" s="119" t="s">
        <v>55</v>
      </c>
      <c r="C10" s="119">
        <v>0.0</v>
      </c>
      <c r="D10" s="119" t="s">
        <v>55</v>
      </c>
      <c r="E10" s="119" t="s">
        <v>55</v>
      </c>
      <c r="F10" s="119">
        <v>0.0</v>
      </c>
      <c r="G10" s="119">
        <v>10.0</v>
      </c>
      <c r="H10" s="119" t="s">
        <v>55</v>
      </c>
      <c r="I10" s="119">
        <v>0.0</v>
      </c>
      <c r="J10" s="119">
        <v>18.0</v>
      </c>
      <c r="K10" s="104"/>
      <c r="L10" s="104"/>
      <c r="M10" s="104"/>
      <c r="N10" s="104"/>
      <c r="O10" s="104"/>
      <c r="P10" s="104"/>
    </row>
    <row r="11">
      <c r="A11" s="134" t="s">
        <v>150</v>
      </c>
      <c r="B11" s="119">
        <v>121.0</v>
      </c>
      <c r="C11" s="119" t="s">
        <v>55</v>
      </c>
      <c r="D11" s="119">
        <v>106.0</v>
      </c>
      <c r="E11" s="119">
        <v>95.0</v>
      </c>
      <c r="F11" s="119">
        <v>5.0</v>
      </c>
      <c r="G11" s="135">
        <v>2520.0</v>
      </c>
      <c r="H11" s="119">
        <v>298.0</v>
      </c>
      <c r="I11" s="119">
        <v>349.0</v>
      </c>
      <c r="J11" s="135">
        <v>3496.0</v>
      </c>
      <c r="K11" s="104"/>
      <c r="L11" s="104"/>
      <c r="M11" s="104"/>
      <c r="N11" s="104"/>
      <c r="O11" s="104"/>
      <c r="P11" s="104"/>
    </row>
    <row r="12">
      <c r="A12" s="134" t="s">
        <v>151</v>
      </c>
      <c r="B12" s="119">
        <v>272.0</v>
      </c>
      <c r="C12" s="119">
        <v>7.0</v>
      </c>
      <c r="D12" s="119">
        <v>128.0</v>
      </c>
      <c r="E12" s="119">
        <v>186.0</v>
      </c>
      <c r="F12" s="119">
        <v>7.0</v>
      </c>
      <c r="G12" s="135">
        <v>4048.0</v>
      </c>
      <c r="H12" s="119">
        <v>594.0</v>
      </c>
      <c r="I12" s="119">
        <v>441.0</v>
      </c>
      <c r="J12" s="135">
        <v>5683.0</v>
      </c>
      <c r="K12" s="104"/>
      <c r="L12" s="104"/>
      <c r="M12" s="104"/>
      <c r="N12" s="104"/>
      <c r="O12" s="104"/>
      <c r="P12" s="104"/>
    </row>
    <row r="13">
      <c r="A13" s="134" t="s">
        <v>152</v>
      </c>
      <c r="B13" s="119">
        <v>117.0</v>
      </c>
      <c r="C13" s="119" t="s">
        <v>55</v>
      </c>
      <c r="D13" s="119">
        <v>32.0</v>
      </c>
      <c r="E13" s="119">
        <v>77.0</v>
      </c>
      <c r="F13" s="119" t="s">
        <v>55</v>
      </c>
      <c r="G13" s="135">
        <v>1286.0</v>
      </c>
      <c r="H13" s="119">
        <v>185.0</v>
      </c>
      <c r="I13" s="135">
        <v>1939.0</v>
      </c>
      <c r="J13" s="135">
        <v>3641.0</v>
      </c>
      <c r="K13" s="104"/>
      <c r="L13" s="104"/>
      <c r="M13" s="104"/>
      <c r="N13" s="104"/>
      <c r="O13" s="104"/>
      <c r="P13" s="104"/>
    </row>
    <row r="14">
      <c r="A14" s="134" t="s">
        <v>153</v>
      </c>
      <c r="B14" s="119">
        <v>810.0</v>
      </c>
      <c r="C14" s="119">
        <v>13.0</v>
      </c>
      <c r="D14" s="119">
        <v>127.0</v>
      </c>
      <c r="E14" s="119">
        <v>259.0</v>
      </c>
      <c r="F14" s="119">
        <v>11.0</v>
      </c>
      <c r="G14" s="135">
        <v>6706.0</v>
      </c>
      <c r="H14" s="119">
        <v>640.0</v>
      </c>
      <c r="I14" s="135">
        <v>3754.0</v>
      </c>
      <c r="J14" s="135">
        <v>12320.0</v>
      </c>
      <c r="K14" s="104"/>
      <c r="L14" s="104"/>
      <c r="M14" s="104"/>
      <c r="N14" s="104"/>
      <c r="O14" s="104"/>
      <c r="P14" s="104"/>
    </row>
    <row r="15">
      <c r="A15" s="134" t="s">
        <v>154</v>
      </c>
      <c r="B15" s="119">
        <v>839.0</v>
      </c>
      <c r="C15" s="119">
        <v>11.0</v>
      </c>
      <c r="D15" s="119">
        <v>170.0</v>
      </c>
      <c r="E15" s="119">
        <v>313.0</v>
      </c>
      <c r="F15" s="119">
        <v>8.0</v>
      </c>
      <c r="G15" s="135">
        <v>5090.0</v>
      </c>
      <c r="H15" s="119">
        <v>482.0</v>
      </c>
      <c r="I15" s="135">
        <v>2320.0</v>
      </c>
      <c r="J15" s="135">
        <v>9233.0</v>
      </c>
      <c r="K15" s="104"/>
      <c r="L15" s="104"/>
      <c r="M15" s="104"/>
      <c r="N15" s="104"/>
      <c r="O15" s="104"/>
      <c r="P15" s="104"/>
    </row>
    <row r="16">
      <c r="A16" s="134" t="s">
        <v>155</v>
      </c>
      <c r="B16" s="119">
        <v>854.0</v>
      </c>
      <c r="C16" s="119">
        <v>25.0</v>
      </c>
      <c r="D16" s="119">
        <v>159.0</v>
      </c>
      <c r="E16" s="119">
        <v>447.0</v>
      </c>
      <c r="F16" s="119">
        <v>12.0</v>
      </c>
      <c r="G16" s="135">
        <v>7029.0</v>
      </c>
      <c r="H16" s="119">
        <v>575.0</v>
      </c>
      <c r="I16" s="135">
        <v>2458.0</v>
      </c>
      <c r="J16" s="135">
        <v>11559.0</v>
      </c>
      <c r="K16" s="104"/>
      <c r="L16" s="104"/>
      <c r="M16" s="104"/>
      <c r="N16" s="104"/>
      <c r="O16" s="104"/>
      <c r="P16" s="104"/>
    </row>
    <row r="17">
      <c r="A17" s="134" t="s">
        <v>156</v>
      </c>
      <c r="B17" s="135">
        <v>1126.0</v>
      </c>
      <c r="C17" s="119">
        <v>31.0</v>
      </c>
      <c r="D17" s="119">
        <v>162.0</v>
      </c>
      <c r="E17" s="119">
        <v>437.0</v>
      </c>
      <c r="F17" s="119">
        <v>7.0</v>
      </c>
      <c r="G17" s="135">
        <v>5551.0</v>
      </c>
      <c r="H17" s="119">
        <v>343.0</v>
      </c>
      <c r="I17" s="135">
        <v>2952.0</v>
      </c>
      <c r="J17" s="135">
        <v>10609.0</v>
      </c>
      <c r="K17" s="104"/>
      <c r="L17" s="104"/>
      <c r="M17" s="104"/>
      <c r="N17" s="104"/>
      <c r="O17" s="104"/>
      <c r="P17" s="104"/>
    </row>
    <row r="18">
      <c r="A18" s="134" t="s">
        <v>157</v>
      </c>
      <c r="B18" s="135">
        <v>1170.0</v>
      </c>
      <c r="C18" s="119">
        <v>36.0</v>
      </c>
      <c r="D18" s="119">
        <v>189.0</v>
      </c>
      <c r="E18" s="119">
        <v>598.0</v>
      </c>
      <c r="F18" s="119">
        <v>22.0</v>
      </c>
      <c r="G18" s="135">
        <v>8686.0</v>
      </c>
      <c r="H18" s="119">
        <v>643.0</v>
      </c>
      <c r="I18" s="135">
        <v>2360.0</v>
      </c>
      <c r="J18" s="135">
        <v>13704.0</v>
      </c>
      <c r="K18" s="104"/>
      <c r="L18" s="104"/>
      <c r="M18" s="104"/>
      <c r="N18" s="104"/>
      <c r="O18" s="104"/>
      <c r="P18" s="104"/>
    </row>
    <row r="19">
      <c r="A19" s="134" t="s">
        <v>158</v>
      </c>
      <c r="B19" s="135">
        <v>770.0</v>
      </c>
      <c r="C19" s="135">
        <v>19.0</v>
      </c>
      <c r="D19" s="135">
        <v>139.0</v>
      </c>
      <c r="E19" s="135">
        <v>331.0</v>
      </c>
      <c r="F19" s="135">
        <v>17.0</v>
      </c>
      <c r="G19" s="135">
        <v>8946.0</v>
      </c>
      <c r="H19" s="135">
        <v>873.0</v>
      </c>
      <c r="I19" s="135">
        <v>1217.0</v>
      </c>
      <c r="J19" s="135">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1" t="s">
        <v>196</v>
      </c>
      <c r="H1" s="102"/>
      <c r="I1" s="103"/>
      <c r="J1" s="104"/>
      <c r="K1" s="105"/>
      <c r="L1" s="104"/>
      <c r="M1" s="105"/>
      <c r="N1" s="104"/>
      <c r="O1" s="124"/>
    </row>
    <row r="2">
      <c r="A2" s="106" t="s">
        <v>192</v>
      </c>
      <c r="N2" s="104"/>
      <c r="O2" s="104"/>
    </row>
    <row r="3">
      <c r="A3" s="106" t="s">
        <v>0</v>
      </c>
      <c r="B3" s="108">
        <v>44265.0</v>
      </c>
      <c r="C3" s="104"/>
      <c r="D3" s="104"/>
      <c r="E3" s="104"/>
      <c r="F3" s="104"/>
      <c r="G3" s="104"/>
      <c r="H3" s="104"/>
      <c r="I3" s="104"/>
      <c r="J3" s="104"/>
      <c r="K3" s="104"/>
      <c r="L3" s="104"/>
      <c r="M3" s="104"/>
      <c r="N3" s="104"/>
      <c r="O3" s="104"/>
    </row>
    <row r="4">
      <c r="A4" s="104"/>
      <c r="B4" s="104"/>
      <c r="C4" s="104"/>
      <c r="D4" s="104"/>
      <c r="E4" s="104"/>
      <c r="F4" s="104"/>
      <c r="G4" s="104"/>
      <c r="H4" s="104"/>
      <c r="I4" s="104"/>
      <c r="J4" s="104"/>
      <c r="K4" s="104"/>
      <c r="L4" s="104"/>
      <c r="M4" s="104"/>
      <c r="N4" s="104"/>
      <c r="O4" s="104"/>
    </row>
    <row r="5">
      <c r="A5" s="110" t="s">
        <v>197</v>
      </c>
      <c r="B5" s="111"/>
      <c r="C5" s="111"/>
      <c r="D5" s="111"/>
      <c r="E5" s="111"/>
      <c r="F5" s="111"/>
      <c r="G5" s="111"/>
      <c r="H5" s="111"/>
      <c r="I5" s="41"/>
      <c r="J5" s="158"/>
      <c r="K5" s="158"/>
      <c r="L5" s="158"/>
      <c r="M5" s="158"/>
      <c r="N5" s="158"/>
      <c r="O5" s="158"/>
    </row>
    <row r="6">
      <c r="A6" s="104"/>
      <c r="B6" s="104"/>
      <c r="C6" s="104"/>
      <c r="D6" s="104"/>
      <c r="E6" s="104"/>
      <c r="F6" s="104"/>
      <c r="G6" s="104"/>
      <c r="H6" s="104"/>
      <c r="I6" s="104"/>
      <c r="J6" s="104"/>
      <c r="K6" s="104"/>
      <c r="L6" s="104"/>
      <c r="M6" s="104"/>
      <c r="N6" s="104"/>
      <c r="O6" s="104"/>
    </row>
    <row r="7" ht="56.25" customHeight="1">
      <c r="A7" s="159" t="s">
        <v>181</v>
      </c>
      <c r="B7" s="154" t="s">
        <v>69</v>
      </c>
      <c r="C7" s="154" t="s">
        <v>70</v>
      </c>
      <c r="D7" s="155" t="s">
        <v>71</v>
      </c>
      <c r="E7" s="154" t="s">
        <v>72</v>
      </c>
      <c r="F7" s="154" t="s">
        <v>185</v>
      </c>
      <c r="G7" s="155" t="s">
        <v>74</v>
      </c>
      <c r="H7" s="155" t="s">
        <v>75</v>
      </c>
      <c r="I7" s="155" t="s">
        <v>105</v>
      </c>
      <c r="J7" s="104"/>
      <c r="K7" s="104"/>
      <c r="L7" s="104"/>
      <c r="M7" s="104"/>
      <c r="N7" s="104"/>
      <c r="O7" s="104"/>
    </row>
    <row r="8">
      <c r="A8" s="120" t="s">
        <v>162</v>
      </c>
      <c r="B8" s="139">
        <v>158858.0</v>
      </c>
      <c r="C8" s="160">
        <v>3708.0</v>
      </c>
      <c r="D8" s="160">
        <v>35128.0</v>
      </c>
      <c r="E8" s="139">
        <v>59001.0</v>
      </c>
      <c r="F8" s="151">
        <v>684.0</v>
      </c>
      <c r="G8" s="139">
        <v>767727.0</v>
      </c>
      <c r="H8" s="160">
        <v>7090.0</v>
      </c>
      <c r="I8" s="139">
        <v>1056611.0</v>
      </c>
      <c r="J8" s="104"/>
      <c r="K8" s="161"/>
      <c r="L8" s="104"/>
      <c r="M8" s="104"/>
      <c r="N8" s="104"/>
      <c r="O8" s="104"/>
    </row>
    <row r="9">
      <c r="A9" s="134" t="s">
        <v>147</v>
      </c>
      <c r="B9" s="119">
        <v>0.0</v>
      </c>
      <c r="C9" s="119">
        <v>0.0</v>
      </c>
      <c r="D9" s="119">
        <v>0.0</v>
      </c>
      <c r="E9" s="119">
        <v>0.0</v>
      </c>
      <c r="F9" s="119">
        <v>0.0</v>
      </c>
      <c r="G9" s="119">
        <v>0.0</v>
      </c>
      <c r="H9" s="119">
        <v>0.0</v>
      </c>
      <c r="I9" s="119">
        <v>0.0</v>
      </c>
      <c r="J9" s="104"/>
      <c r="K9" s="104"/>
      <c r="L9" s="104"/>
      <c r="M9" s="104"/>
      <c r="N9" s="104"/>
      <c r="O9" s="104"/>
    </row>
    <row r="10">
      <c r="A10" s="134" t="s">
        <v>148</v>
      </c>
      <c r="B10" s="119">
        <v>0.0</v>
      </c>
      <c r="C10" s="119">
        <v>0.0</v>
      </c>
      <c r="D10" s="119">
        <v>0.0</v>
      </c>
      <c r="E10" s="119">
        <v>0.0</v>
      </c>
      <c r="F10" s="119">
        <v>0.0</v>
      </c>
      <c r="G10" s="119">
        <v>0.0</v>
      </c>
      <c r="H10" s="119">
        <v>0.0</v>
      </c>
      <c r="I10" s="119">
        <v>0.0</v>
      </c>
      <c r="J10" s="104"/>
      <c r="K10" s="104"/>
      <c r="L10" s="104"/>
      <c r="M10" s="104"/>
      <c r="N10" s="104"/>
      <c r="O10" s="104"/>
    </row>
    <row r="11">
      <c r="A11" s="134" t="s">
        <v>149</v>
      </c>
      <c r="B11" s="119" t="s">
        <v>163</v>
      </c>
      <c r="C11" s="119">
        <v>0.0</v>
      </c>
      <c r="D11" s="119" t="s">
        <v>163</v>
      </c>
      <c r="E11" s="119" t="s">
        <v>163</v>
      </c>
      <c r="F11" s="119">
        <v>0.0</v>
      </c>
      <c r="G11" s="119">
        <v>1.0</v>
      </c>
      <c r="H11" s="119" t="s">
        <v>163</v>
      </c>
      <c r="I11" s="119">
        <v>2.0</v>
      </c>
      <c r="J11" s="104"/>
      <c r="K11" s="104"/>
      <c r="L11" s="104"/>
      <c r="M11" s="104"/>
      <c r="N11" s="104"/>
      <c r="O11" s="104"/>
    </row>
    <row r="12">
      <c r="A12" s="134" t="s">
        <v>150</v>
      </c>
      <c r="B12" s="119">
        <v>76.0</v>
      </c>
      <c r="C12" s="119" t="s">
        <v>163</v>
      </c>
      <c r="D12" s="119">
        <v>302.0</v>
      </c>
      <c r="E12" s="119">
        <v>161.0</v>
      </c>
      <c r="F12" s="119">
        <v>731.0</v>
      </c>
      <c r="G12" s="119">
        <v>328.0</v>
      </c>
      <c r="H12" s="135">
        <v>4203.0</v>
      </c>
      <c r="I12" s="119">
        <v>331.0</v>
      </c>
      <c r="J12" s="104"/>
      <c r="K12" s="104"/>
      <c r="L12" s="104"/>
      <c r="M12" s="104"/>
      <c r="N12" s="104"/>
      <c r="O12" s="104"/>
    </row>
    <row r="13">
      <c r="A13" s="134" t="s">
        <v>151</v>
      </c>
      <c r="B13" s="119">
        <v>171.0</v>
      </c>
      <c r="C13" s="119">
        <v>189.0</v>
      </c>
      <c r="D13" s="119">
        <v>364.0</v>
      </c>
      <c r="E13" s="119">
        <v>315.0</v>
      </c>
      <c r="F13" s="135">
        <v>1023.0</v>
      </c>
      <c r="G13" s="119">
        <v>527.0</v>
      </c>
      <c r="H13" s="135">
        <v>8378.0</v>
      </c>
      <c r="I13" s="119">
        <v>538.0</v>
      </c>
      <c r="J13" s="104"/>
      <c r="K13" s="104"/>
      <c r="L13" s="104"/>
      <c r="M13" s="104"/>
      <c r="N13" s="104"/>
      <c r="O13" s="104"/>
    </row>
    <row r="14">
      <c r="A14" s="134" t="s">
        <v>152</v>
      </c>
      <c r="B14" s="119">
        <v>74.0</v>
      </c>
      <c r="C14" s="119" t="s">
        <v>163</v>
      </c>
      <c r="D14" s="119">
        <v>91.0</v>
      </c>
      <c r="E14" s="119">
        <v>131.0</v>
      </c>
      <c r="F14" s="119" t="s">
        <v>163</v>
      </c>
      <c r="G14" s="119">
        <v>168.0</v>
      </c>
      <c r="H14" s="135">
        <v>2609.0</v>
      </c>
      <c r="I14" s="119">
        <v>345.0</v>
      </c>
      <c r="J14" s="104"/>
      <c r="K14" s="104"/>
      <c r="L14" s="104"/>
      <c r="M14" s="104"/>
      <c r="N14" s="104"/>
      <c r="O14" s="104"/>
    </row>
    <row r="15">
      <c r="A15" s="134" t="s">
        <v>153</v>
      </c>
      <c r="B15" s="119">
        <v>510.0</v>
      </c>
      <c r="C15" s="119">
        <v>351.0</v>
      </c>
      <c r="D15" s="119">
        <v>362.0</v>
      </c>
      <c r="E15" s="119">
        <v>439.0</v>
      </c>
      <c r="F15" s="135">
        <v>1608.0</v>
      </c>
      <c r="G15" s="119">
        <v>873.0</v>
      </c>
      <c r="H15" s="135">
        <v>9027.0</v>
      </c>
      <c r="I15" s="135">
        <v>1166.0</v>
      </c>
      <c r="J15" s="104"/>
      <c r="K15" s="104"/>
      <c r="L15" s="104"/>
      <c r="M15" s="104"/>
      <c r="N15" s="104"/>
      <c r="O15" s="104"/>
    </row>
    <row r="16">
      <c r="A16" s="134" t="s">
        <v>154</v>
      </c>
      <c r="B16" s="119">
        <v>528.0</v>
      </c>
      <c r="C16" s="119">
        <v>297.0</v>
      </c>
      <c r="D16" s="119">
        <v>484.0</v>
      </c>
      <c r="E16" s="119">
        <v>530.0</v>
      </c>
      <c r="F16" s="135">
        <v>1170.0</v>
      </c>
      <c r="G16" s="119">
        <v>663.0</v>
      </c>
      <c r="H16" s="135">
        <v>6798.0</v>
      </c>
      <c r="I16" s="119">
        <v>874.0</v>
      </c>
      <c r="J16" s="104"/>
      <c r="K16" s="104"/>
      <c r="L16" s="104"/>
      <c r="M16" s="104"/>
      <c r="N16" s="104"/>
      <c r="O16" s="104"/>
    </row>
    <row r="17">
      <c r="A17" s="134" t="s">
        <v>155</v>
      </c>
      <c r="B17" s="119">
        <v>538.0</v>
      </c>
      <c r="C17" s="119">
        <v>674.0</v>
      </c>
      <c r="D17" s="119">
        <v>453.0</v>
      </c>
      <c r="E17" s="119">
        <v>758.0</v>
      </c>
      <c r="F17" s="135">
        <v>1754.0</v>
      </c>
      <c r="G17" s="119">
        <v>916.0</v>
      </c>
      <c r="H17" s="135">
        <v>8110.0</v>
      </c>
      <c r="I17" s="135">
        <v>1094.0</v>
      </c>
      <c r="J17" s="104"/>
      <c r="K17" s="104"/>
      <c r="L17" s="104"/>
      <c r="M17" s="104"/>
      <c r="N17" s="104"/>
      <c r="O17" s="104"/>
    </row>
    <row r="18">
      <c r="A18" s="134" t="s">
        <v>156</v>
      </c>
      <c r="B18" s="119">
        <v>709.0</v>
      </c>
      <c r="C18" s="119">
        <v>836.0</v>
      </c>
      <c r="D18" s="119">
        <v>461.0</v>
      </c>
      <c r="E18" s="119">
        <v>741.0</v>
      </c>
      <c r="F18" s="135">
        <v>1023.0</v>
      </c>
      <c r="G18" s="119">
        <v>723.0</v>
      </c>
      <c r="H18" s="135">
        <v>4838.0</v>
      </c>
      <c r="I18" s="135">
        <v>1004.0</v>
      </c>
      <c r="J18" s="104"/>
      <c r="K18" s="104"/>
      <c r="L18" s="104"/>
      <c r="M18" s="104"/>
      <c r="N18" s="104"/>
      <c r="O18" s="104"/>
    </row>
    <row r="19">
      <c r="A19" s="134" t="s">
        <v>157</v>
      </c>
      <c r="B19" s="119">
        <v>737.0</v>
      </c>
      <c r="C19" s="119">
        <v>971.0</v>
      </c>
      <c r="D19" s="119">
        <v>538.0</v>
      </c>
      <c r="E19" s="135">
        <v>1014.0</v>
      </c>
      <c r="F19" s="135">
        <v>3216.0</v>
      </c>
      <c r="G19" s="135">
        <v>1131.0</v>
      </c>
      <c r="H19" s="135">
        <v>9069.0</v>
      </c>
      <c r="I19" s="135">
        <v>1297.0</v>
      </c>
      <c r="J19" s="104"/>
      <c r="K19" s="104"/>
      <c r="L19" s="104"/>
      <c r="M19" s="104"/>
      <c r="N19" s="104"/>
      <c r="O19" s="104"/>
    </row>
    <row r="20">
      <c r="A20" s="134" t="s">
        <v>158</v>
      </c>
      <c r="B20" s="119">
        <v>485.0</v>
      </c>
      <c r="C20" s="119">
        <v>512.0</v>
      </c>
      <c r="D20" s="119">
        <v>396.0</v>
      </c>
      <c r="E20" s="119">
        <v>561.0</v>
      </c>
      <c r="F20" s="119">
        <v>2485.0</v>
      </c>
      <c r="G20" s="119">
        <v>1165.0</v>
      </c>
      <c r="H20" s="119">
        <v>12313.0</v>
      </c>
      <c r="I20" s="119">
        <v>1165.0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2" t="s">
        <v>198</v>
      </c>
      <c r="H1" s="104"/>
      <c r="I1" s="104"/>
      <c r="J1" s="104"/>
      <c r="K1" s="104"/>
      <c r="L1" s="104"/>
      <c r="M1" s="104"/>
      <c r="N1" s="104"/>
      <c r="O1" s="104"/>
      <c r="P1" s="104"/>
      <c r="Q1" s="104"/>
      <c r="R1" s="104"/>
      <c r="S1" s="104"/>
      <c r="T1" s="104"/>
      <c r="U1" s="104"/>
    </row>
    <row r="2">
      <c r="A2" s="163" t="s">
        <v>199</v>
      </c>
      <c r="M2" s="104"/>
      <c r="N2" s="104"/>
      <c r="O2" s="104"/>
      <c r="P2" s="104"/>
      <c r="Q2" s="104"/>
      <c r="R2" s="104"/>
      <c r="S2" s="104"/>
      <c r="T2" s="104"/>
      <c r="U2" s="104"/>
    </row>
    <row r="3">
      <c r="A3" s="163" t="s">
        <v>200</v>
      </c>
      <c r="B3" s="99">
        <v>44259.0</v>
      </c>
      <c r="C3" s="104"/>
      <c r="D3" s="104"/>
      <c r="E3" s="104"/>
      <c r="F3" s="104"/>
      <c r="G3" s="104"/>
      <c r="H3" s="104"/>
      <c r="I3" s="104"/>
      <c r="J3" s="104"/>
      <c r="K3" s="104"/>
      <c r="L3" s="104"/>
      <c r="M3" s="104"/>
      <c r="N3" s="104"/>
      <c r="O3" s="104"/>
      <c r="P3" s="104"/>
      <c r="Q3" s="104"/>
      <c r="R3" s="104"/>
      <c r="S3" s="104"/>
      <c r="T3" s="104"/>
      <c r="U3" s="104"/>
    </row>
    <row r="4">
      <c r="A4" s="104"/>
      <c r="B4" s="104"/>
      <c r="C4" s="104"/>
      <c r="D4" s="104"/>
      <c r="E4" s="104"/>
      <c r="F4" s="104"/>
      <c r="G4" s="104"/>
      <c r="H4" s="104"/>
      <c r="I4" s="104"/>
      <c r="J4" s="104"/>
      <c r="K4" s="104"/>
      <c r="L4" s="104"/>
      <c r="M4" s="104"/>
      <c r="N4" s="104"/>
      <c r="O4" s="104"/>
      <c r="P4" s="104"/>
      <c r="Q4" s="104"/>
      <c r="R4" s="104"/>
      <c r="S4" s="104"/>
      <c r="T4" s="104"/>
      <c r="U4" s="104"/>
    </row>
    <row r="5" ht="58.5" customHeight="1">
      <c r="A5" s="164" t="s">
        <v>201</v>
      </c>
      <c r="B5" s="111"/>
      <c r="C5" s="111"/>
      <c r="D5" s="111"/>
      <c r="E5" s="111"/>
      <c r="F5" s="111"/>
      <c r="G5" s="111"/>
      <c r="H5" s="111"/>
      <c r="I5" s="41"/>
      <c r="J5" s="165"/>
      <c r="K5" s="165"/>
      <c r="L5" s="165"/>
      <c r="M5" s="104"/>
      <c r="N5" s="104"/>
      <c r="O5" s="104"/>
      <c r="P5" s="104"/>
      <c r="Q5" s="104"/>
      <c r="R5" s="104"/>
      <c r="S5" s="104"/>
      <c r="T5" s="104"/>
      <c r="U5" s="104"/>
    </row>
    <row r="6">
      <c r="A6" s="166"/>
      <c r="B6" s="104"/>
      <c r="C6" s="104"/>
      <c r="D6" s="104"/>
      <c r="E6" s="104"/>
      <c r="F6" s="104"/>
      <c r="G6" s="104"/>
      <c r="H6" s="104"/>
      <c r="I6" s="104"/>
      <c r="J6" s="104"/>
      <c r="K6" s="104"/>
      <c r="L6" s="104"/>
      <c r="M6" s="104"/>
      <c r="N6" s="104"/>
      <c r="O6" s="104"/>
      <c r="P6" s="104"/>
      <c r="Q6" s="104"/>
      <c r="R6" s="104"/>
      <c r="S6" s="104"/>
      <c r="T6" s="104"/>
      <c r="U6" s="104"/>
    </row>
    <row r="7" ht="30.0" customHeight="1">
      <c r="A7" s="167"/>
      <c r="B7" s="168" t="s">
        <v>202</v>
      </c>
      <c r="C7" s="41"/>
      <c r="D7" s="168" t="s">
        <v>203</v>
      </c>
      <c r="E7" s="41"/>
      <c r="F7" s="169" t="s">
        <v>204</v>
      </c>
      <c r="G7" s="41"/>
      <c r="H7" s="168" t="s">
        <v>205</v>
      </c>
      <c r="I7" s="41"/>
      <c r="J7" s="168" t="s">
        <v>206</v>
      </c>
      <c r="K7" s="41"/>
      <c r="L7" s="169" t="s">
        <v>207</v>
      </c>
      <c r="M7" s="41"/>
      <c r="N7" s="169" t="s">
        <v>208</v>
      </c>
      <c r="O7" s="41"/>
      <c r="P7" s="169" t="s">
        <v>209</v>
      </c>
      <c r="Q7" s="41"/>
    </row>
    <row r="8">
      <c r="A8" s="170" t="s">
        <v>210</v>
      </c>
      <c r="B8" s="171" t="s">
        <v>211</v>
      </c>
      <c r="C8" s="171" t="s">
        <v>212</v>
      </c>
      <c r="D8" s="171" t="s">
        <v>211</v>
      </c>
      <c r="E8" s="171" t="s">
        <v>212</v>
      </c>
      <c r="F8" s="171" t="s">
        <v>211</v>
      </c>
      <c r="G8" s="171" t="s">
        <v>212</v>
      </c>
      <c r="H8" s="171" t="s">
        <v>211</v>
      </c>
      <c r="I8" s="171" t="s">
        <v>212</v>
      </c>
      <c r="J8" s="171" t="s">
        <v>211</v>
      </c>
      <c r="K8" s="171" t="s">
        <v>212</v>
      </c>
      <c r="L8" s="171" t="s">
        <v>211</v>
      </c>
      <c r="M8" s="171" t="s">
        <v>212</v>
      </c>
      <c r="N8" s="171" t="s">
        <v>211</v>
      </c>
      <c r="O8" s="171" t="s">
        <v>212</v>
      </c>
      <c r="P8" s="171" t="s">
        <v>211</v>
      </c>
      <c r="Q8" s="171" t="s">
        <v>212</v>
      </c>
      <c r="R8" s="113"/>
      <c r="S8" s="113"/>
      <c r="T8" s="113"/>
      <c r="U8" s="113"/>
    </row>
    <row r="9">
      <c r="A9" s="172">
        <v>43891.0</v>
      </c>
      <c r="B9" s="119">
        <v>31.0</v>
      </c>
      <c r="C9" s="119">
        <v>38.0</v>
      </c>
      <c r="D9" s="119" t="s">
        <v>55</v>
      </c>
      <c r="E9" s="119">
        <v>37.0</v>
      </c>
      <c r="F9" s="119">
        <v>14.0</v>
      </c>
      <c r="G9" s="119">
        <v>14.0</v>
      </c>
      <c r="H9" s="119">
        <v>52.0</v>
      </c>
      <c r="I9" s="119">
        <v>56.0</v>
      </c>
      <c r="J9" s="119">
        <v>0.0</v>
      </c>
      <c r="K9" s="119">
        <v>0.0</v>
      </c>
      <c r="L9" s="119">
        <v>33.0</v>
      </c>
      <c r="M9" s="119">
        <v>27.0</v>
      </c>
      <c r="N9" s="119">
        <v>10.0</v>
      </c>
      <c r="O9" s="119">
        <v>20.0</v>
      </c>
      <c r="P9" s="119">
        <v>0.0</v>
      </c>
      <c r="Q9" s="119">
        <v>0.0</v>
      </c>
      <c r="R9" s="104"/>
      <c r="S9" s="104"/>
      <c r="T9" s="104"/>
      <c r="U9" s="104"/>
    </row>
    <row r="10">
      <c r="A10" s="172">
        <v>43922.0</v>
      </c>
      <c r="B10" s="135">
        <v>1785.0</v>
      </c>
      <c r="C10" s="135">
        <v>1997.0</v>
      </c>
      <c r="D10" s="119">
        <v>584.0</v>
      </c>
      <c r="E10" s="119">
        <v>627.0</v>
      </c>
      <c r="F10" s="119">
        <v>300.0</v>
      </c>
      <c r="G10" s="119">
        <v>318.0</v>
      </c>
      <c r="H10" s="135">
        <v>1239.0</v>
      </c>
      <c r="I10" s="135">
        <v>1318.0</v>
      </c>
      <c r="J10" s="119">
        <v>0.0</v>
      </c>
      <c r="K10" s="119">
        <v>0.0</v>
      </c>
      <c r="L10" s="119">
        <v>338.0</v>
      </c>
      <c r="M10" s="119">
        <v>278.0</v>
      </c>
      <c r="N10" s="119">
        <v>108.0</v>
      </c>
      <c r="O10" s="119">
        <v>172.0</v>
      </c>
      <c r="P10" s="119">
        <v>104.0</v>
      </c>
      <c r="Q10" s="119">
        <v>137.0</v>
      </c>
      <c r="R10" s="104"/>
      <c r="S10" s="104"/>
      <c r="T10" s="104"/>
      <c r="U10" s="104"/>
    </row>
    <row r="11">
      <c r="A11" s="172">
        <v>43952.0</v>
      </c>
      <c r="B11" s="135">
        <v>1544.0</v>
      </c>
      <c r="C11" s="135">
        <v>1693.0</v>
      </c>
      <c r="D11" s="119">
        <v>328.0</v>
      </c>
      <c r="E11" s="119">
        <v>354.0</v>
      </c>
      <c r="F11" s="119">
        <v>311.0</v>
      </c>
      <c r="G11" s="119">
        <v>314.0</v>
      </c>
      <c r="H11" s="119">
        <v>953.0</v>
      </c>
      <c r="I11" s="119">
        <v>985.0</v>
      </c>
      <c r="J11" s="119">
        <v>0.0</v>
      </c>
      <c r="K11" s="119">
        <v>0.0</v>
      </c>
      <c r="L11" s="119">
        <v>209.0</v>
      </c>
      <c r="M11" s="119">
        <v>173.0</v>
      </c>
      <c r="N11" s="119">
        <v>151.0</v>
      </c>
      <c r="O11" s="119">
        <v>202.0</v>
      </c>
      <c r="P11" s="119">
        <v>70.0</v>
      </c>
      <c r="Q11" s="119">
        <v>80.0</v>
      </c>
      <c r="R11" s="104"/>
      <c r="S11" s="104"/>
      <c r="T11" s="104"/>
      <c r="U11" s="104"/>
    </row>
    <row r="12">
      <c r="A12" s="172">
        <v>43983.0</v>
      </c>
      <c r="B12" s="119">
        <v>518.0</v>
      </c>
      <c r="C12" s="119">
        <v>565.0</v>
      </c>
      <c r="D12" s="119" t="s">
        <v>55</v>
      </c>
      <c r="E12" s="119">
        <v>49.0</v>
      </c>
      <c r="F12" s="119">
        <v>87.0</v>
      </c>
      <c r="G12" s="119">
        <v>80.0</v>
      </c>
      <c r="H12" s="119">
        <v>279.0</v>
      </c>
      <c r="I12" s="119">
        <v>277.0</v>
      </c>
      <c r="J12" s="119">
        <v>0.0</v>
      </c>
      <c r="K12" s="119">
        <v>0.0</v>
      </c>
      <c r="L12" s="119">
        <v>65.0</v>
      </c>
      <c r="M12" s="119">
        <v>58.0</v>
      </c>
      <c r="N12" s="119">
        <v>34.0</v>
      </c>
      <c r="O12" s="119">
        <v>41.0</v>
      </c>
      <c r="P12" s="119">
        <v>37.0</v>
      </c>
      <c r="Q12" s="119">
        <v>32.0</v>
      </c>
      <c r="R12" s="104"/>
      <c r="S12" s="104"/>
      <c r="T12" s="104"/>
      <c r="U12" s="104"/>
    </row>
    <row r="13">
      <c r="A13" s="172">
        <v>44013.0</v>
      </c>
      <c r="B13" s="119">
        <v>530.0</v>
      </c>
      <c r="C13" s="119">
        <v>543.0</v>
      </c>
      <c r="D13" s="119">
        <v>109.0</v>
      </c>
      <c r="E13" s="119">
        <v>104.0</v>
      </c>
      <c r="F13" s="119">
        <v>146.0</v>
      </c>
      <c r="G13" s="119">
        <v>136.0</v>
      </c>
      <c r="H13" s="119">
        <v>371.0</v>
      </c>
      <c r="I13" s="119">
        <v>356.0</v>
      </c>
      <c r="J13" s="119">
        <v>0.0</v>
      </c>
      <c r="K13" s="119">
        <v>0.0</v>
      </c>
      <c r="L13" s="119">
        <v>102.0</v>
      </c>
      <c r="M13" s="119">
        <v>102.0</v>
      </c>
      <c r="N13" s="119">
        <v>88.0</v>
      </c>
      <c r="O13" s="119">
        <v>102.0</v>
      </c>
      <c r="P13" s="119">
        <v>119.0</v>
      </c>
      <c r="Q13" s="119">
        <v>122.0</v>
      </c>
      <c r="R13" s="104"/>
      <c r="S13" s="104"/>
      <c r="T13" s="104"/>
      <c r="U13" s="104"/>
    </row>
    <row r="14">
      <c r="A14" s="172">
        <v>44044.0</v>
      </c>
      <c r="B14" s="119">
        <v>792.0</v>
      </c>
      <c r="C14" s="119">
        <v>832.0</v>
      </c>
      <c r="D14" s="119" t="s">
        <v>55</v>
      </c>
      <c r="E14" s="119">
        <v>79.0</v>
      </c>
      <c r="F14" s="119">
        <v>129.0</v>
      </c>
      <c r="G14" s="119">
        <v>122.0</v>
      </c>
      <c r="H14" s="119">
        <v>329.0</v>
      </c>
      <c r="I14" s="119">
        <v>323.0</v>
      </c>
      <c r="J14" s="119">
        <v>0.0</v>
      </c>
      <c r="K14" s="119">
        <v>0.0</v>
      </c>
      <c r="L14" s="119">
        <v>113.0</v>
      </c>
      <c r="M14" s="119">
        <v>110.0</v>
      </c>
      <c r="N14" s="119">
        <v>60.0</v>
      </c>
      <c r="O14" s="119">
        <v>69.0</v>
      </c>
      <c r="P14" s="119">
        <v>113.0</v>
      </c>
      <c r="Q14" s="119">
        <v>130.0</v>
      </c>
      <c r="R14" s="104"/>
      <c r="S14" s="104"/>
      <c r="T14" s="104"/>
      <c r="U14" s="104"/>
    </row>
    <row r="15">
      <c r="A15" s="172">
        <v>44075.0</v>
      </c>
      <c r="B15" s="119">
        <v>574.0</v>
      </c>
      <c r="C15" s="119">
        <v>585.0</v>
      </c>
      <c r="D15" s="119">
        <v>128.0</v>
      </c>
      <c r="E15" s="119">
        <v>113.0</v>
      </c>
      <c r="F15" s="119">
        <v>109.0</v>
      </c>
      <c r="G15" s="119">
        <v>104.0</v>
      </c>
      <c r="H15" s="119">
        <v>373.0</v>
      </c>
      <c r="I15" s="119">
        <v>381.0</v>
      </c>
      <c r="J15" s="119">
        <v>0.0</v>
      </c>
      <c r="K15" s="119">
        <v>0.0</v>
      </c>
      <c r="L15" s="119">
        <v>164.0</v>
      </c>
      <c r="M15" s="119">
        <v>158.0</v>
      </c>
      <c r="N15" s="119">
        <v>91.0</v>
      </c>
      <c r="O15" s="119">
        <v>111.0</v>
      </c>
      <c r="P15" s="119">
        <v>83.0</v>
      </c>
      <c r="Q15" s="119">
        <v>81.0</v>
      </c>
      <c r="R15" s="104"/>
      <c r="S15" s="104"/>
      <c r="T15" s="104"/>
      <c r="U15" s="104"/>
    </row>
    <row r="16">
      <c r="A16" s="172">
        <v>44105.0</v>
      </c>
      <c r="B16" s="135">
        <v>1617.0</v>
      </c>
      <c r="C16" s="135">
        <v>1737.0</v>
      </c>
      <c r="D16" s="119">
        <v>346.0</v>
      </c>
      <c r="E16" s="119">
        <v>374.0</v>
      </c>
      <c r="F16" s="119">
        <v>303.0</v>
      </c>
      <c r="G16" s="119">
        <v>285.0</v>
      </c>
      <c r="H16" s="119">
        <v>830.0</v>
      </c>
      <c r="I16" s="119">
        <v>829.0</v>
      </c>
      <c r="J16" s="119">
        <v>0.0</v>
      </c>
      <c r="K16" s="119">
        <v>0.0</v>
      </c>
      <c r="L16" s="119">
        <v>495.0</v>
      </c>
      <c r="M16" s="119">
        <v>489.0</v>
      </c>
      <c r="N16" s="119">
        <v>291.0</v>
      </c>
      <c r="O16" s="119">
        <v>333.0</v>
      </c>
      <c r="P16" s="119">
        <v>220.0</v>
      </c>
      <c r="Q16" s="119">
        <v>218.0</v>
      </c>
      <c r="R16" s="104"/>
      <c r="S16" s="104"/>
      <c r="T16" s="104"/>
      <c r="U16" s="104"/>
    </row>
    <row r="17">
      <c r="A17" s="172">
        <v>44136.0</v>
      </c>
      <c r="B17" s="135">
        <v>3801.0</v>
      </c>
      <c r="C17" s="135">
        <v>4023.0</v>
      </c>
      <c r="D17" s="119">
        <v>711.0</v>
      </c>
      <c r="E17" s="119">
        <v>764.0</v>
      </c>
      <c r="F17" s="135">
        <v>1152.0</v>
      </c>
      <c r="G17" s="135">
        <v>1155.0</v>
      </c>
      <c r="H17" s="135">
        <v>1877.0</v>
      </c>
      <c r="I17" s="135">
        <v>1913.0</v>
      </c>
      <c r="J17" s="119">
        <v>0.0</v>
      </c>
      <c r="K17" s="119">
        <v>0.0</v>
      </c>
      <c r="L17" s="135">
        <v>1512.0</v>
      </c>
      <c r="M17" s="135">
        <v>1467.0</v>
      </c>
      <c r="N17" s="119">
        <v>834.0</v>
      </c>
      <c r="O17" s="135">
        <v>1022.0</v>
      </c>
      <c r="P17" s="119">
        <v>605.0</v>
      </c>
      <c r="Q17" s="119">
        <v>650.0</v>
      </c>
      <c r="R17" s="104"/>
      <c r="S17" s="104"/>
      <c r="T17" s="104"/>
      <c r="U17" s="104"/>
    </row>
    <row r="18">
      <c r="A18" s="173">
        <v>44166.0</v>
      </c>
      <c r="B18" s="135">
        <v>4226.0</v>
      </c>
      <c r="C18" s="135">
        <v>4460.0</v>
      </c>
      <c r="D18" s="135">
        <v>930.0</v>
      </c>
      <c r="E18" s="135">
        <v>967.0</v>
      </c>
      <c r="F18" s="135">
        <v>1915.0</v>
      </c>
      <c r="G18" s="135">
        <v>1886.0</v>
      </c>
      <c r="H18" s="135">
        <v>2292.0</v>
      </c>
      <c r="I18" s="135">
        <v>2293.0</v>
      </c>
      <c r="J18" s="119">
        <v>0.0</v>
      </c>
      <c r="K18" s="119">
        <v>0.0</v>
      </c>
      <c r="L18" s="135">
        <v>2203.0</v>
      </c>
      <c r="M18" s="135">
        <v>2159.0</v>
      </c>
      <c r="N18" s="135">
        <v>1099.0</v>
      </c>
      <c r="O18" s="135">
        <v>1360.0</v>
      </c>
      <c r="P18" s="135">
        <v>975.0</v>
      </c>
      <c r="Q18" s="135">
        <v>985.0</v>
      </c>
      <c r="R18" s="104"/>
      <c r="S18" s="104"/>
      <c r="T18" s="104"/>
      <c r="U18" s="104"/>
    </row>
    <row r="19">
      <c r="A19" s="173">
        <v>44197.0</v>
      </c>
      <c r="B19" s="135">
        <v>2978.0</v>
      </c>
      <c r="C19" s="135">
        <v>3081.0</v>
      </c>
      <c r="D19" s="135">
        <v>1422.0</v>
      </c>
      <c r="E19" s="135">
        <v>1393.0</v>
      </c>
      <c r="F19" s="135">
        <v>1458.0</v>
      </c>
      <c r="G19" s="135">
        <v>1466.0</v>
      </c>
      <c r="H19" s="135">
        <v>1925.0</v>
      </c>
      <c r="I19" s="135">
        <v>1939.0</v>
      </c>
      <c r="J19" s="119">
        <v>0.0</v>
      </c>
      <c r="K19" s="119">
        <v>0.0</v>
      </c>
      <c r="L19" s="135">
        <v>1836.0</v>
      </c>
      <c r="M19" s="135">
        <v>1826.0</v>
      </c>
      <c r="N19" s="135">
        <v>917.0</v>
      </c>
      <c r="O19" s="135">
        <v>1023.0</v>
      </c>
      <c r="P19" s="135">
        <v>972.0</v>
      </c>
      <c r="Q19" s="135">
        <v>1000.0</v>
      </c>
      <c r="R19" s="104"/>
      <c r="S19" s="104"/>
      <c r="T19" s="104"/>
      <c r="U19" s="104"/>
    </row>
    <row r="20">
      <c r="A20" s="173">
        <v>44228.0</v>
      </c>
      <c r="B20" s="135">
        <v>1164.0</v>
      </c>
      <c r="C20" s="135">
        <v>1179.0</v>
      </c>
      <c r="D20" s="135">
        <v>930.0</v>
      </c>
      <c r="E20" s="135">
        <v>926.0</v>
      </c>
      <c r="F20" s="135">
        <v>662.0</v>
      </c>
      <c r="G20" s="135">
        <v>637.0</v>
      </c>
      <c r="H20" s="135">
        <v>731.0</v>
      </c>
      <c r="I20" s="135">
        <v>716.0</v>
      </c>
      <c r="J20" s="119">
        <v>0.0</v>
      </c>
      <c r="K20" s="119">
        <v>0.0</v>
      </c>
      <c r="L20" s="135">
        <v>693.0</v>
      </c>
      <c r="M20" s="135">
        <v>703.0</v>
      </c>
      <c r="N20" s="135">
        <v>344.0</v>
      </c>
      <c r="O20" s="135">
        <v>353.0</v>
      </c>
      <c r="P20" s="135">
        <v>394.0</v>
      </c>
      <c r="Q20" s="135">
        <v>413.0</v>
      </c>
      <c r="R20" s="104"/>
      <c r="S20" s="104"/>
      <c r="T20" s="104"/>
      <c r="U20" s="104"/>
    </row>
    <row r="21">
      <c r="A21" s="174" t="s">
        <v>105</v>
      </c>
      <c r="B21" s="175">
        <v>19559.0</v>
      </c>
      <c r="C21" s="175">
        <v>20733.0</v>
      </c>
      <c r="D21" s="175">
        <v>5671.0</v>
      </c>
      <c r="E21" s="175">
        <v>5787.0</v>
      </c>
      <c r="F21" s="175">
        <v>6587.0</v>
      </c>
      <c r="G21" s="175">
        <v>6519.0</v>
      </c>
      <c r="H21" s="175">
        <v>11250.0</v>
      </c>
      <c r="I21" s="175">
        <v>11388.0</v>
      </c>
      <c r="J21" s="176">
        <v>0.0</v>
      </c>
      <c r="K21" s="176">
        <v>0.0</v>
      </c>
      <c r="L21" s="175">
        <v>7762.0</v>
      </c>
      <c r="M21" s="175">
        <v>7549.0</v>
      </c>
      <c r="N21" s="175">
        <v>4028.0</v>
      </c>
      <c r="O21" s="175">
        <v>4808.0</v>
      </c>
      <c r="P21" s="175">
        <v>3693.0</v>
      </c>
      <c r="Q21" s="175">
        <v>3849.0</v>
      </c>
      <c r="R21" s="104"/>
      <c r="S21" s="104"/>
      <c r="T21" s="104"/>
      <c r="U21" s="104"/>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2" t="s">
        <v>213</v>
      </c>
      <c r="J1" s="104"/>
      <c r="K1" s="104"/>
      <c r="L1" s="104"/>
      <c r="M1" s="104"/>
      <c r="N1" s="104"/>
      <c r="O1" s="104"/>
      <c r="P1" s="104"/>
      <c r="Q1" s="104"/>
      <c r="R1" s="104"/>
      <c r="S1" s="104"/>
      <c r="T1" s="104"/>
      <c r="U1" s="104"/>
    </row>
    <row r="2">
      <c r="A2" s="177" t="s">
        <v>214</v>
      </c>
      <c r="Q2" s="104"/>
      <c r="R2" s="104"/>
      <c r="S2" s="104"/>
      <c r="T2" s="104"/>
      <c r="U2" s="104"/>
    </row>
    <row r="3">
      <c r="A3" s="163" t="s">
        <v>200</v>
      </c>
      <c r="B3" s="99">
        <v>44259.0</v>
      </c>
      <c r="C3" s="104"/>
      <c r="D3" s="104"/>
      <c r="E3" s="104"/>
      <c r="F3" s="104"/>
      <c r="G3" s="104"/>
      <c r="H3" s="104"/>
      <c r="I3" s="104"/>
      <c r="J3" s="104"/>
      <c r="K3" s="104"/>
      <c r="L3" s="104"/>
      <c r="M3" s="104"/>
      <c r="N3" s="104"/>
      <c r="O3" s="104"/>
      <c r="P3" s="104"/>
      <c r="Q3" s="104"/>
      <c r="R3" s="104"/>
      <c r="S3" s="104"/>
      <c r="T3" s="104"/>
      <c r="U3" s="104"/>
    </row>
    <row r="4">
      <c r="A4" s="104"/>
      <c r="B4" s="104"/>
      <c r="C4" s="104"/>
      <c r="D4" s="104"/>
      <c r="E4" s="104"/>
      <c r="F4" s="104"/>
      <c r="G4" s="104"/>
      <c r="H4" s="104"/>
      <c r="I4" s="104"/>
      <c r="J4" s="104"/>
      <c r="K4" s="104"/>
      <c r="L4" s="104"/>
      <c r="M4" s="104"/>
      <c r="N4" s="104"/>
      <c r="O4" s="104"/>
      <c r="P4" s="104"/>
      <c r="Q4" s="104"/>
      <c r="R4" s="104"/>
      <c r="S4" s="104"/>
      <c r="T4" s="104"/>
      <c r="U4" s="104"/>
    </row>
    <row r="5" ht="58.5" customHeight="1">
      <c r="A5" s="164" t="s">
        <v>215</v>
      </c>
      <c r="B5" s="111"/>
      <c r="C5" s="111"/>
      <c r="D5" s="111"/>
      <c r="E5" s="111"/>
      <c r="F5" s="111"/>
      <c r="G5" s="111"/>
      <c r="H5" s="111"/>
      <c r="I5" s="41"/>
      <c r="J5" s="178"/>
      <c r="K5" s="178"/>
      <c r="L5" s="178"/>
      <c r="M5" s="178"/>
      <c r="N5" s="178"/>
      <c r="O5" s="178"/>
      <c r="P5" s="178"/>
      <c r="Q5" s="178"/>
      <c r="R5" s="178"/>
      <c r="S5" s="178"/>
      <c r="T5" s="178"/>
      <c r="U5" s="178"/>
      <c r="V5" s="179"/>
      <c r="W5" s="179"/>
      <c r="X5" s="179"/>
      <c r="Y5" s="179"/>
      <c r="Z5" s="179"/>
    </row>
    <row r="6">
      <c r="A6" s="166"/>
      <c r="B6" s="104"/>
      <c r="C6" s="104"/>
      <c r="D6" s="104"/>
      <c r="E6" s="104"/>
      <c r="F6" s="104"/>
      <c r="G6" s="104"/>
      <c r="H6" s="104"/>
      <c r="I6" s="104"/>
      <c r="J6" s="104"/>
      <c r="K6" s="104"/>
      <c r="L6" s="104"/>
      <c r="M6" s="104"/>
      <c r="N6" s="104"/>
      <c r="O6" s="104"/>
      <c r="P6" s="104"/>
      <c r="Q6" s="104"/>
      <c r="R6" s="104"/>
      <c r="S6" s="104"/>
      <c r="T6" s="104"/>
      <c r="U6" s="104"/>
    </row>
    <row r="7" ht="31.5" customHeight="1">
      <c r="A7" s="167"/>
      <c r="B7" s="169" t="s">
        <v>202</v>
      </c>
      <c r="C7" s="41"/>
      <c r="D7" s="168" t="s">
        <v>203</v>
      </c>
      <c r="E7" s="41"/>
      <c r="F7" s="169" t="s">
        <v>204</v>
      </c>
      <c r="G7" s="41"/>
      <c r="H7" s="169" t="s">
        <v>205</v>
      </c>
      <c r="I7" s="41"/>
      <c r="J7" s="168" t="s">
        <v>206</v>
      </c>
      <c r="K7" s="41"/>
      <c r="L7" s="169" t="s">
        <v>207</v>
      </c>
      <c r="M7" s="41"/>
      <c r="N7" s="169" t="s">
        <v>208</v>
      </c>
      <c r="O7" s="41"/>
      <c r="P7" s="169" t="s">
        <v>209</v>
      </c>
      <c r="Q7" s="41"/>
    </row>
    <row r="8">
      <c r="A8" s="170" t="s">
        <v>210</v>
      </c>
      <c r="B8" s="171" t="s">
        <v>211</v>
      </c>
      <c r="C8" s="171" t="s">
        <v>212</v>
      </c>
      <c r="D8" s="171" t="s">
        <v>211</v>
      </c>
      <c r="E8" s="171" t="s">
        <v>212</v>
      </c>
      <c r="F8" s="171" t="s">
        <v>211</v>
      </c>
      <c r="G8" s="171" t="s">
        <v>212</v>
      </c>
      <c r="H8" s="171" t="s">
        <v>211</v>
      </c>
      <c r="I8" s="171" t="s">
        <v>212</v>
      </c>
      <c r="J8" s="171" t="s">
        <v>211</v>
      </c>
      <c r="K8" s="171" t="s">
        <v>212</v>
      </c>
      <c r="L8" s="171" t="s">
        <v>211</v>
      </c>
      <c r="M8" s="171" t="s">
        <v>212</v>
      </c>
      <c r="N8" s="171" t="s">
        <v>211</v>
      </c>
      <c r="O8" s="171" t="s">
        <v>212</v>
      </c>
      <c r="P8" s="171" t="s">
        <v>211</v>
      </c>
      <c r="Q8" s="171" t="s">
        <v>212</v>
      </c>
      <c r="R8" s="113"/>
      <c r="S8" s="113"/>
      <c r="T8" s="113"/>
      <c r="U8" s="113"/>
    </row>
    <row r="9">
      <c r="A9" s="172">
        <v>43891.0</v>
      </c>
      <c r="B9" s="119">
        <v>13.0</v>
      </c>
      <c r="C9" s="119">
        <v>18.0</v>
      </c>
      <c r="D9" s="119">
        <v>0.0</v>
      </c>
      <c r="E9" s="119">
        <v>0.0</v>
      </c>
      <c r="F9" s="119">
        <v>0.0</v>
      </c>
      <c r="G9" s="119">
        <v>0.0</v>
      </c>
      <c r="H9" s="119">
        <v>23.0</v>
      </c>
      <c r="I9" s="119">
        <v>27.0</v>
      </c>
      <c r="J9" s="119">
        <v>0.0</v>
      </c>
      <c r="K9" s="119">
        <v>0.0</v>
      </c>
      <c r="L9" s="119">
        <v>8.0</v>
      </c>
      <c r="M9" s="119">
        <v>6.0</v>
      </c>
      <c r="N9" s="119">
        <v>0.0</v>
      </c>
      <c r="O9" s="119">
        <v>0.0</v>
      </c>
      <c r="P9" s="119">
        <v>0.0</v>
      </c>
      <c r="Q9" s="119">
        <v>0.0</v>
      </c>
      <c r="R9" s="104"/>
      <c r="S9" s="104"/>
      <c r="T9" s="104"/>
      <c r="U9" s="104"/>
    </row>
    <row r="10">
      <c r="A10" s="172">
        <v>43922.0</v>
      </c>
      <c r="B10" s="119">
        <v>169.0</v>
      </c>
      <c r="C10" s="119">
        <v>250.0</v>
      </c>
      <c r="D10" s="119" t="s">
        <v>55</v>
      </c>
      <c r="E10" s="119">
        <v>21.0</v>
      </c>
      <c r="F10" s="119">
        <v>25.0</v>
      </c>
      <c r="G10" s="119">
        <v>35.0</v>
      </c>
      <c r="H10" s="119">
        <v>136.0</v>
      </c>
      <c r="I10" s="119">
        <v>170.0</v>
      </c>
      <c r="J10" s="119">
        <v>0.0</v>
      </c>
      <c r="K10" s="119">
        <v>0.0</v>
      </c>
      <c r="L10" s="119">
        <v>45.0</v>
      </c>
      <c r="M10" s="119">
        <v>30.0</v>
      </c>
      <c r="N10" s="119">
        <v>15.0</v>
      </c>
      <c r="O10" s="119">
        <v>26.0</v>
      </c>
      <c r="P10" s="119" t="s">
        <v>55</v>
      </c>
      <c r="Q10" s="119">
        <v>2.0</v>
      </c>
      <c r="R10" s="104"/>
      <c r="S10" s="104"/>
      <c r="T10" s="104"/>
      <c r="U10" s="104"/>
    </row>
    <row r="11">
      <c r="A11" s="172">
        <v>43952.0</v>
      </c>
      <c r="B11" s="119">
        <v>106.0</v>
      </c>
      <c r="C11" s="119">
        <v>169.0</v>
      </c>
      <c r="D11" s="119" t="s">
        <v>55</v>
      </c>
      <c r="E11" s="119">
        <v>21.0</v>
      </c>
      <c r="F11" s="119">
        <v>34.0</v>
      </c>
      <c r="G11" s="119">
        <v>41.0</v>
      </c>
      <c r="H11" s="119">
        <v>94.0</v>
      </c>
      <c r="I11" s="119">
        <v>111.0</v>
      </c>
      <c r="J11" s="119">
        <v>0.0</v>
      </c>
      <c r="K11" s="119">
        <v>0.0</v>
      </c>
      <c r="L11" s="119">
        <v>33.0</v>
      </c>
      <c r="M11" s="119">
        <v>23.0</v>
      </c>
      <c r="N11" s="119">
        <v>15.0</v>
      </c>
      <c r="O11" s="119">
        <v>27.0</v>
      </c>
      <c r="P11" s="119" t="s">
        <v>55</v>
      </c>
      <c r="Q11" s="119">
        <v>5.0</v>
      </c>
      <c r="R11" s="104"/>
      <c r="S11" s="104"/>
      <c r="T11" s="104"/>
      <c r="U11" s="104"/>
    </row>
    <row r="12">
      <c r="A12" s="172">
        <v>43983.0</v>
      </c>
      <c r="B12" s="119">
        <v>54.0</v>
      </c>
      <c r="C12" s="119">
        <v>73.0</v>
      </c>
      <c r="D12" s="119">
        <v>0.0</v>
      </c>
      <c r="E12" s="119">
        <v>0.0</v>
      </c>
      <c r="F12" s="119" t="s">
        <v>55</v>
      </c>
      <c r="G12" s="119">
        <v>6.0</v>
      </c>
      <c r="H12" s="119">
        <v>32.0</v>
      </c>
      <c r="I12" s="119">
        <v>36.0</v>
      </c>
      <c r="J12" s="119">
        <v>0.0</v>
      </c>
      <c r="K12" s="119">
        <v>0.0</v>
      </c>
      <c r="L12" s="119">
        <v>8.0</v>
      </c>
      <c r="M12" s="119">
        <v>6.0</v>
      </c>
      <c r="N12" s="119" t="s">
        <v>55</v>
      </c>
      <c r="O12" s="119">
        <v>10.0</v>
      </c>
      <c r="P12" s="119">
        <v>0.0</v>
      </c>
      <c r="Q12" s="119">
        <v>0.0</v>
      </c>
      <c r="R12" s="104"/>
      <c r="S12" s="104"/>
      <c r="T12" s="104"/>
      <c r="U12" s="104"/>
    </row>
    <row r="13">
      <c r="A13" s="172">
        <v>44013.0</v>
      </c>
      <c r="B13" s="119">
        <v>38.0</v>
      </c>
      <c r="C13" s="119">
        <v>49.0</v>
      </c>
      <c r="D13" s="119" t="s">
        <v>55</v>
      </c>
      <c r="E13" s="119">
        <v>15.0</v>
      </c>
      <c r="F13" s="119">
        <v>22.0</v>
      </c>
      <c r="G13" s="119">
        <v>25.0</v>
      </c>
      <c r="H13" s="119">
        <v>27.0</v>
      </c>
      <c r="I13" s="119">
        <v>32.0</v>
      </c>
      <c r="J13" s="119">
        <v>0.0</v>
      </c>
      <c r="K13" s="119">
        <v>0.0</v>
      </c>
      <c r="L13" s="119">
        <v>9.0</v>
      </c>
      <c r="M13" s="119">
        <v>6.0</v>
      </c>
      <c r="N13" s="119" t="s">
        <v>55</v>
      </c>
      <c r="O13" s="119">
        <v>7.0</v>
      </c>
      <c r="P13" s="119" t="s">
        <v>55</v>
      </c>
      <c r="Q13" s="119">
        <v>19.0</v>
      </c>
      <c r="R13" s="104"/>
      <c r="S13" s="104"/>
      <c r="T13" s="104"/>
      <c r="U13" s="104"/>
    </row>
    <row r="14">
      <c r="A14" s="172">
        <v>44044.0</v>
      </c>
      <c r="B14" s="119">
        <v>64.0</v>
      </c>
      <c r="C14" s="119">
        <v>79.0</v>
      </c>
      <c r="D14" s="119" t="s">
        <v>55</v>
      </c>
      <c r="E14" s="119">
        <v>10.0</v>
      </c>
      <c r="F14" s="119" t="s">
        <v>55</v>
      </c>
      <c r="G14" s="119">
        <v>16.0</v>
      </c>
      <c r="H14" s="119">
        <v>26.0</v>
      </c>
      <c r="I14" s="119">
        <v>29.0</v>
      </c>
      <c r="J14" s="119">
        <v>0.0</v>
      </c>
      <c r="K14" s="119">
        <v>0.0</v>
      </c>
      <c r="L14" s="119">
        <v>11.0</v>
      </c>
      <c r="M14" s="119">
        <v>9.0</v>
      </c>
      <c r="N14" s="119">
        <v>9.0</v>
      </c>
      <c r="O14" s="119">
        <v>16.0</v>
      </c>
      <c r="P14" s="119" t="s">
        <v>55</v>
      </c>
      <c r="Q14" s="119">
        <v>11.0</v>
      </c>
      <c r="R14" s="104"/>
      <c r="S14" s="104"/>
      <c r="T14" s="104"/>
      <c r="U14" s="104"/>
    </row>
    <row r="15">
      <c r="A15" s="172">
        <v>44075.0</v>
      </c>
      <c r="B15" s="119">
        <v>31.0</v>
      </c>
      <c r="C15" s="119">
        <v>45.0</v>
      </c>
      <c r="D15" s="119">
        <v>0.0</v>
      </c>
      <c r="E15" s="119">
        <v>0.0</v>
      </c>
      <c r="F15" s="119">
        <v>14.0</v>
      </c>
      <c r="G15" s="119">
        <v>16.0</v>
      </c>
      <c r="H15" s="119">
        <v>29.0</v>
      </c>
      <c r="I15" s="119">
        <v>32.0</v>
      </c>
      <c r="J15" s="119">
        <v>0.0</v>
      </c>
      <c r="K15" s="119">
        <v>0.0</v>
      </c>
      <c r="L15" s="119">
        <v>13.0</v>
      </c>
      <c r="M15" s="119">
        <v>9.0</v>
      </c>
      <c r="N15" s="119">
        <v>22.0</v>
      </c>
      <c r="O15" s="119">
        <v>36.0</v>
      </c>
      <c r="P15" s="119">
        <v>0.0</v>
      </c>
      <c r="Q15" s="119">
        <v>0.0</v>
      </c>
      <c r="R15" s="104"/>
      <c r="S15" s="104"/>
      <c r="T15" s="104"/>
      <c r="U15" s="104"/>
    </row>
    <row r="16">
      <c r="A16" s="172">
        <v>44105.0</v>
      </c>
      <c r="B16" s="119">
        <v>82.0</v>
      </c>
      <c r="C16" s="119">
        <v>136.0</v>
      </c>
      <c r="D16" s="119" t="s">
        <v>55</v>
      </c>
      <c r="E16" s="119">
        <v>14.0</v>
      </c>
      <c r="F16" s="119">
        <v>25.0</v>
      </c>
      <c r="G16" s="119">
        <v>28.0</v>
      </c>
      <c r="H16" s="119">
        <v>64.0</v>
      </c>
      <c r="I16" s="119">
        <v>78.0</v>
      </c>
      <c r="J16" s="119">
        <v>0.0</v>
      </c>
      <c r="K16" s="119">
        <v>0.0</v>
      </c>
      <c r="L16" s="119">
        <v>30.0</v>
      </c>
      <c r="M16" s="119">
        <v>21.0</v>
      </c>
      <c r="N16" s="119">
        <v>31.0</v>
      </c>
      <c r="O16" s="119">
        <v>50.0</v>
      </c>
      <c r="P16" s="119" t="s">
        <v>55</v>
      </c>
      <c r="Q16" s="119">
        <v>15.0</v>
      </c>
      <c r="R16" s="104"/>
      <c r="S16" s="104"/>
      <c r="T16" s="104"/>
      <c r="U16" s="104"/>
    </row>
    <row r="17">
      <c r="A17" s="172">
        <v>44136.0</v>
      </c>
      <c r="B17" s="119">
        <v>141.0</v>
      </c>
      <c r="C17" s="119">
        <v>222.0</v>
      </c>
      <c r="D17" s="119" t="s">
        <v>55</v>
      </c>
      <c r="E17" s="119">
        <v>33.0</v>
      </c>
      <c r="F17" s="119">
        <v>67.0</v>
      </c>
      <c r="G17" s="119">
        <v>83.0</v>
      </c>
      <c r="H17" s="119">
        <v>114.0</v>
      </c>
      <c r="I17" s="119">
        <v>145.0</v>
      </c>
      <c r="J17" s="119">
        <v>0.0</v>
      </c>
      <c r="K17" s="119">
        <v>0.0</v>
      </c>
      <c r="L17" s="119">
        <v>81.0</v>
      </c>
      <c r="M17" s="119">
        <v>56.0</v>
      </c>
      <c r="N17" s="119">
        <v>53.0</v>
      </c>
      <c r="O17" s="119">
        <v>95.0</v>
      </c>
      <c r="P17" s="119" t="s">
        <v>55</v>
      </c>
      <c r="Q17" s="119">
        <v>20.0</v>
      </c>
      <c r="R17" s="104"/>
      <c r="S17" s="104"/>
      <c r="T17" s="104"/>
      <c r="U17" s="104"/>
    </row>
    <row r="18">
      <c r="A18" s="180">
        <v>44166.0</v>
      </c>
      <c r="B18" s="119">
        <v>178.0</v>
      </c>
      <c r="C18" s="135">
        <v>273.0</v>
      </c>
      <c r="D18" s="119" t="s">
        <v>55</v>
      </c>
      <c r="E18" s="119">
        <v>54.0</v>
      </c>
      <c r="F18" s="119">
        <v>95.0</v>
      </c>
      <c r="G18" s="119">
        <v>125.0</v>
      </c>
      <c r="H18" s="119">
        <v>90.0</v>
      </c>
      <c r="I18" s="119">
        <v>107.0</v>
      </c>
      <c r="J18" s="119">
        <v>0.0</v>
      </c>
      <c r="K18" s="119">
        <v>0.0</v>
      </c>
      <c r="L18" s="119">
        <v>113.0</v>
      </c>
      <c r="M18" s="119">
        <v>78.0</v>
      </c>
      <c r="N18" s="119">
        <v>74.0</v>
      </c>
      <c r="O18" s="119">
        <v>131.0</v>
      </c>
      <c r="P18" s="119">
        <v>18.0</v>
      </c>
      <c r="Q18" s="119">
        <v>26.0</v>
      </c>
      <c r="R18" s="104"/>
      <c r="S18" s="104"/>
      <c r="T18" s="104"/>
      <c r="U18" s="104"/>
    </row>
    <row r="19">
      <c r="A19" s="180">
        <v>44197.0</v>
      </c>
      <c r="B19" s="119">
        <v>142.0</v>
      </c>
      <c r="C19" s="135">
        <v>214.0</v>
      </c>
      <c r="D19" s="119" t="s">
        <v>55</v>
      </c>
      <c r="E19" s="119">
        <v>57.0</v>
      </c>
      <c r="F19" s="119">
        <v>87.0</v>
      </c>
      <c r="G19" s="119">
        <v>115.0</v>
      </c>
      <c r="H19" s="119">
        <v>95.0</v>
      </c>
      <c r="I19" s="119">
        <v>119.0</v>
      </c>
      <c r="J19" s="119">
        <v>0.0</v>
      </c>
      <c r="K19" s="119">
        <v>0.0</v>
      </c>
      <c r="L19" s="119">
        <v>105.0</v>
      </c>
      <c r="M19" s="119">
        <v>74.0</v>
      </c>
      <c r="N19" s="119">
        <v>62.0</v>
      </c>
      <c r="O19" s="119">
        <v>103.0</v>
      </c>
      <c r="P19" s="119" t="s">
        <v>55</v>
      </c>
      <c r="Q19" s="119">
        <v>24.0</v>
      </c>
      <c r="R19" s="104"/>
      <c r="S19" s="104"/>
      <c r="T19" s="104"/>
      <c r="U19" s="104"/>
    </row>
    <row r="20">
      <c r="A20" s="180">
        <v>44228.0</v>
      </c>
      <c r="B20" s="119">
        <v>62.0</v>
      </c>
      <c r="C20" s="135">
        <v>100.0</v>
      </c>
      <c r="D20" s="119">
        <v>91.0</v>
      </c>
      <c r="E20" s="119">
        <v>92.0</v>
      </c>
      <c r="F20" s="119">
        <v>39.0</v>
      </c>
      <c r="G20" s="119">
        <v>46.0</v>
      </c>
      <c r="H20" s="119">
        <v>39.0</v>
      </c>
      <c r="I20" s="119">
        <v>43.0</v>
      </c>
      <c r="J20" s="119">
        <v>0.0</v>
      </c>
      <c r="K20" s="119">
        <v>0.0</v>
      </c>
      <c r="L20" s="119">
        <v>43.0</v>
      </c>
      <c r="M20" s="119">
        <v>31.0</v>
      </c>
      <c r="N20" s="119">
        <v>22.0</v>
      </c>
      <c r="O20" s="119">
        <v>30.0</v>
      </c>
      <c r="P20" s="119">
        <v>31.0</v>
      </c>
      <c r="Q20" s="119">
        <v>65.0</v>
      </c>
      <c r="R20" s="104"/>
      <c r="S20" s="104"/>
      <c r="T20" s="104"/>
      <c r="U20" s="104"/>
    </row>
    <row r="21">
      <c r="A21" s="174" t="s">
        <v>105</v>
      </c>
      <c r="B21" s="175">
        <v>1079.0</v>
      </c>
      <c r="C21" s="175">
        <v>1627.0</v>
      </c>
      <c r="D21" s="176">
        <v>328.0</v>
      </c>
      <c r="E21" s="176">
        <v>319.0</v>
      </c>
      <c r="F21" s="176">
        <v>426.0</v>
      </c>
      <c r="G21" s="176">
        <v>537.0</v>
      </c>
      <c r="H21" s="176">
        <v>768.0</v>
      </c>
      <c r="I21" s="176">
        <v>929.0</v>
      </c>
      <c r="J21" s="176">
        <v>0.0</v>
      </c>
      <c r="K21" s="176">
        <v>0.0</v>
      </c>
      <c r="L21" s="176">
        <v>498.0</v>
      </c>
      <c r="M21" s="176">
        <v>351.0</v>
      </c>
      <c r="N21" s="176">
        <v>316.0</v>
      </c>
      <c r="O21" s="176">
        <v>531.0</v>
      </c>
      <c r="P21" s="176">
        <v>110.0</v>
      </c>
      <c r="Q21" s="176">
        <v>187.0</v>
      </c>
      <c r="R21" s="104"/>
      <c r="S21" s="104"/>
      <c r="T21" s="104"/>
      <c r="U21" s="104"/>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2" t="s">
        <v>216</v>
      </c>
      <c r="J1" s="104"/>
      <c r="K1" s="104"/>
      <c r="L1" s="104"/>
      <c r="M1" s="104"/>
      <c r="N1" s="104"/>
      <c r="O1" s="104"/>
      <c r="P1" s="104"/>
      <c r="Q1" s="104"/>
      <c r="R1" s="104"/>
      <c r="S1" s="104"/>
      <c r="T1" s="104"/>
      <c r="U1" s="104"/>
    </row>
    <row r="2">
      <c r="A2" s="163" t="s">
        <v>217</v>
      </c>
      <c r="N2" s="104"/>
      <c r="O2" s="104"/>
      <c r="P2" s="104"/>
      <c r="Q2" s="104"/>
      <c r="R2" s="104"/>
      <c r="S2" s="104"/>
      <c r="T2" s="104"/>
      <c r="U2" s="104"/>
    </row>
    <row r="3">
      <c r="A3" s="163" t="s">
        <v>200</v>
      </c>
      <c r="B3" s="99">
        <v>44259.0</v>
      </c>
      <c r="C3" s="104"/>
      <c r="D3" s="104"/>
      <c r="E3" s="104"/>
      <c r="F3" s="104"/>
      <c r="G3" s="104"/>
      <c r="H3" s="104"/>
      <c r="I3" s="104"/>
      <c r="J3" s="104"/>
      <c r="K3" s="104"/>
      <c r="L3" s="104"/>
      <c r="M3" s="104"/>
      <c r="N3" s="104"/>
      <c r="O3" s="104"/>
      <c r="P3" s="104"/>
      <c r="Q3" s="104"/>
      <c r="R3" s="104"/>
      <c r="S3" s="104"/>
      <c r="T3" s="104"/>
      <c r="U3" s="104"/>
    </row>
    <row r="4">
      <c r="A4" s="104"/>
      <c r="B4" s="104"/>
      <c r="C4" s="104"/>
      <c r="D4" s="104"/>
      <c r="E4" s="104"/>
      <c r="F4" s="104"/>
      <c r="G4" s="104"/>
      <c r="H4" s="104"/>
      <c r="I4" s="104"/>
      <c r="J4" s="104"/>
      <c r="K4" s="104"/>
      <c r="L4" s="104"/>
      <c r="M4" s="104"/>
      <c r="N4" s="104"/>
      <c r="O4" s="104"/>
      <c r="P4" s="104"/>
      <c r="Q4" s="104"/>
      <c r="R4" s="104"/>
      <c r="S4" s="104"/>
      <c r="T4" s="104"/>
      <c r="U4" s="104"/>
    </row>
    <row r="5" ht="59.25" customHeight="1">
      <c r="A5" s="164" t="s">
        <v>218</v>
      </c>
      <c r="B5" s="111"/>
      <c r="C5" s="111"/>
      <c r="D5" s="111"/>
      <c r="E5" s="111"/>
      <c r="F5" s="111"/>
      <c r="G5" s="111"/>
      <c r="H5" s="111"/>
      <c r="I5" s="111"/>
      <c r="J5" s="41"/>
      <c r="K5" s="104"/>
      <c r="L5" s="104"/>
      <c r="M5" s="104"/>
      <c r="N5" s="104"/>
      <c r="O5" s="104"/>
      <c r="P5" s="104"/>
      <c r="Q5" s="104"/>
      <c r="R5" s="104"/>
      <c r="S5" s="104"/>
      <c r="T5" s="104"/>
      <c r="U5" s="104"/>
    </row>
    <row r="6">
      <c r="A6" s="166"/>
      <c r="B6" s="104"/>
      <c r="C6" s="104"/>
      <c r="D6" s="104"/>
      <c r="E6" s="104"/>
      <c r="F6" s="104"/>
      <c r="G6" s="104"/>
      <c r="H6" s="104"/>
      <c r="I6" s="104"/>
      <c r="J6" s="104"/>
      <c r="K6" s="104"/>
      <c r="L6" s="104"/>
      <c r="M6" s="104"/>
      <c r="N6" s="104"/>
      <c r="O6" s="104"/>
      <c r="P6" s="104"/>
      <c r="Q6" s="104"/>
      <c r="R6" s="104"/>
      <c r="S6" s="104"/>
      <c r="T6" s="104"/>
      <c r="U6" s="104"/>
    </row>
    <row r="7" ht="28.5" customHeight="1">
      <c r="A7" s="181"/>
      <c r="B7" s="169" t="s">
        <v>202</v>
      </c>
      <c r="C7" s="41"/>
      <c r="D7" s="168" t="s">
        <v>203</v>
      </c>
      <c r="E7" s="41"/>
      <c r="F7" s="169" t="s">
        <v>204</v>
      </c>
      <c r="G7" s="41"/>
      <c r="H7" s="169" t="s">
        <v>205</v>
      </c>
      <c r="I7" s="41"/>
      <c r="J7" s="168" t="s">
        <v>206</v>
      </c>
      <c r="K7" s="41"/>
      <c r="L7" s="169" t="s">
        <v>207</v>
      </c>
      <c r="M7" s="41"/>
      <c r="N7" s="169" t="s">
        <v>208</v>
      </c>
      <c r="O7" s="41"/>
      <c r="P7" s="169" t="s">
        <v>209</v>
      </c>
      <c r="Q7" s="41"/>
    </row>
    <row r="8">
      <c r="A8" s="170" t="s">
        <v>210</v>
      </c>
      <c r="B8" s="171" t="s">
        <v>211</v>
      </c>
      <c r="C8" s="171" t="s">
        <v>212</v>
      </c>
      <c r="D8" s="171" t="s">
        <v>211</v>
      </c>
      <c r="E8" s="171" t="s">
        <v>212</v>
      </c>
      <c r="F8" s="171" t="s">
        <v>211</v>
      </c>
      <c r="G8" s="171" t="s">
        <v>212</v>
      </c>
      <c r="H8" s="171" t="s">
        <v>211</v>
      </c>
      <c r="I8" s="171" t="s">
        <v>212</v>
      </c>
      <c r="J8" s="171" t="s">
        <v>211</v>
      </c>
      <c r="K8" s="171" t="s">
        <v>212</v>
      </c>
      <c r="L8" s="171" t="s">
        <v>211</v>
      </c>
      <c r="M8" s="171" t="s">
        <v>212</v>
      </c>
      <c r="N8" s="171" t="s">
        <v>211</v>
      </c>
      <c r="O8" s="171" t="s">
        <v>212</v>
      </c>
      <c r="P8" s="171" t="s">
        <v>211</v>
      </c>
      <c r="Q8" s="171" t="s">
        <v>212</v>
      </c>
      <c r="R8" s="113"/>
      <c r="S8" s="113"/>
      <c r="T8" s="113"/>
      <c r="U8" s="113"/>
    </row>
    <row r="9">
      <c r="A9" s="172">
        <v>43891.0</v>
      </c>
      <c r="B9" s="119" t="s">
        <v>55</v>
      </c>
      <c r="C9" s="119">
        <v>1.0</v>
      </c>
      <c r="D9" s="119">
        <v>0.0</v>
      </c>
      <c r="E9" s="119">
        <v>0.0</v>
      </c>
      <c r="F9" s="119">
        <v>0.0</v>
      </c>
      <c r="G9" s="119">
        <v>0.0</v>
      </c>
      <c r="H9" s="119" t="s">
        <v>55</v>
      </c>
      <c r="I9" s="119">
        <v>2.0</v>
      </c>
      <c r="J9" s="119">
        <v>0.0</v>
      </c>
      <c r="K9" s="119">
        <v>0.0</v>
      </c>
      <c r="L9" s="119">
        <v>1.0</v>
      </c>
      <c r="M9" s="119">
        <v>1.0</v>
      </c>
      <c r="N9" s="119">
        <v>0.0</v>
      </c>
      <c r="O9" s="119">
        <v>0.0</v>
      </c>
      <c r="P9" s="119">
        <v>0.0</v>
      </c>
      <c r="Q9" s="119">
        <v>0.0</v>
      </c>
      <c r="R9" s="104"/>
      <c r="S9" s="104"/>
      <c r="T9" s="104"/>
      <c r="U9" s="104"/>
    </row>
    <row r="10">
      <c r="A10" s="172">
        <v>43922.0</v>
      </c>
      <c r="B10" s="119">
        <v>21.0</v>
      </c>
      <c r="C10" s="119">
        <v>51.0</v>
      </c>
      <c r="D10" s="119" t="s">
        <v>55</v>
      </c>
      <c r="E10" s="119">
        <v>21.0</v>
      </c>
      <c r="F10" s="119" t="s">
        <v>55</v>
      </c>
      <c r="G10" s="119">
        <v>17.0</v>
      </c>
      <c r="H10" s="119">
        <v>29.0</v>
      </c>
      <c r="I10" s="119">
        <v>39.0</v>
      </c>
      <c r="J10" s="119">
        <v>0.0</v>
      </c>
      <c r="K10" s="119">
        <v>0.0</v>
      </c>
      <c r="L10" s="119">
        <v>30.0</v>
      </c>
      <c r="M10" s="119">
        <v>18.0</v>
      </c>
      <c r="N10" s="119">
        <v>0.0</v>
      </c>
      <c r="O10" s="119">
        <v>0.0</v>
      </c>
      <c r="P10" s="119">
        <v>0.0</v>
      </c>
      <c r="Q10" s="119">
        <v>0.0</v>
      </c>
      <c r="R10" s="104"/>
      <c r="S10" s="104"/>
      <c r="T10" s="104"/>
      <c r="U10" s="104"/>
    </row>
    <row r="11">
      <c r="A11" s="172">
        <v>43952.0</v>
      </c>
      <c r="B11" s="119">
        <v>21.0</v>
      </c>
      <c r="C11" s="119">
        <v>47.0</v>
      </c>
      <c r="D11" s="119">
        <v>0.0</v>
      </c>
      <c r="E11" s="119">
        <v>0.0</v>
      </c>
      <c r="F11" s="119" t="s">
        <v>55</v>
      </c>
      <c r="G11" s="119">
        <v>9.0</v>
      </c>
      <c r="H11" s="119">
        <v>30.0</v>
      </c>
      <c r="I11" s="119">
        <v>48.0</v>
      </c>
      <c r="J11" s="119">
        <v>0.0</v>
      </c>
      <c r="K11" s="119">
        <v>0.0</v>
      </c>
      <c r="L11" s="119">
        <v>41.0</v>
      </c>
      <c r="M11" s="119">
        <v>24.0</v>
      </c>
      <c r="N11" s="119">
        <v>0.0</v>
      </c>
      <c r="O11" s="119">
        <v>0.0</v>
      </c>
      <c r="P11" s="119">
        <v>0.0</v>
      </c>
      <c r="Q11" s="119">
        <v>0.0</v>
      </c>
      <c r="R11" s="104"/>
      <c r="S11" s="104"/>
      <c r="T11" s="104"/>
      <c r="U11" s="104"/>
    </row>
    <row r="12">
      <c r="A12" s="172">
        <v>43983.0</v>
      </c>
      <c r="B12" s="119">
        <v>8.0</v>
      </c>
      <c r="C12" s="119">
        <v>14.0</v>
      </c>
      <c r="D12" s="119">
        <v>0.0</v>
      </c>
      <c r="E12" s="119">
        <v>0.0</v>
      </c>
      <c r="F12" s="119">
        <v>14.0</v>
      </c>
      <c r="G12" s="119">
        <v>26.0</v>
      </c>
      <c r="H12" s="119">
        <v>10.0</v>
      </c>
      <c r="I12" s="119">
        <v>15.0</v>
      </c>
      <c r="J12" s="119">
        <v>0.0</v>
      </c>
      <c r="K12" s="119">
        <v>0.0</v>
      </c>
      <c r="L12" s="119">
        <v>13.0</v>
      </c>
      <c r="M12" s="119">
        <v>8.0</v>
      </c>
      <c r="N12" s="119">
        <v>0.0</v>
      </c>
      <c r="O12" s="119">
        <v>0.0</v>
      </c>
      <c r="P12" s="119">
        <v>0.0</v>
      </c>
      <c r="Q12" s="119">
        <v>0.0</v>
      </c>
      <c r="R12" s="104"/>
      <c r="S12" s="104"/>
      <c r="T12" s="104"/>
      <c r="U12" s="104"/>
    </row>
    <row r="13">
      <c r="A13" s="172">
        <v>44013.0</v>
      </c>
      <c r="B13" s="119">
        <v>6.0</v>
      </c>
      <c r="C13" s="119">
        <v>12.0</v>
      </c>
      <c r="D13" s="119">
        <v>0.0</v>
      </c>
      <c r="E13" s="119">
        <v>0.0</v>
      </c>
      <c r="F13" s="119" t="s">
        <v>55</v>
      </c>
      <c r="G13" s="119">
        <v>2.0</v>
      </c>
      <c r="H13" s="119" t="s">
        <v>55</v>
      </c>
      <c r="I13" s="119">
        <v>6.0</v>
      </c>
      <c r="J13" s="119">
        <v>0.0</v>
      </c>
      <c r="K13" s="119">
        <v>0.0</v>
      </c>
      <c r="L13" s="119">
        <v>4.0</v>
      </c>
      <c r="M13" s="119">
        <v>2.0</v>
      </c>
      <c r="N13" s="119">
        <v>0.0</v>
      </c>
      <c r="O13" s="119">
        <v>0.0</v>
      </c>
      <c r="P13" s="119">
        <v>0.0</v>
      </c>
      <c r="Q13" s="119">
        <v>0.0</v>
      </c>
      <c r="R13" s="104"/>
      <c r="S13" s="104"/>
      <c r="T13" s="104"/>
      <c r="U13" s="104"/>
    </row>
    <row r="14">
      <c r="A14" s="172">
        <v>44044.0</v>
      </c>
      <c r="B14" s="119">
        <v>8.0</v>
      </c>
      <c r="C14" s="119">
        <v>14.0</v>
      </c>
      <c r="D14" s="119">
        <v>0.0</v>
      </c>
      <c r="E14" s="119">
        <v>0.0</v>
      </c>
      <c r="F14" s="119">
        <v>0.0</v>
      </c>
      <c r="G14" s="119">
        <v>0.0</v>
      </c>
      <c r="H14" s="119" t="s">
        <v>55</v>
      </c>
      <c r="I14" s="119">
        <v>5.0</v>
      </c>
      <c r="J14" s="119">
        <v>0.0</v>
      </c>
      <c r="K14" s="119">
        <v>0.0</v>
      </c>
      <c r="L14" s="119">
        <v>4.0</v>
      </c>
      <c r="M14" s="119">
        <v>2.0</v>
      </c>
      <c r="N14" s="119">
        <v>0.0</v>
      </c>
      <c r="O14" s="119">
        <v>0.0</v>
      </c>
      <c r="P14" s="119">
        <v>0.0</v>
      </c>
      <c r="Q14" s="119">
        <v>0.0</v>
      </c>
      <c r="R14" s="104"/>
      <c r="S14" s="104"/>
      <c r="T14" s="104"/>
      <c r="U14" s="104"/>
    </row>
    <row r="15">
      <c r="A15" s="172">
        <v>44075.0</v>
      </c>
      <c r="B15" s="119" t="s">
        <v>55</v>
      </c>
      <c r="C15" s="119">
        <v>6.0</v>
      </c>
      <c r="D15" s="119">
        <v>0.0</v>
      </c>
      <c r="E15" s="119">
        <v>0.0</v>
      </c>
      <c r="F15" s="119" t="s">
        <v>55</v>
      </c>
      <c r="G15" s="119">
        <v>4.0</v>
      </c>
      <c r="H15" s="119" t="s">
        <v>55</v>
      </c>
      <c r="I15" s="119">
        <v>5.0</v>
      </c>
      <c r="J15" s="119">
        <v>0.0</v>
      </c>
      <c r="K15" s="119">
        <v>0.0</v>
      </c>
      <c r="L15" s="119">
        <v>4.0</v>
      </c>
      <c r="M15" s="119">
        <v>3.0</v>
      </c>
      <c r="N15" s="119">
        <v>0.0</v>
      </c>
      <c r="O15" s="119">
        <v>0.0</v>
      </c>
      <c r="P15" s="119">
        <v>0.0</v>
      </c>
      <c r="Q15" s="119">
        <v>0.0</v>
      </c>
      <c r="R15" s="104"/>
      <c r="S15" s="104"/>
      <c r="T15" s="104"/>
      <c r="U15" s="104"/>
    </row>
    <row r="16">
      <c r="A16" s="172">
        <v>44105.0</v>
      </c>
      <c r="B16" s="119">
        <v>5.0</v>
      </c>
      <c r="C16" s="119">
        <v>13.0</v>
      </c>
      <c r="D16" s="119">
        <v>0.0</v>
      </c>
      <c r="E16" s="119">
        <v>0.0</v>
      </c>
      <c r="F16" s="119" t="s">
        <v>55</v>
      </c>
      <c r="G16" s="119">
        <v>6.0</v>
      </c>
      <c r="H16" s="119">
        <v>10.0</v>
      </c>
      <c r="I16" s="119">
        <v>13.0</v>
      </c>
      <c r="J16" s="119">
        <v>0.0</v>
      </c>
      <c r="K16" s="119">
        <v>0.0</v>
      </c>
      <c r="L16" s="119">
        <v>8.0</v>
      </c>
      <c r="M16" s="119">
        <v>5.0</v>
      </c>
      <c r="N16" s="119">
        <v>0.0</v>
      </c>
      <c r="O16" s="119">
        <v>0.0</v>
      </c>
      <c r="P16" s="119">
        <v>0.0</v>
      </c>
      <c r="Q16" s="119">
        <v>0.0</v>
      </c>
      <c r="R16" s="104"/>
      <c r="S16" s="104"/>
      <c r="T16" s="104"/>
      <c r="U16" s="104"/>
    </row>
    <row r="17">
      <c r="A17" s="172">
        <v>44136.0</v>
      </c>
      <c r="B17" s="119">
        <v>11.0</v>
      </c>
      <c r="C17" s="119">
        <v>28.0</v>
      </c>
      <c r="D17" s="119">
        <v>0.0</v>
      </c>
      <c r="E17" s="119">
        <v>0.0</v>
      </c>
      <c r="F17" s="119" t="s">
        <v>55</v>
      </c>
      <c r="G17" s="119">
        <v>8.0</v>
      </c>
      <c r="H17" s="119">
        <v>14.0</v>
      </c>
      <c r="I17" s="119">
        <v>25.0</v>
      </c>
      <c r="J17" s="119">
        <v>0.0</v>
      </c>
      <c r="K17" s="119">
        <v>0.0</v>
      </c>
      <c r="L17" s="119">
        <v>20.0</v>
      </c>
      <c r="M17" s="119">
        <v>12.0</v>
      </c>
      <c r="N17" s="119">
        <v>0.0</v>
      </c>
      <c r="O17" s="119">
        <v>0.0</v>
      </c>
      <c r="P17" s="119">
        <v>0.0</v>
      </c>
      <c r="Q17" s="119">
        <v>0.0</v>
      </c>
      <c r="R17" s="104"/>
      <c r="S17" s="104"/>
      <c r="T17" s="104"/>
      <c r="U17" s="104"/>
    </row>
    <row r="18">
      <c r="A18" s="180">
        <v>44166.0</v>
      </c>
      <c r="B18" s="119">
        <v>23.0</v>
      </c>
      <c r="C18" s="119">
        <v>54.0</v>
      </c>
      <c r="D18" s="119" t="s">
        <v>55</v>
      </c>
      <c r="E18" s="119">
        <v>22.0</v>
      </c>
      <c r="F18" s="119">
        <v>25.0</v>
      </c>
      <c r="G18" s="119">
        <v>41.0</v>
      </c>
      <c r="H18" s="119">
        <v>22.0</v>
      </c>
      <c r="I18" s="119">
        <v>38.0</v>
      </c>
      <c r="J18" s="119">
        <v>0.0</v>
      </c>
      <c r="K18" s="119">
        <v>0.0</v>
      </c>
      <c r="L18" s="119">
        <v>52.0</v>
      </c>
      <c r="M18" s="119">
        <v>30.0</v>
      </c>
      <c r="N18" s="119" t="s">
        <v>55</v>
      </c>
      <c r="O18" s="119">
        <v>7.0</v>
      </c>
      <c r="P18" s="119" t="s">
        <v>55</v>
      </c>
      <c r="Q18" s="119">
        <v>12.0</v>
      </c>
      <c r="R18" s="104"/>
      <c r="S18" s="104"/>
      <c r="T18" s="104"/>
      <c r="U18" s="104"/>
    </row>
    <row r="19">
      <c r="A19" s="180">
        <v>44197.0</v>
      </c>
      <c r="B19" s="119">
        <v>14.0</v>
      </c>
      <c r="C19" s="119">
        <v>30.0</v>
      </c>
      <c r="D19" s="119">
        <v>0.0</v>
      </c>
      <c r="E19" s="119">
        <v>0.0</v>
      </c>
      <c r="F19" s="119">
        <v>31.0</v>
      </c>
      <c r="G19" s="119">
        <v>47.0</v>
      </c>
      <c r="H19" s="119">
        <v>20.0</v>
      </c>
      <c r="I19" s="119">
        <v>33.0</v>
      </c>
      <c r="J19" s="119">
        <v>0.0</v>
      </c>
      <c r="K19" s="119">
        <v>0.0</v>
      </c>
      <c r="L19" s="119">
        <v>42.0</v>
      </c>
      <c r="M19" s="119">
        <v>25.0</v>
      </c>
      <c r="N19" s="119">
        <v>0.0</v>
      </c>
      <c r="O19" s="119">
        <v>0.0</v>
      </c>
      <c r="P19" s="119">
        <v>0.0</v>
      </c>
      <c r="Q19" s="119">
        <v>0.0</v>
      </c>
      <c r="R19" s="104"/>
      <c r="S19" s="104"/>
      <c r="T19" s="104"/>
      <c r="U19" s="104"/>
    </row>
    <row r="20">
      <c r="A20" s="180">
        <v>44228.0</v>
      </c>
      <c r="B20" s="119">
        <v>11.0</v>
      </c>
      <c r="C20" s="119">
        <v>22.0</v>
      </c>
      <c r="D20" s="119" t="s">
        <v>55</v>
      </c>
      <c r="E20" s="119">
        <v>14.0</v>
      </c>
      <c r="F20" s="119" t="s">
        <v>55</v>
      </c>
      <c r="G20" s="119">
        <v>8.0</v>
      </c>
      <c r="H20" s="119" t="s">
        <v>55</v>
      </c>
      <c r="I20" s="119">
        <v>6.0</v>
      </c>
      <c r="J20" s="119">
        <v>0.0</v>
      </c>
      <c r="K20" s="119">
        <v>0.0</v>
      </c>
      <c r="L20" s="119">
        <v>18.0</v>
      </c>
      <c r="M20" s="119">
        <v>11.0</v>
      </c>
      <c r="N20" s="119" t="s">
        <v>55</v>
      </c>
      <c r="O20" s="119">
        <v>2.0</v>
      </c>
      <c r="P20" s="119">
        <v>0.0</v>
      </c>
      <c r="Q20" s="119">
        <v>0.0</v>
      </c>
      <c r="R20" s="104"/>
      <c r="S20" s="104"/>
      <c r="T20" s="104"/>
      <c r="U20" s="104"/>
    </row>
    <row r="21">
      <c r="A21" s="174" t="s">
        <v>105</v>
      </c>
      <c r="B21" s="176">
        <v>130.0</v>
      </c>
      <c r="C21" s="176">
        <v>293.0</v>
      </c>
      <c r="D21" s="176" t="s">
        <v>55</v>
      </c>
      <c r="E21" s="176">
        <v>58.0</v>
      </c>
      <c r="F21" s="176">
        <v>107.0</v>
      </c>
      <c r="G21" s="176">
        <v>167.0</v>
      </c>
      <c r="H21" s="176">
        <v>152.0</v>
      </c>
      <c r="I21" s="176">
        <v>234.0</v>
      </c>
      <c r="J21" s="176">
        <v>0.0</v>
      </c>
      <c r="K21" s="176">
        <v>0.0</v>
      </c>
      <c r="L21" s="176">
        <v>237.0</v>
      </c>
      <c r="M21" s="176">
        <v>140.0</v>
      </c>
      <c r="N21" s="176" t="s">
        <v>55</v>
      </c>
      <c r="O21" s="176">
        <v>9.0</v>
      </c>
      <c r="P21" s="176" t="s">
        <v>55</v>
      </c>
      <c r="Q21" s="176">
        <v>12.0</v>
      </c>
      <c r="R21" s="104"/>
      <c r="S21" s="104"/>
      <c r="T21" s="104"/>
      <c r="U21" s="104"/>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2" t="s">
        <v>219</v>
      </c>
      <c r="B1" s="183" t="s">
        <v>220</v>
      </c>
      <c r="C1" s="183" t="s">
        <v>221</v>
      </c>
      <c r="D1" s="183" t="s">
        <v>222</v>
      </c>
      <c r="E1" s="183" t="s">
        <v>223</v>
      </c>
      <c r="F1" s="183" t="s">
        <v>25</v>
      </c>
      <c r="G1" s="183" t="s">
        <v>224</v>
      </c>
      <c r="H1" s="183" t="s">
        <v>225</v>
      </c>
      <c r="I1" s="183" t="s">
        <v>226</v>
      </c>
    </row>
    <row r="2" ht="14.25" customHeight="1">
      <c r="A2" s="184" t="s">
        <v>227</v>
      </c>
      <c r="B2" s="185">
        <v>1134.0</v>
      </c>
      <c r="C2" s="186">
        <v>7010.0</v>
      </c>
      <c r="D2" s="187">
        <v>67.0</v>
      </c>
      <c r="E2" s="186">
        <v>414.0</v>
      </c>
      <c r="F2" s="186">
        <v>16.0</v>
      </c>
      <c r="G2" s="186">
        <v>99.0</v>
      </c>
      <c r="H2" s="186">
        <v>1463.0</v>
      </c>
      <c r="I2" s="186">
        <v>9043.0</v>
      </c>
    </row>
    <row r="3" ht="14.25" customHeight="1">
      <c r="A3" s="184" t="s">
        <v>228</v>
      </c>
      <c r="B3" s="185">
        <v>2115.0</v>
      </c>
      <c r="C3" s="186">
        <v>9512.0</v>
      </c>
      <c r="D3" s="187">
        <v>114.0</v>
      </c>
      <c r="E3" s="186">
        <v>513.0</v>
      </c>
      <c r="F3" s="186">
        <v>72.0</v>
      </c>
      <c r="G3" s="186">
        <v>324.0</v>
      </c>
      <c r="H3" s="186">
        <v>1828.0</v>
      </c>
      <c r="I3" s="186">
        <v>8222.0</v>
      </c>
    </row>
    <row r="4" ht="14.25" customHeight="1">
      <c r="A4" s="184" t="s">
        <v>229</v>
      </c>
      <c r="B4" s="185">
        <v>1710.0</v>
      </c>
      <c r="C4" s="186">
        <v>10393.0</v>
      </c>
      <c r="D4" s="187">
        <v>61.0</v>
      </c>
      <c r="E4" s="186">
        <v>371.0</v>
      </c>
      <c r="F4" s="186">
        <v>64.0</v>
      </c>
      <c r="G4" s="186">
        <v>389.0</v>
      </c>
      <c r="H4" s="186">
        <v>1192.0</v>
      </c>
      <c r="I4" s="186">
        <v>7245.0</v>
      </c>
    </row>
    <row r="5" ht="14.25" customHeight="1">
      <c r="A5" s="184" t="s">
        <v>230</v>
      </c>
      <c r="B5" s="185">
        <v>4081.0</v>
      </c>
      <c r="C5" s="186">
        <v>21056.0</v>
      </c>
      <c r="D5" s="187">
        <v>220.0</v>
      </c>
      <c r="E5" s="186">
        <v>1135.0</v>
      </c>
      <c r="F5" s="186">
        <v>25.0</v>
      </c>
      <c r="G5" s="186">
        <v>129.0</v>
      </c>
      <c r="H5" s="186">
        <v>3304.0</v>
      </c>
      <c r="I5" s="186">
        <v>17047.0</v>
      </c>
    </row>
    <row r="6" ht="14.25" customHeight="1">
      <c r="A6" s="184" t="s">
        <v>231</v>
      </c>
      <c r="B6" s="185">
        <v>488.0</v>
      </c>
      <c r="C6" s="186">
        <v>6272.0</v>
      </c>
      <c r="D6" s="187">
        <v>24.0</v>
      </c>
      <c r="E6" s="186">
        <v>308.0</v>
      </c>
      <c r="F6" s="186" t="s">
        <v>55</v>
      </c>
      <c r="G6" s="186" t="s">
        <v>38</v>
      </c>
      <c r="H6" s="186">
        <v>558.0</v>
      </c>
      <c r="I6" s="186">
        <v>7172.0</v>
      </c>
    </row>
    <row r="7" ht="14.25" customHeight="1">
      <c r="A7" s="184" t="s">
        <v>232</v>
      </c>
      <c r="B7" s="185">
        <v>3455.0</v>
      </c>
      <c r="C7" s="186">
        <v>9993.0</v>
      </c>
      <c r="D7" s="187">
        <v>213.0</v>
      </c>
      <c r="E7" s="186">
        <v>616.0</v>
      </c>
      <c r="F7" s="186">
        <v>92.0</v>
      </c>
      <c r="G7" s="186">
        <v>266.0</v>
      </c>
      <c r="H7" s="186">
        <v>2958.0</v>
      </c>
      <c r="I7" s="186">
        <v>8555.0</v>
      </c>
    </row>
    <row r="8" ht="14.25" customHeight="1">
      <c r="A8" s="184" t="s">
        <v>233</v>
      </c>
      <c r="B8" s="185">
        <v>11186.0</v>
      </c>
      <c r="C8" s="186">
        <v>13777.0</v>
      </c>
      <c r="D8" s="187">
        <v>680.0</v>
      </c>
      <c r="E8" s="186">
        <v>837.0</v>
      </c>
      <c r="F8" s="186">
        <v>132.0</v>
      </c>
      <c r="G8" s="186">
        <v>163.0</v>
      </c>
      <c r="H8" s="186">
        <v>6255.0</v>
      </c>
      <c r="I8" s="186">
        <v>7704.0</v>
      </c>
    </row>
    <row r="9" ht="14.25" customHeight="1">
      <c r="A9" s="184" t="s">
        <v>234</v>
      </c>
      <c r="B9" s="185">
        <v>3570.0</v>
      </c>
      <c r="C9" s="186">
        <v>10302.0</v>
      </c>
      <c r="D9" s="187">
        <v>215.0</v>
      </c>
      <c r="E9" s="186">
        <v>620.0</v>
      </c>
      <c r="F9" s="186">
        <v>76.0</v>
      </c>
      <c r="G9" s="186">
        <v>219.0</v>
      </c>
      <c r="H9" s="186">
        <v>2942.0</v>
      </c>
      <c r="I9" s="186">
        <v>8490.0</v>
      </c>
    </row>
    <row r="10" ht="14.25" customHeight="1">
      <c r="A10" s="184" t="s">
        <v>235</v>
      </c>
      <c r="B10" s="185">
        <v>1514.0</v>
      </c>
      <c r="C10" s="186">
        <v>11581.0</v>
      </c>
      <c r="D10" s="187">
        <v>75.0</v>
      </c>
      <c r="E10" s="186">
        <v>574.0</v>
      </c>
      <c r="F10" s="186">
        <v>26.0</v>
      </c>
      <c r="G10" s="186">
        <v>199.0</v>
      </c>
      <c r="H10" s="186">
        <v>1556.0</v>
      </c>
      <c r="I10" s="186">
        <v>11902.0</v>
      </c>
    </row>
    <row r="11" ht="14.25" customHeight="1">
      <c r="A11" s="184" t="s">
        <v>236</v>
      </c>
      <c r="B11" s="185">
        <v>4978.0</v>
      </c>
      <c r="C11" s="186">
        <v>10491.0</v>
      </c>
      <c r="D11" s="187">
        <v>376.0</v>
      </c>
      <c r="E11" s="186">
        <v>792.0</v>
      </c>
      <c r="F11" s="186">
        <v>195.0</v>
      </c>
      <c r="G11" s="186">
        <v>411.0</v>
      </c>
      <c r="H11" s="186">
        <v>4030.0</v>
      </c>
      <c r="I11" s="186">
        <v>8493.0</v>
      </c>
    </row>
    <row r="12" ht="14.25" customHeight="1">
      <c r="A12" s="184" t="s">
        <v>237</v>
      </c>
      <c r="B12" s="185">
        <v>470.0</v>
      </c>
      <c r="C12" s="186">
        <v>6930.0</v>
      </c>
      <c r="D12" s="187">
        <v>30.0</v>
      </c>
      <c r="E12" s="186">
        <v>442.0</v>
      </c>
      <c r="F12" s="186">
        <v>7.0</v>
      </c>
      <c r="G12" s="186">
        <v>103.0</v>
      </c>
      <c r="H12" s="186">
        <v>518.0</v>
      </c>
      <c r="I12" s="186">
        <v>7638.0</v>
      </c>
    </row>
    <row r="13" ht="14.25" customHeight="1">
      <c r="A13" s="184" t="s">
        <v>238</v>
      </c>
      <c r="B13" s="185">
        <v>426.0</v>
      </c>
      <c r="C13" s="186">
        <v>9085.0</v>
      </c>
      <c r="D13" s="187">
        <v>15.0</v>
      </c>
      <c r="E13" s="186">
        <v>320.0</v>
      </c>
      <c r="F13" s="186">
        <v>5.0</v>
      </c>
      <c r="G13" s="186">
        <v>107.0</v>
      </c>
      <c r="H13" s="186">
        <v>326.0</v>
      </c>
      <c r="I13" s="186">
        <v>6952.0</v>
      </c>
    </row>
    <row r="14" ht="14.25" customHeight="1">
      <c r="A14" s="184" t="s">
        <v>239</v>
      </c>
      <c r="B14" s="185">
        <v>714.0</v>
      </c>
      <c r="C14" s="186">
        <v>7096.0</v>
      </c>
      <c r="D14" s="187">
        <v>27.0</v>
      </c>
      <c r="E14" s="186">
        <v>268.0</v>
      </c>
      <c r="F14" s="186">
        <v>7.0</v>
      </c>
      <c r="G14" s="186">
        <v>70.0</v>
      </c>
      <c r="H14" s="186">
        <v>763.0</v>
      </c>
      <c r="I14" s="186">
        <v>7583.0</v>
      </c>
    </row>
    <row r="15" ht="14.25" customHeight="1">
      <c r="A15" s="184" t="s">
        <v>240</v>
      </c>
      <c r="B15" s="185">
        <v>527.0</v>
      </c>
      <c r="C15" s="186">
        <v>6497.0</v>
      </c>
      <c r="D15" s="187">
        <v>31.0</v>
      </c>
      <c r="E15" s="186">
        <v>382.0</v>
      </c>
      <c r="F15" s="186" t="s">
        <v>55</v>
      </c>
      <c r="G15" s="186" t="s">
        <v>38</v>
      </c>
      <c r="H15" s="186">
        <v>642.0</v>
      </c>
      <c r="I15" s="186">
        <v>7915.0</v>
      </c>
    </row>
    <row r="16" ht="14.25" customHeight="1">
      <c r="A16" s="184" t="s">
        <v>241</v>
      </c>
      <c r="B16" s="185">
        <v>299.0</v>
      </c>
      <c r="C16" s="186">
        <v>5440.0</v>
      </c>
      <c r="D16" s="187">
        <v>10.0</v>
      </c>
      <c r="E16" s="186">
        <v>182.0</v>
      </c>
      <c r="F16" s="186" t="s">
        <v>55</v>
      </c>
      <c r="G16" s="186" t="s">
        <v>38</v>
      </c>
      <c r="H16" s="186">
        <v>438.0</v>
      </c>
      <c r="I16" s="186">
        <v>7969.0</v>
      </c>
    </row>
    <row r="17" ht="14.25" customHeight="1">
      <c r="A17" s="184" t="s">
        <v>242</v>
      </c>
      <c r="B17" s="185">
        <v>4135.0</v>
      </c>
      <c r="C17" s="186">
        <v>14144.0</v>
      </c>
      <c r="D17" s="187">
        <v>280.0</v>
      </c>
      <c r="E17" s="186">
        <v>958.0</v>
      </c>
      <c r="F17" s="186">
        <v>152.0</v>
      </c>
      <c r="G17" s="186">
        <v>520.0</v>
      </c>
      <c r="H17" s="186">
        <v>2374.0</v>
      </c>
      <c r="I17" s="186">
        <v>8120.0</v>
      </c>
    </row>
    <row r="18" ht="14.25" customHeight="1">
      <c r="A18" s="184" t="s">
        <v>243</v>
      </c>
      <c r="B18" s="185">
        <v>2355.0</v>
      </c>
      <c r="C18" s="186">
        <v>10881.0</v>
      </c>
      <c r="D18" s="187">
        <v>175.0</v>
      </c>
      <c r="E18" s="186">
        <v>809.0</v>
      </c>
      <c r="F18" s="186">
        <v>75.0</v>
      </c>
      <c r="G18" s="186">
        <v>347.0</v>
      </c>
      <c r="H18" s="186">
        <v>2203.0</v>
      </c>
      <c r="I18" s="186">
        <v>10178.0</v>
      </c>
    </row>
    <row r="19" ht="14.25" customHeight="1">
      <c r="A19" s="184" t="s">
        <v>244</v>
      </c>
      <c r="B19" s="185">
        <v>152.0</v>
      </c>
      <c r="C19" s="186">
        <v>4337.0</v>
      </c>
      <c r="D19" s="187" t="s">
        <v>55</v>
      </c>
      <c r="E19" s="186" t="s">
        <v>38</v>
      </c>
      <c r="F19" s="186" t="s">
        <v>55</v>
      </c>
      <c r="G19" s="186" t="s">
        <v>38</v>
      </c>
      <c r="H19" s="186">
        <v>162.0</v>
      </c>
      <c r="I19" s="186">
        <v>4622.0</v>
      </c>
    </row>
    <row r="20" ht="14.25" customHeight="1">
      <c r="A20" s="184" t="s">
        <v>245</v>
      </c>
      <c r="B20" s="185">
        <v>997.0</v>
      </c>
      <c r="C20" s="186">
        <v>6201.0</v>
      </c>
      <c r="D20" s="187">
        <v>54.0</v>
      </c>
      <c r="E20" s="186">
        <v>336.0</v>
      </c>
      <c r="F20" s="186">
        <v>8.0</v>
      </c>
      <c r="G20" s="186">
        <v>50.0</v>
      </c>
      <c r="H20" s="186">
        <v>1190.0</v>
      </c>
      <c r="I20" s="186">
        <v>7401.0</v>
      </c>
    </row>
    <row r="21" ht="14.25" customHeight="1">
      <c r="A21" s="184" t="s">
        <v>246</v>
      </c>
      <c r="B21" s="185">
        <v>1357.0</v>
      </c>
      <c r="C21" s="186">
        <v>8727.0</v>
      </c>
      <c r="D21" s="187">
        <v>38.0</v>
      </c>
      <c r="E21" s="186">
        <v>244.0</v>
      </c>
      <c r="F21" s="186">
        <v>7.0</v>
      </c>
      <c r="G21" s="186">
        <v>45.0</v>
      </c>
      <c r="H21" s="186">
        <v>1126.0</v>
      </c>
      <c r="I21" s="186">
        <v>7241.0</v>
      </c>
    </row>
    <row r="22" ht="14.25" customHeight="1">
      <c r="A22" s="184" t="s">
        <v>247</v>
      </c>
      <c r="B22" s="185">
        <v>47.0</v>
      </c>
      <c r="C22" s="186">
        <v>5683.0</v>
      </c>
      <c r="D22" s="187">
        <v>0.0</v>
      </c>
      <c r="E22" s="186">
        <v>0.0</v>
      </c>
      <c r="F22" s="186">
        <v>0.0</v>
      </c>
      <c r="G22" s="186">
        <v>0.0</v>
      </c>
      <c r="H22" s="186">
        <v>66.0</v>
      </c>
      <c r="I22" s="186">
        <v>7981.0</v>
      </c>
    </row>
    <row r="23" ht="14.25" customHeight="1">
      <c r="A23" s="184" t="s">
        <v>248</v>
      </c>
      <c r="B23" s="185">
        <v>1646.0</v>
      </c>
      <c r="C23" s="186">
        <v>6647.0</v>
      </c>
      <c r="D23" s="187">
        <v>65.0</v>
      </c>
      <c r="E23" s="186">
        <v>262.0</v>
      </c>
      <c r="F23" s="186">
        <v>9.0</v>
      </c>
      <c r="G23" s="186">
        <v>36.0</v>
      </c>
      <c r="H23" s="186">
        <v>1515.0</v>
      </c>
      <c r="I23" s="186">
        <v>6118.0</v>
      </c>
    </row>
    <row r="24" ht="14.25" customHeight="1">
      <c r="A24" s="184" t="s">
        <v>249</v>
      </c>
      <c r="B24" s="185">
        <v>2024.0</v>
      </c>
      <c r="C24" s="186">
        <v>7723.0</v>
      </c>
      <c r="D24" s="187">
        <v>123.0</v>
      </c>
      <c r="E24" s="186">
        <v>469.0</v>
      </c>
      <c r="F24" s="186">
        <v>75.0</v>
      </c>
      <c r="G24" s="186">
        <v>286.0</v>
      </c>
      <c r="H24" s="186">
        <v>2338.0</v>
      </c>
      <c r="I24" s="186">
        <v>8921.0</v>
      </c>
    </row>
    <row r="25" ht="15.75" customHeight="1">
      <c r="A25" s="184" t="s">
        <v>250</v>
      </c>
      <c r="B25" s="185">
        <v>4260.0</v>
      </c>
      <c r="C25" s="186">
        <v>13124.0</v>
      </c>
      <c r="D25" s="187">
        <v>319.0</v>
      </c>
      <c r="E25" s="186">
        <v>983.0</v>
      </c>
      <c r="F25" s="186">
        <v>122.0</v>
      </c>
      <c r="G25" s="186">
        <v>376.0</v>
      </c>
      <c r="H25" s="186">
        <v>2551.0</v>
      </c>
      <c r="I25" s="186">
        <v>7859.0</v>
      </c>
    </row>
    <row r="26" ht="14.25" customHeight="1">
      <c r="A26" s="184" t="s">
        <v>251</v>
      </c>
      <c r="B26" s="185">
        <v>1241.0</v>
      </c>
      <c r="C26" s="186">
        <v>10049.0</v>
      </c>
      <c r="D26" s="187">
        <v>80.0</v>
      </c>
      <c r="E26" s="186">
        <v>648.0</v>
      </c>
      <c r="F26" s="186">
        <v>60.0</v>
      </c>
      <c r="G26" s="186">
        <v>486.0</v>
      </c>
      <c r="H26" s="186">
        <v>1089.0</v>
      </c>
      <c r="I26" s="186">
        <v>8819.0</v>
      </c>
    </row>
    <row r="27" ht="14.25" customHeight="1">
      <c r="A27" s="184" t="s">
        <v>252</v>
      </c>
      <c r="B27" s="185">
        <v>10023.0</v>
      </c>
      <c r="C27" s="186">
        <v>13968.0</v>
      </c>
      <c r="D27" s="187">
        <v>625.0</v>
      </c>
      <c r="E27" s="186">
        <v>871.0</v>
      </c>
      <c r="F27" s="186">
        <v>114.0</v>
      </c>
      <c r="G27" s="186">
        <v>159.0</v>
      </c>
      <c r="H27" s="186">
        <v>4736.0</v>
      </c>
      <c r="I27" s="186">
        <v>6600.0</v>
      </c>
    </row>
    <row r="28" ht="14.25" customHeight="1">
      <c r="A28" s="184" t="s">
        <v>253</v>
      </c>
      <c r="B28" s="185">
        <v>1078.0</v>
      </c>
      <c r="C28" s="186">
        <v>6189.0</v>
      </c>
      <c r="D28" s="187">
        <v>18.0</v>
      </c>
      <c r="E28" s="186">
        <v>103.0</v>
      </c>
      <c r="F28" s="186">
        <v>5.0</v>
      </c>
      <c r="G28" s="186">
        <v>29.0</v>
      </c>
      <c r="H28" s="186">
        <v>1207.0</v>
      </c>
      <c r="I28" s="186">
        <v>6930.0</v>
      </c>
    </row>
    <row r="29" ht="14.25" customHeight="1">
      <c r="A29" s="184" t="s">
        <v>254</v>
      </c>
      <c r="B29" s="185">
        <v>27702.0</v>
      </c>
      <c r="C29" s="186">
        <v>15438.0</v>
      </c>
      <c r="D29" s="187">
        <v>2004.0</v>
      </c>
      <c r="E29" s="186">
        <v>1117.0</v>
      </c>
      <c r="F29" s="186">
        <v>494.0</v>
      </c>
      <c r="G29" s="186">
        <v>275.0</v>
      </c>
      <c r="H29" s="186">
        <v>10108.0</v>
      </c>
      <c r="I29" s="186">
        <v>5633.0</v>
      </c>
    </row>
    <row r="30" ht="14.25" customHeight="1">
      <c r="A30" s="184" t="s">
        <v>255</v>
      </c>
      <c r="B30" s="185">
        <v>302.0</v>
      </c>
      <c r="C30" s="186">
        <v>3960.0</v>
      </c>
      <c r="D30" s="187">
        <v>17.0</v>
      </c>
      <c r="E30" s="186">
        <v>223.0</v>
      </c>
      <c r="F30" s="186">
        <v>0.0</v>
      </c>
      <c r="G30" s="186">
        <v>0.0</v>
      </c>
      <c r="H30" s="186">
        <v>589.0</v>
      </c>
      <c r="I30" s="186">
        <v>7724.0</v>
      </c>
    </row>
    <row r="31" ht="14.25" customHeight="1">
      <c r="A31" s="184" t="s">
        <v>256</v>
      </c>
      <c r="B31" s="185">
        <v>775.0</v>
      </c>
      <c r="C31" s="186">
        <v>7309.0</v>
      </c>
      <c r="D31" s="187">
        <v>34.0</v>
      </c>
      <c r="E31" s="186">
        <v>321.0</v>
      </c>
      <c r="F31" s="186" t="s">
        <v>55</v>
      </c>
      <c r="G31" s="186" t="s">
        <v>38</v>
      </c>
      <c r="H31" s="186">
        <v>892.0</v>
      </c>
      <c r="I31" s="186">
        <v>8413.0</v>
      </c>
    </row>
    <row r="32" ht="14.25" customHeight="1">
      <c r="A32" s="184" t="s">
        <v>257</v>
      </c>
      <c r="B32" s="185">
        <v>2753.0</v>
      </c>
      <c r="C32" s="186">
        <v>12728.0</v>
      </c>
      <c r="D32" s="187">
        <v>198.0</v>
      </c>
      <c r="E32" s="186">
        <v>915.0</v>
      </c>
      <c r="F32" s="186">
        <v>141.0</v>
      </c>
      <c r="G32" s="186">
        <v>652.0</v>
      </c>
      <c r="H32" s="186">
        <v>2181.0</v>
      </c>
      <c r="I32" s="186">
        <v>10083.0</v>
      </c>
    </row>
    <row r="33" ht="14.25" customHeight="1">
      <c r="A33" s="184" t="s">
        <v>258</v>
      </c>
      <c r="B33" s="185">
        <v>1327.0</v>
      </c>
      <c r="C33" s="186">
        <v>4318.0</v>
      </c>
      <c r="D33" s="187">
        <v>54.0</v>
      </c>
      <c r="E33" s="186">
        <v>176.0</v>
      </c>
      <c r="F33" s="186">
        <v>34.0</v>
      </c>
      <c r="G33" s="186">
        <v>111.0</v>
      </c>
      <c r="H33" s="186">
        <v>2405.0</v>
      </c>
      <c r="I33" s="186">
        <v>7825.0</v>
      </c>
    </row>
    <row r="34" ht="14.25" customHeight="1">
      <c r="A34" s="184" t="s">
        <v>259</v>
      </c>
      <c r="B34" s="185">
        <v>1175.0</v>
      </c>
      <c r="C34" s="186">
        <v>7429.0</v>
      </c>
      <c r="D34" s="187">
        <v>14.0</v>
      </c>
      <c r="E34" s="186">
        <v>89.0</v>
      </c>
      <c r="F34" s="186">
        <v>14.0</v>
      </c>
      <c r="G34" s="186">
        <v>89.0</v>
      </c>
      <c r="H34" s="186">
        <v>766.0</v>
      </c>
      <c r="I34" s="186">
        <v>4843.0</v>
      </c>
    </row>
    <row r="35" ht="14.25" customHeight="1">
      <c r="A35" s="184" t="s">
        <v>260</v>
      </c>
      <c r="B35" s="185">
        <v>1071.0</v>
      </c>
      <c r="C35" s="186">
        <v>10212.0</v>
      </c>
      <c r="D35" s="187">
        <v>72.0</v>
      </c>
      <c r="E35" s="186">
        <v>686.0</v>
      </c>
      <c r="F35" s="186">
        <v>50.0</v>
      </c>
      <c r="G35" s="186">
        <v>477.0</v>
      </c>
      <c r="H35" s="186">
        <v>1008.0</v>
      </c>
      <c r="I35" s="186">
        <v>9611.0</v>
      </c>
    </row>
    <row r="36" ht="14.25" customHeight="1">
      <c r="A36" s="184" t="s">
        <v>261</v>
      </c>
      <c r="B36" s="185">
        <v>7436.0</v>
      </c>
      <c r="C36" s="186">
        <v>9171.0</v>
      </c>
      <c r="D36" s="187">
        <v>470.0</v>
      </c>
      <c r="E36" s="186">
        <v>580.0</v>
      </c>
      <c r="F36" s="186">
        <v>169.0</v>
      </c>
      <c r="G36" s="186">
        <v>208.0</v>
      </c>
      <c r="H36" s="186">
        <v>7443.0</v>
      </c>
      <c r="I36" s="186">
        <v>9180.0</v>
      </c>
    </row>
    <row r="37" ht="14.25" customHeight="1">
      <c r="A37" s="184" t="s">
        <v>262</v>
      </c>
      <c r="B37" s="185">
        <v>478.0</v>
      </c>
      <c r="C37" s="186">
        <v>7736.0</v>
      </c>
      <c r="D37" s="187">
        <v>19.0</v>
      </c>
      <c r="E37" s="186">
        <v>307.0</v>
      </c>
      <c r="F37" s="186" t="s">
        <v>55</v>
      </c>
      <c r="G37" s="186" t="s">
        <v>38</v>
      </c>
      <c r="H37" s="186">
        <v>475.0</v>
      </c>
      <c r="I37" s="186">
        <v>7687.0</v>
      </c>
    </row>
    <row r="38" ht="14.25" customHeight="1">
      <c r="A38" s="184" t="s">
        <v>263</v>
      </c>
      <c r="B38" s="185">
        <v>2877.0</v>
      </c>
      <c r="C38" s="186">
        <v>9936.0</v>
      </c>
      <c r="D38" s="187">
        <v>176.0</v>
      </c>
      <c r="E38" s="186">
        <v>608.0</v>
      </c>
      <c r="F38" s="186">
        <v>48.0</v>
      </c>
      <c r="G38" s="186">
        <v>166.0</v>
      </c>
      <c r="H38" s="186">
        <v>2197.0</v>
      </c>
      <c r="I38" s="186">
        <v>7588.0</v>
      </c>
    </row>
    <row r="39" ht="14.25" customHeight="1">
      <c r="A39" s="184" t="s">
        <v>264</v>
      </c>
      <c r="B39" s="185">
        <v>1599.0</v>
      </c>
      <c r="C39" s="186">
        <v>7068.0</v>
      </c>
      <c r="D39" s="187">
        <v>94.0</v>
      </c>
      <c r="E39" s="186">
        <v>415.0</v>
      </c>
      <c r="F39" s="186">
        <v>35.0</v>
      </c>
      <c r="G39" s="186">
        <v>155.0</v>
      </c>
      <c r="H39" s="186">
        <v>1577.0</v>
      </c>
      <c r="I39" s="186">
        <v>6970.0</v>
      </c>
    </row>
    <row r="40" ht="14.25" customHeight="1">
      <c r="A40" s="184" t="s">
        <v>265</v>
      </c>
      <c r="B40" s="185">
        <v>4620.0</v>
      </c>
      <c r="C40" s="186">
        <v>11122.0</v>
      </c>
      <c r="D40" s="187">
        <v>372.0</v>
      </c>
      <c r="E40" s="186">
        <v>896.0</v>
      </c>
      <c r="F40" s="186">
        <v>199.0</v>
      </c>
      <c r="G40" s="186">
        <v>479.0</v>
      </c>
      <c r="H40" s="186">
        <v>2468.0</v>
      </c>
      <c r="I40" s="186">
        <v>5941.0</v>
      </c>
    </row>
    <row r="41" ht="14.25" customHeight="1">
      <c r="A41" s="184" t="s">
        <v>67</v>
      </c>
      <c r="B41" s="185">
        <v>4990.0</v>
      </c>
      <c r="C41" s="186" t="s">
        <v>38</v>
      </c>
      <c r="D41" s="187">
        <v>279.0</v>
      </c>
      <c r="E41" s="186" t="s">
        <v>38</v>
      </c>
      <c r="F41" s="186">
        <v>8.0</v>
      </c>
      <c r="G41" s="186" t="s">
        <v>38</v>
      </c>
      <c r="H41" s="186">
        <v>1136.0</v>
      </c>
      <c r="I41" s="186" t="s">
        <v>38</v>
      </c>
    </row>
    <row r="42" ht="14.25" customHeight="1">
      <c r="A42" s="188" t="s">
        <v>266</v>
      </c>
      <c r="B42" s="186">
        <v>123087.0</v>
      </c>
      <c r="C42" s="186">
        <v>11649.0</v>
      </c>
      <c r="D42" s="186">
        <v>7740.0</v>
      </c>
      <c r="E42" s="186">
        <v>733.0</v>
      </c>
      <c r="F42" s="186">
        <v>2549.0</v>
      </c>
      <c r="G42" s="186">
        <v>241.0</v>
      </c>
      <c r="H42" s="186">
        <v>82575.0</v>
      </c>
      <c r="I42" s="186">
        <v>7815.0</v>
      </c>
    </row>
    <row r="43" ht="14.25" customHeight="1">
      <c r="A43" s="189" t="s">
        <v>267</v>
      </c>
      <c r="D43" s="190"/>
      <c r="E43" s="190"/>
      <c r="F43" s="190"/>
      <c r="G43" s="190"/>
      <c r="H43" s="190"/>
      <c r="I43" s="190"/>
    </row>
    <row r="44" ht="15.0" customHeight="1">
      <c r="A44" s="191" t="s">
        <v>268</v>
      </c>
      <c r="H44" s="191"/>
      <c r="I44" s="191"/>
    </row>
    <row r="45" ht="14.25" customHeight="1">
      <c r="H45" s="191"/>
      <c r="I45" s="191"/>
    </row>
    <row r="46" ht="14.25" customHeight="1">
      <c r="H46" s="191"/>
      <c r="I46" s="191"/>
    </row>
    <row r="47" ht="14.25" customHeight="1">
      <c r="A47" s="192" t="s">
        <v>0</v>
      </c>
      <c r="B47" s="193">
        <v>44265.0</v>
      </c>
      <c r="C47" s="190"/>
      <c r="D47" s="190"/>
      <c r="E47" s="190"/>
      <c r="F47" s="190"/>
      <c r="G47" s="190"/>
      <c r="H47" s="190"/>
      <c r="I47" s="190"/>
    </row>
    <row r="48" ht="14.25" customHeight="1">
      <c r="A48" s="192"/>
      <c r="B48" s="193"/>
      <c r="C48" s="190"/>
      <c r="D48" s="190"/>
      <c r="E48" s="190"/>
      <c r="F48" s="190"/>
      <c r="G48" s="190"/>
      <c r="H48" s="190"/>
      <c r="I48" s="190"/>
    </row>
    <row r="49" ht="14.25" customHeight="1">
      <c r="A49" s="192"/>
      <c r="B49" s="193"/>
      <c r="C49" s="190"/>
      <c r="D49" s="190"/>
      <c r="E49" s="190"/>
      <c r="F49" s="190"/>
      <c r="G49" s="190"/>
      <c r="H49" s="190"/>
      <c r="I49" s="190"/>
    </row>
    <row r="50" ht="14.25" customHeight="1">
      <c r="A50" s="192"/>
      <c r="B50" s="193"/>
      <c r="C50" s="190"/>
      <c r="D50" s="190"/>
      <c r="E50" s="190"/>
      <c r="F50" s="190"/>
      <c r="G50" s="190"/>
      <c r="H50" s="190"/>
      <c r="I50" s="190"/>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1" t="s">
        <v>269</v>
      </c>
      <c r="K1" s="102"/>
      <c r="L1" s="104"/>
      <c r="M1" s="105"/>
      <c r="N1" s="104"/>
      <c r="O1" s="105"/>
      <c r="P1" s="104"/>
      <c r="Q1" s="12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101</v>
      </c>
      <c r="F2" s="194"/>
      <c r="G2" s="194"/>
      <c r="H2" s="19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270</v>
      </c>
      <c r="K3" s="194"/>
      <c r="L3" s="194"/>
      <c r="M3" s="194"/>
      <c r="N3" s="194"/>
      <c r="O3" s="194"/>
      <c r="P3" s="19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6" t="s">
        <v>0</v>
      </c>
      <c r="B4" s="195">
        <v>44265.0</v>
      </c>
      <c r="C4" s="196"/>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c r="A5" s="109"/>
      <c r="B5" s="14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97" t="s">
        <v>271</v>
      </c>
      <c r="B6" s="111"/>
      <c r="C6" s="111"/>
      <c r="D6" s="111"/>
      <c r="E6" s="111"/>
      <c r="F6" s="111"/>
      <c r="G6" s="111"/>
      <c r="H6" s="111"/>
      <c r="I6" s="111"/>
      <c r="J6" s="111"/>
      <c r="K6" s="41"/>
      <c r="L6" s="198"/>
      <c r="M6" s="198"/>
      <c r="N6" s="198"/>
      <c r="O6" s="198"/>
      <c r="P6" s="198"/>
      <c r="Q6" s="112"/>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c r="A7" s="104"/>
      <c r="B7" s="113"/>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row>
    <row r="8">
      <c r="A8" s="199" t="s">
        <v>103</v>
      </c>
      <c r="B8" s="200" t="s">
        <v>272</v>
      </c>
      <c r="C8" s="200" t="s">
        <v>273</v>
      </c>
      <c r="D8" s="200" t="s">
        <v>274</v>
      </c>
      <c r="E8" s="200" t="s">
        <v>275</v>
      </c>
      <c r="F8" s="200" t="s">
        <v>276</v>
      </c>
      <c r="G8" s="200" t="s">
        <v>277</v>
      </c>
      <c r="H8" s="200" t="s">
        <v>278</v>
      </c>
      <c r="I8" s="200" t="s">
        <v>279</v>
      </c>
      <c r="J8" s="200" t="s">
        <v>280</v>
      </c>
      <c r="K8" s="200" t="s">
        <v>281</v>
      </c>
      <c r="L8" s="200" t="s">
        <v>282</v>
      </c>
      <c r="M8" s="200" t="s">
        <v>283</v>
      </c>
      <c r="N8" s="200" t="s">
        <v>284</v>
      </c>
      <c r="O8" s="200" t="s">
        <v>285</v>
      </c>
      <c r="P8" s="200" t="s">
        <v>286</v>
      </c>
      <c r="Q8" s="200" t="s">
        <v>287</v>
      </c>
      <c r="R8" s="200" t="s">
        <v>288</v>
      </c>
      <c r="S8" s="200" t="s">
        <v>289</v>
      </c>
      <c r="T8" s="200" t="s">
        <v>290</v>
      </c>
      <c r="U8" s="200" t="s">
        <v>291</v>
      </c>
      <c r="V8" s="200" t="s">
        <v>292</v>
      </c>
      <c r="W8" s="200" t="s">
        <v>293</v>
      </c>
      <c r="X8" s="200" t="s">
        <v>294</v>
      </c>
      <c r="Y8" s="200" t="s">
        <v>295</v>
      </c>
      <c r="Z8" s="200" t="s">
        <v>296</v>
      </c>
      <c r="AA8" s="200" t="s">
        <v>297</v>
      </c>
      <c r="AB8" s="200" t="s">
        <v>298</v>
      </c>
      <c r="AC8" s="200" t="s">
        <v>299</v>
      </c>
      <c r="AD8" s="200" t="s">
        <v>300</v>
      </c>
      <c r="AE8" s="200" t="s">
        <v>301</v>
      </c>
      <c r="AF8" s="200" t="s">
        <v>302</v>
      </c>
      <c r="AG8" s="200" t="s">
        <v>303</v>
      </c>
      <c r="AH8" s="200" t="s">
        <v>304</v>
      </c>
      <c r="AI8" s="200" t="s">
        <v>305</v>
      </c>
      <c r="AJ8" s="200" t="s">
        <v>306</v>
      </c>
      <c r="AK8" s="200" t="s">
        <v>307</v>
      </c>
      <c r="AL8" s="200" t="s">
        <v>308</v>
      </c>
      <c r="AM8" s="200" t="s">
        <v>309</v>
      </c>
      <c r="AN8" s="200" t="s">
        <v>310</v>
      </c>
      <c r="AO8" s="200" t="s">
        <v>311</v>
      </c>
      <c r="AP8" s="200" t="s">
        <v>266</v>
      </c>
    </row>
    <row r="9">
      <c r="A9" s="117" t="s">
        <v>106</v>
      </c>
      <c r="B9" s="201">
        <v>0.0</v>
      </c>
      <c r="C9" s="201">
        <v>0.0</v>
      </c>
      <c r="D9" s="201">
        <v>0.0</v>
      </c>
      <c r="E9" s="201">
        <v>0.0</v>
      </c>
      <c r="F9" s="201">
        <v>0.0</v>
      </c>
      <c r="G9" s="201" t="s">
        <v>55</v>
      </c>
      <c r="H9" s="201">
        <v>0.0</v>
      </c>
      <c r="I9" s="201" t="s">
        <v>55</v>
      </c>
      <c r="J9" s="201">
        <v>0.0</v>
      </c>
      <c r="K9" s="201">
        <v>0.0</v>
      </c>
      <c r="L9" s="201">
        <v>0.0</v>
      </c>
      <c r="M9" s="201">
        <v>0.0</v>
      </c>
      <c r="N9" s="201">
        <v>0.0</v>
      </c>
      <c r="O9" s="201">
        <v>0.0</v>
      </c>
      <c r="P9" s="201">
        <v>0.0</v>
      </c>
      <c r="Q9" s="201">
        <v>0.0</v>
      </c>
      <c r="R9" s="201">
        <v>0.0</v>
      </c>
      <c r="S9" s="201">
        <v>0.0</v>
      </c>
      <c r="T9" s="201">
        <v>0.0</v>
      </c>
      <c r="U9" s="201">
        <v>0.0</v>
      </c>
      <c r="V9" s="201">
        <v>0.0</v>
      </c>
      <c r="W9" s="201">
        <v>0.0</v>
      </c>
      <c r="X9" s="201">
        <v>0.0</v>
      </c>
      <c r="Y9" s="201" t="s">
        <v>55</v>
      </c>
      <c r="Z9" s="201">
        <v>0.0</v>
      </c>
      <c r="AA9" s="201">
        <v>0.0</v>
      </c>
      <c r="AB9" s="201">
        <v>0.0</v>
      </c>
      <c r="AC9" s="201">
        <v>0.0</v>
      </c>
      <c r="AD9" s="201">
        <v>0.0</v>
      </c>
      <c r="AE9" s="201">
        <v>0.0</v>
      </c>
      <c r="AF9" s="201">
        <v>0.0</v>
      </c>
      <c r="AG9" s="201">
        <v>0.0</v>
      </c>
      <c r="AH9" s="201">
        <v>0.0</v>
      </c>
      <c r="AI9" s="201">
        <v>0.0</v>
      </c>
      <c r="AJ9" s="201">
        <v>0.0</v>
      </c>
      <c r="AK9" s="201">
        <v>0.0</v>
      </c>
      <c r="AL9" s="201">
        <v>0.0</v>
      </c>
      <c r="AM9" s="201">
        <v>0.0</v>
      </c>
      <c r="AN9" s="201">
        <v>0.0</v>
      </c>
      <c r="AO9" s="201">
        <v>0.0</v>
      </c>
      <c r="AP9" s="72" t="s">
        <v>55</v>
      </c>
    </row>
    <row r="10">
      <c r="A10" s="117" t="s">
        <v>107</v>
      </c>
      <c r="B10" s="201" t="s">
        <v>55</v>
      </c>
      <c r="C10" s="201">
        <v>0.0</v>
      </c>
      <c r="D10" s="201" t="s">
        <v>55</v>
      </c>
      <c r="E10" s="201">
        <v>0.0</v>
      </c>
      <c r="F10" s="201">
        <v>0.0</v>
      </c>
      <c r="G10" s="201">
        <v>0.0</v>
      </c>
      <c r="H10" s="201" t="s">
        <v>55</v>
      </c>
      <c r="I10" s="201">
        <v>0.0</v>
      </c>
      <c r="J10" s="201">
        <v>0.0</v>
      </c>
      <c r="K10" s="201" t="s">
        <v>55</v>
      </c>
      <c r="L10" s="201">
        <v>0.0</v>
      </c>
      <c r="M10" s="201">
        <v>0.0</v>
      </c>
      <c r="N10" s="201">
        <v>0.0</v>
      </c>
      <c r="O10" s="201">
        <v>0.0</v>
      </c>
      <c r="P10" s="201">
        <v>0.0</v>
      </c>
      <c r="Q10" s="201">
        <v>0.0</v>
      </c>
      <c r="R10" s="201" t="s">
        <v>55</v>
      </c>
      <c r="S10" s="201">
        <v>0.0</v>
      </c>
      <c r="T10" s="201" t="s">
        <v>55</v>
      </c>
      <c r="U10" s="201" t="s">
        <v>55</v>
      </c>
      <c r="V10" s="201">
        <v>0.0</v>
      </c>
      <c r="W10" s="201">
        <v>0.0</v>
      </c>
      <c r="X10" s="201">
        <v>0.0</v>
      </c>
      <c r="Y10" s="201">
        <v>0.0</v>
      </c>
      <c r="Z10" s="201">
        <v>0.0</v>
      </c>
      <c r="AA10" s="201">
        <v>0.0</v>
      </c>
      <c r="AB10" s="201">
        <v>0.0</v>
      </c>
      <c r="AC10" s="201" t="s">
        <v>55</v>
      </c>
      <c r="AD10" s="201">
        <v>0.0</v>
      </c>
      <c r="AE10" s="201" t="s">
        <v>55</v>
      </c>
      <c r="AF10" s="201">
        <v>0.0</v>
      </c>
      <c r="AG10" s="201">
        <v>0.0</v>
      </c>
      <c r="AH10" s="201">
        <v>0.0</v>
      </c>
      <c r="AI10" s="201">
        <v>0.0</v>
      </c>
      <c r="AJ10" s="201">
        <v>0.0</v>
      </c>
      <c r="AK10" s="201">
        <v>0.0</v>
      </c>
      <c r="AL10" s="201">
        <v>0.0</v>
      </c>
      <c r="AM10" s="201" t="s">
        <v>55</v>
      </c>
      <c r="AN10" s="201">
        <v>0.0</v>
      </c>
      <c r="AO10" s="201">
        <v>0.0</v>
      </c>
      <c r="AP10" s="72">
        <v>14.0</v>
      </c>
    </row>
    <row r="11">
      <c r="A11" s="117" t="s">
        <v>108</v>
      </c>
      <c r="B11" s="201" t="s">
        <v>55</v>
      </c>
      <c r="C11" s="201" t="s">
        <v>55</v>
      </c>
      <c r="D11" s="201">
        <v>0.0</v>
      </c>
      <c r="E11" s="201" t="s">
        <v>55</v>
      </c>
      <c r="F11" s="201">
        <v>0.0</v>
      </c>
      <c r="G11" s="201" t="s">
        <v>55</v>
      </c>
      <c r="H11" s="201" t="s">
        <v>55</v>
      </c>
      <c r="I11" s="201" t="s">
        <v>55</v>
      </c>
      <c r="J11" s="201">
        <v>0.0</v>
      </c>
      <c r="K11" s="201" t="s">
        <v>55</v>
      </c>
      <c r="L11" s="201">
        <v>0.0</v>
      </c>
      <c r="M11" s="201" t="s">
        <v>55</v>
      </c>
      <c r="N11" s="201">
        <v>0.0</v>
      </c>
      <c r="O11" s="201">
        <v>0.0</v>
      </c>
      <c r="P11" s="201" t="s">
        <v>55</v>
      </c>
      <c r="Q11" s="201" t="s">
        <v>55</v>
      </c>
      <c r="R11" s="201">
        <v>0.0</v>
      </c>
      <c r="S11" s="201" t="s">
        <v>55</v>
      </c>
      <c r="T11" s="201" t="s">
        <v>55</v>
      </c>
      <c r="U11" s="201">
        <v>0.0</v>
      </c>
      <c r="V11" s="201">
        <v>0.0</v>
      </c>
      <c r="W11" s="201" t="s">
        <v>55</v>
      </c>
      <c r="X11" s="201">
        <v>0.0</v>
      </c>
      <c r="Y11" s="201">
        <v>0.0</v>
      </c>
      <c r="Z11" s="201" t="s">
        <v>55</v>
      </c>
      <c r="AA11" s="201" t="s">
        <v>55</v>
      </c>
      <c r="AB11" s="201" t="s">
        <v>55</v>
      </c>
      <c r="AC11" s="201">
        <v>25.0</v>
      </c>
      <c r="AD11" s="201">
        <v>0.0</v>
      </c>
      <c r="AE11" s="201" t="s">
        <v>55</v>
      </c>
      <c r="AF11" s="201">
        <v>0.0</v>
      </c>
      <c r="AG11" s="201" t="s">
        <v>55</v>
      </c>
      <c r="AH11" s="201">
        <v>0.0</v>
      </c>
      <c r="AI11" s="201" t="s">
        <v>55</v>
      </c>
      <c r="AJ11" s="201" t="s">
        <v>55</v>
      </c>
      <c r="AK11" s="201">
        <v>0.0</v>
      </c>
      <c r="AL11" s="201">
        <v>0.0</v>
      </c>
      <c r="AM11" s="201" t="s">
        <v>55</v>
      </c>
      <c r="AN11" s="201">
        <v>0.0</v>
      </c>
      <c r="AO11" s="201" t="s">
        <v>55</v>
      </c>
      <c r="AP11" s="72">
        <v>66.0</v>
      </c>
    </row>
    <row r="12">
      <c r="A12" s="117" t="s">
        <v>109</v>
      </c>
      <c r="B12" s="201">
        <v>5.0</v>
      </c>
      <c r="C12" s="201" t="s">
        <v>55</v>
      </c>
      <c r="D12" s="201">
        <v>5.0</v>
      </c>
      <c r="E12" s="201" t="s">
        <v>55</v>
      </c>
      <c r="F12" s="201" t="s">
        <v>55</v>
      </c>
      <c r="G12" s="201" t="s">
        <v>55</v>
      </c>
      <c r="H12" s="201">
        <v>27.0</v>
      </c>
      <c r="I12" s="201">
        <v>6.0</v>
      </c>
      <c r="J12" s="201">
        <v>0.0</v>
      </c>
      <c r="K12" s="201">
        <v>8.0</v>
      </c>
      <c r="L12" s="201" t="s">
        <v>55</v>
      </c>
      <c r="M12" s="201">
        <v>0.0</v>
      </c>
      <c r="N12" s="201">
        <v>0.0</v>
      </c>
      <c r="O12" s="201" t="s">
        <v>55</v>
      </c>
      <c r="P12" s="201">
        <v>0.0</v>
      </c>
      <c r="Q12" s="201" t="s">
        <v>55</v>
      </c>
      <c r="R12" s="201" t="s">
        <v>55</v>
      </c>
      <c r="S12" s="201">
        <v>0.0</v>
      </c>
      <c r="T12" s="201">
        <v>0.0</v>
      </c>
      <c r="U12" s="201" t="s">
        <v>55</v>
      </c>
      <c r="V12" s="201">
        <v>0.0</v>
      </c>
      <c r="W12" s="201" t="s">
        <v>55</v>
      </c>
      <c r="X12" s="201">
        <v>7.0</v>
      </c>
      <c r="Y12" s="201">
        <v>5.0</v>
      </c>
      <c r="Z12" s="201" t="s">
        <v>55</v>
      </c>
      <c r="AA12" s="201">
        <v>16.0</v>
      </c>
      <c r="AB12" s="201" t="s">
        <v>55</v>
      </c>
      <c r="AC12" s="201">
        <v>46.0</v>
      </c>
      <c r="AD12" s="201">
        <v>0.0</v>
      </c>
      <c r="AE12" s="201">
        <v>5.0</v>
      </c>
      <c r="AF12" s="201" t="s">
        <v>55</v>
      </c>
      <c r="AG12" s="201" t="s">
        <v>55</v>
      </c>
      <c r="AH12" s="201">
        <v>6.0</v>
      </c>
      <c r="AI12" s="201">
        <v>0.0</v>
      </c>
      <c r="AJ12" s="201">
        <v>14.0</v>
      </c>
      <c r="AK12" s="201">
        <v>0.0</v>
      </c>
      <c r="AL12" s="201">
        <v>6.0</v>
      </c>
      <c r="AM12" s="201" t="s">
        <v>55</v>
      </c>
      <c r="AN12" s="201" t="s">
        <v>55</v>
      </c>
      <c r="AO12" s="201" t="s">
        <v>55</v>
      </c>
      <c r="AP12" s="72">
        <v>199.0</v>
      </c>
    </row>
    <row r="13">
      <c r="A13" s="117" t="s">
        <v>110</v>
      </c>
      <c r="B13" s="201" t="s">
        <v>55</v>
      </c>
      <c r="C13" s="201">
        <v>6.0</v>
      </c>
      <c r="D13" s="201">
        <v>6.0</v>
      </c>
      <c r="E13" s="201">
        <v>10.0</v>
      </c>
      <c r="F13" s="201" t="s">
        <v>55</v>
      </c>
      <c r="G13" s="201">
        <v>12.0</v>
      </c>
      <c r="H13" s="201">
        <v>40.0</v>
      </c>
      <c r="I13" s="201">
        <v>16.0</v>
      </c>
      <c r="J13" s="201">
        <v>5.0</v>
      </c>
      <c r="K13" s="201">
        <v>14.0</v>
      </c>
      <c r="L13" s="201" t="s">
        <v>55</v>
      </c>
      <c r="M13" s="201">
        <v>0.0</v>
      </c>
      <c r="N13" s="201" t="s">
        <v>55</v>
      </c>
      <c r="O13" s="201" t="s">
        <v>55</v>
      </c>
      <c r="P13" s="201" t="s">
        <v>55</v>
      </c>
      <c r="Q13" s="201">
        <v>11.0</v>
      </c>
      <c r="R13" s="201">
        <v>9.0</v>
      </c>
      <c r="S13" s="201" t="s">
        <v>55</v>
      </c>
      <c r="T13" s="201" t="s">
        <v>55</v>
      </c>
      <c r="U13" s="201" t="s">
        <v>55</v>
      </c>
      <c r="V13" s="201" t="s">
        <v>55</v>
      </c>
      <c r="W13" s="201">
        <v>6.0</v>
      </c>
      <c r="X13" s="201">
        <v>8.0</v>
      </c>
      <c r="Y13" s="201">
        <v>26.0</v>
      </c>
      <c r="Z13" s="201" t="s">
        <v>55</v>
      </c>
      <c r="AA13" s="201">
        <v>55.0</v>
      </c>
      <c r="AB13" s="201">
        <v>7.0</v>
      </c>
      <c r="AC13" s="201">
        <v>112.0</v>
      </c>
      <c r="AD13" s="201">
        <v>0.0</v>
      </c>
      <c r="AE13" s="201" t="s">
        <v>55</v>
      </c>
      <c r="AF13" s="201">
        <v>8.0</v>
      </c>
      <c r="AG13" s="201">
        <v>8.0</v>
      </c>
      <c r="AH13" s="201">
        <v>5.0</v>
      </c>
      <c r="AI13" s="201" t="s">
        <v>55</v>
      </c>
      <c r="AJ13" s="201">
        <v>29.0</v>
      </c>
      <c r="AK13" s="201" t="s">
        <v>55</v>
      </c>
      <c r="AL13" s="201">
        <v>15.0</v>
      </c>
      <c r="AM13" s="201">
        <v>9.0</v>
      </c>
      <c r="AN13" s="201">
        <v>11.0</v>
      </c>
      <c r="AO13" s="201">
        <v>25.0</v>
      </c>
      <c r="AP13" s="72">
        <v>480.0</v>
      </c>
    </row>
    <row r="14">
      <c r="A14" s="117" t="s">
        <v>111</v>
      </c>
      <c r="B14" s="201">
        <v>6.0</v>
      </c>
      <c r="C14" s="201">
        <v>10.0</v>
      </c>
      <c r="D14" s="201">
        <v>14.0</v>
      </c>
      <c r="E14" s="201">
        <v>47.0</v>
      </c>
      <c r="F14" s="201" t="s">
        <v>55</v>
      </c>
      <c r="G14" s="201">
        <v>23.0</v>
      </c>
      <c r="H14" s="201">
        <v>108.0</v>
      </c>
      <c r="I14" s="201">
        <v>41.0</v>
      </c>
      <c r="J14" s="201">
        <v>12.0</v>
      </c>
      <c r="K14" s="201">
        <v>59.0</v>
      </c>
      <c r="L14" s="201" t="s">
        <v>55</v>
      </c>
      <c r="M14" s="201">
        <v>5.0</v>
      </c>
      <c r="N14" s="201" t="s">
        <v>55</v>
      </c>
      <c r="O14" s="201" t="s">
        <v>55</v>
      </c>
      <c r="P14" s="201" t="s">
        <v>55</v>
      </c>
      <c r="Q14" s="201">
        <v>38.0</v>
      </c>
      <c r="R14" s="201">
        <v>19.0</v>
      </c>
      <c r="S14" s="201" t="s">
        <v>55</v>
      </c>
      <c r="T14" s="201">
        <v>6.0</v>
      </c>
      <c r="U14" s="201">
        <v>13.0</v>
      </c>
      <c r="V14" s="201">
        <v>0.0</v>
      </c>
      <c r="W14" s="201">
        <v>8.0</v>
      </c>
      <c r="X14" s="201">
        <v>21.0</v>
      </c>
      <c r="Y14" s="201">
        <v>57.0</v>
      </c>
      <c r="Z14" s="201">
        <v>5.0</v>
      </c>
      <c r="AA14" s="201">
        <v>142.0</v>
      </c>
      <c r="AB14" s="201" t="s">
        <v>55</v>
      </c>
      <c r="AC14" s="201">
        <v>524.0</v>
      </c>
      <c r="AD14" s="201" t="s">
        <v>55</v>
      </c>
      <c r="AE14" s="201">
        <v>6.0</v>
      </c>
      <c r="AF14" s="201">
        <v>16.0</v>
      </c>
      <c r="AG14" s="201">
        <v>19.0</v>
      </c>
      <c r="AH14" s="201">
        <v>14.0</v>
      </c>
      <c r="AI14" s="201" t="s">
        <v>55</v>
      </c>
      <c r="AJ14" s="201">
        <v>63.0</v>
      </c>
      <c r="AK14" s="201" t="s">
        <v>55</v>
      </c>
      <c r="AL14" s="201">
        <v>21.0</v>
      </c>
      <c r="AM14" s="201">
        <v>8.0</v>
      </c>
      <c r="AN14" s="201">
        <v>37.0</v>
      </c>
      <c r="AO14" s="201">
        <v>70.0</v>
      </c>
      <c r="AP14" s="146">
        <v>1437.0</v>
      </c>
    </row>
    <row r="15">
      <c r="A15" s="117" t="s">
        <v>112</v>
      </c>
      <c r="B15" s="201" t="s">
        <v>55</v>
      </c>
      <c r="C15" s="201">
        <v>11.0</v>
      </c>
      <c r="D15" s="201">
        <v>9.0</v>
      </c>
      <c r="E15" s="201">
        <v>111.0</v>
      </c>
      <c r="F15" s="201" t="s">
        <v>55</v>
      </c>
      <c r="G15" s="201">
        <v>17.0</v>
      </c>
      <c r="H15" s="201">
        <v>136.0</v>
      </c>
      <c r="I15" s="201">
        <v>28.0</v>
      </c>
      <c r="J15" s="201">
        <v>5.0</v>
      </c>
      <c r="K15" s="201">
        <v>51.0</v>
      </c>
      <c r="L15" s="201" t="s">
        <v>55</v>
      </c>
      <c r="M15" s="201" t="s">
        <v>55</v>
      </c>
      <c r="N15" s="201">
        <v>6.0</v>
      </c>
      <c r="O15" s="201" t="s">
        <v>55</v>
      </c>
      <c r="P15" s="201" t="s">
        <v>55</v>
      </c>
      <c r="Q15" s="201">
        <v>39.0</v>
      </c>
      <c r="R15" s="201">
        <v>20.0</v>
      </c>
      <c r="S15" s="201" t="s">
        <v>55</v>
      </c>
      <c r="T15" s="201" t="s">
        <v>55</v>
      </c>
      <c r="U15" s="201" t="s">
        <v>55</v>
      </c>
      <c r="V15" s="201">
        <v>0.0</v>
      </c>
      <c r="W15" s="201">
        <v>0.0</v>
      </c>
      <c r="X15" s="201">
        <v>7.0</v>
      </c>
      <c r="Y15" s="201">
        <v>81.0</v>
      </c>
      <c r="Z15" s="201" t="s">
        <v>55</v>
      </c>
      <c r="AA15" s="201">
        <v>205.0</v>
      </c>
      <c r="AB15" s="201" t="s">
        <v>55</v>
      </c>
      <c r="AC15" s="201">
        <v>624.0</v>
      </c>
      <c r="AD15" s="201" t="s">
        <v>55</v>
      </c>
      <c r="AE15" s="201">
        <v>6.0</v>
      </c>
      <c r="AF15" s="201">
        <v>7.0</v>
      </c>
      <c r="AG15" s="201">
        <v>9.0</v>
      </c>
      <c r="AH15" s="201">
        <v>9.0</v>
      </c>
      <c r="AI15" s="201" t="s">
        <v>55</v>
      </c>
      <c r="AJ15" s="201">
        <v>62.0</v>
      </c>
      <c r="AK15" s="201" t="s">
        <v>55</v>
      </c>
      <c r="AL15" s="201">
        <v>31.0</v>
      </c>
      <c r="AM15" s="201">
        <v>6.0</v>
      </c>
      <c r="AN15" s="201">
        <v>49.0</v>
      </c>
      <c r="AO15" s="201">
        <v>42.0</v>
      </c>
      <c r="AP15" s="146">
        <v>1609.0</v>
      </c>
    </row>
    <row r="16">
      <c r="A16" s="117" t="s">
        <v>113</v>
      </c>
      <c r="B16" s="201">
        <v>6.0</v>
      </c>
      <c r="C16" s="201">
        <v>12.0</v>
      </c>
      <c r="D16" s="201">
        <v>10.0</v>
      </c>
      <c r="E16" s="201">
        <v>168.0</v>
      </c>
      <c r="F16" s="201" t="s">
        <v>55</v>
      </c>
      <c r="G16" s="201">
        <v>16.0</v>
      </c>
      <c r="H16" s="201">
        <v>122.0</v>
      </c>
      <c r="I16" s="201">
        <v>34.0</v>
      </c>
      <c r="J16" s="201">
        <v>12.0</v>
      </c>
      <c r="K16" s="201">
        <v>49.0</v>
      </c>
      <c r="L16" s="201">
        <v>5.0</v>
      </c>
      <c r="M16" s="201" t="s">
        <v>55</v>
      </c>
      <c r="N16" s="201">
        <v>6.0</v>
      </c>
      <c r="O16" s="201">
        <v>5.0</v>
      </c>
      <c r="P16" s="201" t="s">
        <v>55</v>
      </c>
      <c r="Q16" s="201">
        <v>43.0</v>
      </c>
      <c r="R16" s="201">
        <v>22.0</v>
      </c>
      <c r="S16" s="201">
        <v>0.0</v>
      </c>
      <c r="T16" s="201">
        <v>6.0</v>
      </c>
      <c r="U16" s="201">
        <v>10.0</v>
      </c>
      <c r="V16" s="201">
        <v>0.0</v>
      </c>
      <c r="W16" s="201">
        <v>9.0</v>
      </c>
      <c r="X16" s="201">
        <v>17.0</v>
      </c>
      <c r="Y16" s="201">
        <v>78.0</v>
      </c>
      <c r="Z16" s="201">
        <v>6.0</v>
      </c>
      <c r="AA16" s="201">
        <v>257.0</v>
      </c>
      <c r="AB16" s="201">
        <v>5.0</v>
      </c>
      <c r="AC16" s="201">
        <v>811.0</v>
      </c>
      <c r="AD16" s="201">
        <v>5.0</v>
      </c>
      <c r="AE16" s="201">
        <v>7.0</v>
      </c>
      <c r="AF16" s="201">
        <v>16.0</v>
      </c>
      <c r="AG16" s="201">
        <v>8.0</v>
      </c>
      <c r="AH16" s="201">
        <v>12.0</v>
      </c>
      <c r="AI16" s="201">
        <v>14.0</v>
      </c>
      <c r="AJ16" s="201">
        <v>59.0</v>
      </c>
      <c r="AK16" s="201" t="s">
        <v>55</v>
      </c>
      <c r="AL16" s="201">
        <v>34.0</v>
      </c>
      <c r="AM16" s="201">
        <v>14.0</v>
      </c>
      <c r="AN16" s="201">
        <v>49.0</v>
      </c>
      <c r="AO16" s="201">
        <v>57.0</v>
      </c>
      <c r="AP16" s="146">
        <v>1992.0</v>
      </c>
    </row>
    <row r="17">
      <c r="A17" s="117" t="s">
        <v>114</v>
      </c>
      <c r="B17" s="201" t="s">
        <v>55</v>
      </c>
      <c r="C17" s="201">
        <v>8.0</v>
      </c>
      <c r="D17" s="201">
        <v>10.0</v>
      </c>
      <c r="E17" s="201">
        <v>132.0</v>
      </c>
      <c r="F17" s="201">
        <v>5.0</v>
      </c>
      <c r="G17" s="201">
        <v>12.0</v>
      </c>
      <c r="H17" s="201">
        <v>110.0</v>
      </c>
      <c r="I17" s="201">
        <v>20.0</v>
      </c>
      <c r="J17" s="201">
        <v>10.0</v>
      </c>
      <c r="K17" s="201">
        <v>42.0</v>
      </c>
      <c r="L17" s="201" t="s">
        <v>55</v>
      </c>
      <c r="M17" s="201" t="s">
        <v>55</v>
      </c>
      <c r="N17" s="201" t="s">
        <v>55</v>
      </c>
      <c r="O17" s="201">
        <v>0.0</v>
      </c>
      <c r="P17" s="201">
        <v>0.0</v>
      </c>
      <c r="Q17" s="201">
        <v>26.0</v>
      </c>
      <c r="R17" s="201">
        <v>19.0</v>
      </c>
      <c r="S17" s="201">
        <v>0.0</v>
      </c>
      <c r="T17" s="201" t="s">
        <v>55</v>
      </c>
      <c r="U17" s="201" t="s">
        <v>55</v>
      </c>
      <c r="V17" s="201">
        <v>0.0</v>
      </c>
      <c r="W17" s="201">
        <v>8.0</v>
      </c>
      <c r="X17" s="201">
        <v>5.0</v>
      </c>
      <c r="Y17" s="201">
        <v>57.0</v>
      </c>
      <c r="Z17" s="201" t="s">
        <v>55</v>
      </c>
      <c r="AA17" s="201">
        <v>200.0</v>
      </c>
      <c r="AB17" s="201" t="s">
        <v>55</v>
      </c>
      <c r="AC17" s="201">
        <v>698.0</v>
      </c>
      <c r="AD17" s="201">
        <v>5.0</v>
      </c>
      <c r="AE17" s="201" t="s">
        <v>55</v>
      </c>
      <c r="AF17" s="201">
        <v>11.0</v>
      </c>
      <c r="AG17" s="201" t="s">
        <v>55</v>
      </c>
      <c r="AH17" s="201">
        <v>7.0</v>
      </c>
      <c r="AI17" s="201" t="s">
        <v>55</v>
      </c>
      <c r="AJ17" s="201">
        <v>57.0</v>
      </c>
      <c r="AK17" s="201" t="s">
        <v>55</v>
      </c>
      <c r="AL17" s="201">
        <v>24.0</v>
      </c>
      <c r="AM17" s="201">
        <v>7.0</v>
      </c>
      <c r="AN17" s="201">
        <v>54.0</v>
      </c>
      <c r="AO17" s="201">
        <v>81.0</v>
      </c>
      <c r="AP17" s="146">
        <v>1642.0</v>
      </c>
    </row>
    <row r="18">
      <c r="A18" s="117" t="s">
        <v>115</v>
      </c>
      <c r="B18" s="201" t="s">
        <v>55</v>
      </c>
      <c r="C18" s="201">
        <v>10.0</v>
      </c>
      <c r="D18" s="201" t="s">
        <v>55</v>
      </c>
      <c r="E18" s="201">
        <v>126.0</v>
      </c>
      <c r="F18" s="201" t="s">
        <v>55</v>
      </c>
      <c r="G18" s="201">
        <v>12.0</v>
      </c>
      <c r="H18" s="201">
        <v>82.0</v>
      </c>
      <c r="I18" s="201">
        <v>21.0</v>
      </c>
      <c r="J18" s="201">
        <v>7.0</v>
      </c>
      <c r="K18" s="201">
        <v>51.0</v>
      </c>
      <c r="L18" s="201">
        <v>6.0</v>
      </c>
      <c r="M18" s="201" t="s">
        <v>55</v>
      </c>
      <c r="N18" s="201" t="s">
        <v>55</v>
      </c>
      <c r="O18" s="201" t="s">
        <v>55</v>
      </c>
      <c r="P18" s="201" t="s">
        <v>55</v>
      </c>
      <c r="Q18" s="201">
        <v>33.0</v>
      </c>
      <c r="R18" s="201">
        <v>20.0</v>
      </c>
      <c r="S18" s="201" t="s">
        <v>55</v>
      </c>
      <c r="T18" s="201" t="s">
        <v>55</v>
      </c>
      <c r="U18" s="201" t="s">
        <v>55</v>
      </c>
      <c r="V18" s="201">
        <v>0.0</v>
      </c>
      <c r="W18" s="201">
        <v>8.0</v>
      </c>
      <c r="X18" s="201">
        <v>8.0</v>
      </c>
      <c r="Y18" s="201">
        <v>44.0</v>
      </c>
      <c r="Z18" s="201" t="s">
        <v>55</v>
      </c>
      <c r="AA18" s="201">
        <v>193.0</v>
      </c>
      <c r="AB18" s="201" t="s">
        <v>55</v>
      </c>
      <c r="AC18" s="201">
        <v>542.0</v>
      </c>
      <c r="AD18" s="201" t="s">
        <v>55</v>
      </c>
      <c r="AE18" s="201" t="s">
        <v>55</v>
      </c>
      <c r="AF18" s="201">
        <v>11.0</v>
      </c>
      <c r="AG18" s="201" t="s">
        <v>55</v>
      </c>
      <c r="AH18" s="201">
        <v>5.0</v>
      </c>
      <c r="AI18" s="201" t="s">
        <v>55</v>
      </c>
      <c r="AJ18" s="201">
        <v>45.0</v>
      </c>
      <c r="AK18" s="201">
        <v>0.0</v>
      </c>
      <c r="AL18" s="201">
        <v>28.0</v>
      </c>
      <c r="AM18" s="201" t="s">
        <v>55</v>
      </c>
      <c r="AN18" s="201">
        <v>57.0</v>
      </c>
      <c r="AO18" s="201">
        <v>32.0</v>
      </c>
      <c r="AP18" s="146">
        <v>1382.0</v>
      </c>
    </row>
    <row r="19">
      <c r="A19" s="117" t="s">
        <v>116</v>
      </c>
      <c r="B19" s="201">
        <v>7.0</v>
      </c>
      <c r="C19" s="201">
        <v>6.0</v>
      </c>
      <c r="D19" s="201" t="s">
        <v>55</v>
      </c>
      <c r="E19" s="201">
        <v>92.0</v>
      </c>
      <c r="F19" s="201">
        <v>0.0</v>
      </c>
      <c r="G19" s="201">
        <v>13.0</v>
      </c>
      <c r="H19" s="201">
        <v>76.0</v>
      </c>
      <c r="I19" s="201">
        <v>11.0</v>
      </c>
      <c r="J19" s="201">
        <v>6.0</v>
      </c>
      <c r="K19" s="201">
        <v>36.0</v>
      </c>
      <c r="L19" s="201" t="s">
        <v>55</v>
      </c>
      <c r="M19" s="201" t="s">
        <v>55</v>
      </c>
      <c r="N19" s="201">
        <v>9.0</v>
      </c>
      <c r="O19" s="201" t="s">
        <v>55</v>
      </c>
      <c r="P19" s="201">
        <v>0.0</v>
      </c>
      <c r="Q19" s="201">
        <v>23.0</v>
      </c>
      <c r="R19" s="201">
        <v>13.0</v>
      </c>
      <c r="S19" s="201">
        <v>0.0</v>
      </c>
      <c r="T19" s="201">
        <v>0.0</v>
      </c>
      <c r="U19" s="201" t="s">
        <v>55</v>
      </c>
      <c r="V19" s="201">
        <v>0.0</v>
      </c>
      <c r="W19" s="201" t="s">
        <v>55</v>
      </c>
      <c r="X19" s="201">
        <v>5.0</v>
      </c>
      <c r="Y19" s="201">
        <v>47.0</v>
      </c>
      <c r="Z19" s="201">
        <v>9.0</v>
      </c>
      <c r="AA19" s="201">
        <v>119.0</v>
      </c>
      <c r="AB19" s="201" t="s">
        <v>55</v>
      </c>
      <c r="AC19" s="201">
        <v>481.0</v>
      </c>
      <c r="AD19" s="201" t="s">
        <v>55</v>
      </c>
      <c r="AE19" s="201">
        <v>5.0</v>
      </c>
      <c r="AF19" s="201">
        <v>12.0</v>
      </c>
      <c r="AG19" s="201" t="s">
        <v>55</v>
      </c>
      <c r="AH19" s="201">
        <v>7.0</v>
      </c>
      <c r="AI19" s="201">
        <v>14.0</v>
      </c>
      <c r="AJ19" s="201">
        <v>35.0</v>
      </c>
      <c r="AK19" s="201" t="s">
        <v>55</v>
      </c>
      <c r="AL19" s="201">
        <v>12.0</v>
      </c>
      <c r="AM19" s="201">
        <v>0.0</v>
      </c>
      <c r="AN19" s="201">
        <v>43.0</v>
      </c>
      <c r="AO19" s="201">
        <v>15.0</v>
      </c>
      <c r="AP19" s="146">
        <v>1118.0</v>
      </c>
    </row>
    <row r="20">
      <c r="A20" s="117" t="s">
        <v>117</v>
      </c>
      <c r="B20" s="201">
        <v>7.0</v>
      </c>
      <c r="C20" s="201">
        <v>10.0</v>
      </c>
      <c r="D20" s="201">
        <v>9.0</v>
      </c>
      <c r="E20" s="201">
        <v>64.0</v>
      </c>
      <c r="F20" s="201">
        <v>0.0</v>
      </c>
      <c r="G20" s="201">
        <v>17.0</v>
      </c>
      <c r="H20" s="201">
        <v>73.0</v>
      </c>
      <c r="I20" s="201">
        <v>11.0</v>
      </c>
      <c r="J20" s="201" t="s">
        <v>55</v>
      </c>
      <c r="K20" s="201">
        <v>17.0</v>
      </c>
      <c r="L20" s="201" t="s">
        <v>55</v>
      </c>
      <c r="M20" s="201" t="s">
        <v>55</v>
      </c>
      <c r="N20" s="201" t="s">
        <v>55</v>
      </c>
      <c r="O20" s="201" t="s">
        <v>55</v>
      </c>
      <c r="P20" s="201" t="s">
        <v>55</v>
      </c>
      <c r="Q20" s="201">
        <v>19.0</v>
      </c>
      <c r="R20" s="201">
        <v>11.0</v>
      </c>
      <c r="S20" s="201" t="s">
        <v>55</v>
      </c>
      <c r="T20" s="201" t="s">
        <v>55</v>
      </c>
      <c r="U20" s="201" t="s">
        <v>55</v>
      </c>
      <c r="V20" s="201">
        <v>0.0</v>
      </c>
      <c r="W20" s="201" t="s">
        <v>55</v>
      </c>
      <c r="X20" s="201">
        <v>5.0</v>
      </c>
      <c r="Y20" s="201">
        <v>26.0</v>
      </c>
      <c r="Z20" s="201">
        <v>6.0</v>
      </c>
      <c r="AA20" s="201">
        <v>111.0</v>
      </c>
      <c r="AB20" s="201">
        <v>7.0</v>
      </c>
      <c r="AC20" s="201">
        <v>408.0</v>
      </c>
      <c r="AD20" s="201" t="s">
        <v>55</v>
      </c>
      <c r="AE20" s="201" t="s">
        <v>55</v>
      </c>
      <c r="AF20" s="201">
        <v>6.0</v>
      </c>
      <c r="AG20" s="201" t="s">
        <v>55</v>
      </c>
      <c r="AH20" s="201">
        <v>9.0</v>
      </c>
      <c r="AI20" s="201">
        <v>5.0</v>
      </c>
      <c r="AJ20" s="201">
        <v>35.0</v>
      </c>
      <c r="AK20" s="201" t="s">
        <v>55</v>
      </c>
      <c r="AL20" s="201">
        <v>12.0</v>
      </c>
      <c r="AM20" s="201" t="s">
        <v>55</v>
      </c>
      <c r="AN20" s="201">
        <v>37.0</v>
      </c>
      <c r="AO20" s="201">
        <v>18.0</v>
      </c>
      <c r="AP20" s="146">
        <v>957.0</v>
      </c>
    </row>
    <row r="21">
      <c r="A21" s="117" t="s">
        <v>118</v>
      </c>
      <c r="B21" s="201" t="s">
        <v>55</v>
      </c>
      <c r="C21" s="201">
        <v>7.0</v>
      </c>
      <c r="D21" s="201" t="s">
        <v>55</v>
      </c>
      <c r="E21" s="201">
        <v>30.0</v>
      </c>
      <c r="F21" s="201" t="s">
        <v>55</v>
      </c>
      <c r="G21" s="201">
        <v>10.0</v>
      </c>
      <c r="H21" s="201">
        <v>49.0</v>
      </c>
      <c r="I21" s="201">
        <v>5.0</v>
      </c>
      <c r="J21" s="201">
        <v>0.0</v>
      </c>
      <c r="K21" s="201">
        <v>20.0</v>
      </c>
      <c r="L21" s="201">
        <v>0.0</v>
      </c>
      <c r="M21" s="201" t="s">
        <v>55</v>
      </c>
      <c r="N21" s="201" t="s">
        <v>55</v>
      </c>
      <c r="O21" s="201">
        <v>0.0</v>
      </c>
      <c r="P21" s="201" t="s">
        <v>55</v>
      </c>
      <c r="Q21" s="201">
        <v>34.0</v>
      </c>
      <c r="R21" s="201">
        <v>9.0</v>
      </c>
      <c r="S21" s="201">
        <v>0.0</v>
      </c>
      <c r="T21" s="201">
        <v>5.0</v>
      </c>
      <c r="U21" s="201" t="s">
        <v>55</v>
      </c>
      <c r="V21" s="201">
        <v>0.0</v>
      </c>
      <c r="W21" s="201">
        <v>9.0</v>
      </c>
      <c r="X21" s="201">
        <v>6.0</v>
      </c>
      <c r="Y21" s="201">
        <v>16.0</v>
      </c>
      <c r="Z21" s="201" t="s">
        <v>55</v>
      </c>
      <c r="AA21" s="201">
        <v>73.0</v>
      </c>
      <c r="AB21" s="201">
        <v>6.0</v>
      </c>
      <c r="AC21" s="201">
        <v>334.0</v>
      </c>
      <c r="AD21" s="201" t="s">
        <v>55</v>
      </c>
      <c r="AE21" s="201" t="s">
        <v>55</v>
      </c>
      <c r="AF21" s="201">
        <v>0.0</v>
      </c>
      <c r="AG21" s="201">
        <v>0.0</v>
      </c>
      <c r="AH21" s="201" t="s">
        <v>55</v>
      </c>
      <c r="AI21" s="201">
        <v>0.0</v>
      </c>
      <c r="AJ21" s="201">
        <v>20.0</v>
      </c>
      <c r="AK21" s="201" t="s">
        <v>55</v>
      </c>
      <c r="AL21" s="201">
        <v>9.0</v>
      </c>
      <c r="AM21" s="201" t="s">
        <v>55</v>
      </c>
      <c r="AN21" s="201">
        <v>38.0</v>
      </c>
      <c r="AO21" s="201">
        <v>12.0</v>
      </c>
      <c r="AP21" s="72">
        <v>721.0</v>
      </c>
    </row>
    <row r="22">
      <c r="A22" s="117" t="s">
        <v>119</v>
      </c>
      <c r="B22" s="201" t="s">
        <v>55</v>
      </c>
      <c r="C22" s="201" t="s">
        <v>55</v>
      </c>
      <c r="D22" s="201" t="s">
        <v>55</v>
      </c>
      <c r="E22" s="201">
        <v>29.0</v>
      </c>
      <c r="F22" s="201">
        <v>0.0</v>
      </c>
      <c r="G22" s="201" t="s">
        <v>55</v>
      </c>
      <c r="H22" s="201">
        <v>36.0</v>
      </c>
      <c r="I22" s="201">
        <v>11.0</v>
      </c>
      <c r="J22" s="201" t="s">
        <v>55</v>
      </c>
      <c r="K22" s="201">
        <v>12.0</v>
      </c>
      <c r="L22" s="201" t="s">
        <v>55</v>
      </c>
      <c r="M22" s="201">
        <v>0.0</v>
      </c>
      <c r="N22" s="201" t="s">
        <v>55</v>
      </c>
      <c r="O22" s="201">
        <v>0.0</v>
      </c>
      <c r="P22" s="201" t="s">
        <v>55</v>
      </c>
      <c r="Q22" s="201">
        <v>12.0</v>
      </c>
      <c r="R22" s="201" t="s">
        <v>55</v>
      </c>
      <c r="S22" s="201">
        <v>0.0</v>
      </c>
      <c r="T22" s="201" t="s">
        <v>55</v>
      </c>
      <c r="U22" s="201" t="s">
        <v>55</v>
      </c>
      <c r="V22" s="201">
        <v>0.0</v>
      </c>
      <c r="W22" s="201" t="s">
        <v>55</v>
      </c>
      <c r="X22" s="201" t="s">
        <v>55</v>
      </c>
      <c r="Y22" s="201">
        <v>19.0</v>
      </c>
      <c r="Z22" s="201" t="s">
        <v>55</v>
      </c>
      <c r="AA22" s="201">
        <v>51.0</v>
      </c>
      <c r="AB22" s="201">
        <v>5.0</v>
      </c>
      <c r="AC22" s="201">
        <v>258.0</v>
      </c>
      <c r="AD22" s="201">
        <v>0.0</v>
      </c>
      <c r="AE22" s="201" t="s">
        <v>55</v>
      </c>
      <c r="AF22" s="201" t="s">
        <v>55</v>
      </c>
      <c r="AG22" s="201">
        <v>0.0</v>
      </c>
      <c r="AH22" s="201" t="s">
        <v>55</v>
      </c>
      <c r="AI22" s="201" t="s">
        <v>55</v>
      </c>
      <c r="AJ22" s="201">
        <v>19.0</v>
      </c>
      <c r="AK22" s="201">
        <v>0.0</v>
      </c>
      <c r="AL22" s="201">
        <v>9.0</v>
      </c>
      <c r="AM22" s="201">
        <v>0.0</v>
      </c>
      <c r="AN22" s="201">
        <v>25.0</v>
      </c>
      <c r="AO22" s="201" t="s">
        <v>55</v>
      </c>
      <c r="AP22" s="72">
        <v>527.0</v>
      </c>
    </row>
    <row r="23">
      <c r="A23" s="117" t="s">
        <v>120</v>
      </c>
      <c r="B23" s="201" t="s">
        <v>55</v>
      </c>
      <c r="C23" s="201" t="s">
        <v>55</v>
      </c>
      <c r="D23" s="201" t="s">
        <v>55</v>
      </c>
      <c r="E23" s="201">
        <v>23.0</v>
      </c>
      <c r="F23" s="201" t="s">
        <v>55</v>
      </c>
      <c r="G23" s="201" t="s">
        <v>55</v>
      </c>
      <c r="H23" s="201">
        <v>32.0</v>
      </c>
      <c r="I23" s="201">
        <v>9.0</v>
      </c>
      <c r="J23" s="201" t="s">
        <v>55</v>
      </c>
      <c r="K23" s="201">
        <v>12.0</v>
      </c>
      <c r="L23" s="201" t="s">
        <v>55</v>
      </c>
      <c r="M23" s="201">
        <v>0.0</v>
      </c>
      <c r="N23" s="201" t="s">
        <v>55</v>
      </c>
      <c r="O23" s="201">
        <v>0.0</v>
      </c>
      <c r="P23" s="201">
        <v>0.0</v>
      </c>
      <c r="Q23" s="201">
        <v>15.0</v>
      </c>
      <c r="R23" s="201">
        <v>5.0</v>
      </c>
      <c r="S23" s="201">
        <v>0.0</v>
      </c>
      <c r="T23" s="201" t="s">
        <v>55</v>
      </c>
      <c r="U23" s="201">
        <v>0.0</v>
      </c>
      <c r="V23" s="201">
        <v>0.0</v>
      </c>
      <c r="W23" s="201" t="s">
        <v>55</v>
      </c>
      <c r="X23" s="201" t="s">
        <v>55</v>
      </c>
      <c r="Y23" s="201">
        <v>9.0</v>
      </c>
      <c r="Z23" s="201">
        <v>6.0</v>
      </c>
      <c r="AA23" s="201">
        <v>41.0</v>
      </c>
      <c r="AB23" s="201">
        <v>0.0</v>
      </c>
      <c r="AC23" s="201">
        <v>158.0</v>
      </c>
      <c r="AD23" s="201">
        <v>0.0</v>
      </c>
      <c r="AE23" s="201" t="s">
        <v>55</v>
      </c>
      <c r="AF23" s="201" t="s">
        <v>55</v>
      </c>
      <c r="AG23" s="201">
        <v>0.0</v>
      </c>
      <c r="AH23" s="201" t="s">
        <v>55</v>
      </c>
      <c r="AI23" s="201" t="s">
        <v>55</v>
      </c>
      <c r="AJ23" s="201">
        <v>9.0</v>
      </c>
      <c r="AK23" s="201">
        <v>0.0</v>
      </c>
      <c r="AL23" s="201" t="s">
        <v>55</v>
      </c>
      <c r="AM23" s="201">
        <v>0.0</v>
      </c>
      <c r="AN23" s="201">
        <v>19.0</v>
      </c>
      <c r="AO23" s="201" t="s">
        <v>55</v>
      </c>
      <c r="AP23" s="72">
        <v>375.0</v>
      </c>
    </row>
    <row r="24">
      <c r="A24" s="117" t="s">
        <v>121</v>
      </c>
      <c r="B24" s="201">
        <v>0.0</v>
      </c>
      <c r="C24" s="201" t="s">
        <v>55</v>
      </c>
      <c r="D24" s="201" t="s">
        <v>55</v>
      </c>
      <c r="E24" s="201">
        <v>21.0</v>
      </c>
      <c r="F24" s="201" t="s">
        <v>55</v>
      </c>
      <c r="G24" s="201">
        <v>0.0</v>
      </c>
      <c r="H24" s="201">
        <v>18.0</v>
      </c>
      <c r="I24" s="201" t="s">
        <v>55</v>
      </c>
      <c r="J24" s="201" t="s">
        <v>55</v>
      </c>
      <c r="K24" s="201">
        <v>8.0</v>
      </c>
      <c r="L24" s="201">
        <v>0.0</v>
      </c>
      <c r="M24" s="201">
        <v>0.0</v>
      </c>
      <c r="N24" s="201">
        <v>0.0</v>
      </c>
      <c r="O24" s="201">
        <v>0.0</v>
      </c>
      <c r="P24" s="201" t="s">
        <v>55</v>
      </c>
      <c r="Q24" s="201">
        <v>6.0</v>
      </c>
      <c r="R24" s="201">
        <v>5.0</v>
      </c>
      <c r="S24" s="201">
        <v>0.0</v>
      </c>
      <c r="T24" s="201" t="s">
        <v>55</v>
      </c>
      <c r="U24" s="201" t="s">
        <v>55</v>
      </c>
      <c r="V24" s="201">
        <v>0.0</v>
      </c>
      <c r="W24" s="201">
        <v>7.0</v>
      </c>
      <c r="X24" s="201" t="s">
        <v>55</v>
      </c>
      <c r="Y24" s="201" t="s">
        <v>55</v>
      </c>
      <c r="Z24" s="201" t="s">
        <v>55</v>
      </c>
      <c r="AA24" s="201">
        <v>26.0</v>
      </c>
      <c r="AB24" s="201">
        <v>0.0</v>
      </c>
      <c r="AC24" s="201">
        <v>130.0</v>
      </c>
      <c r="AD24" s="201" t="s">
        <v>55</v>
      </c>
      <c r="AE24" s="201" t="s">
        <v>55</v>
      </c>
      <c r="AF24" s="201" t="s">
        <v>55</v>
      </c>
      <c r="AG24" s="201">
        <v>0.0</v>
      </c>
      <c r="AH24" s="201">
        <v>0.0</v>
      </c>
      <c r="AI24" s="201" t="s">
        <v>55</v>
      </c>
      <c r="AJ24" s="201">
        <v>11.0</v>
      </c>
      <c r="AK24" s="201">
        <v>0.0</v>
      </c>
      <c r="AL24" s="201">
        <v>10.0</v>
      </c>
      <c r="AM24" s="201" t="s">
        <v>55</v>
      </c>
      <c r="AN24" s="201">
        <v>16.0</v>
      </c>
      <c r="AO24" s="201">
        <v>5.0</v>
      </c>
      <c r="AP24" s="72">
        <v>292.0</v>
      </c>
    </row>
    <row r="25">
      <c r="A25" s="117" t="s">
        <v>122</v>
      </c>
      <c r="B25" s="201" t="s">
        <v>55</v>
      </c>
      <c r="C25" s="201" t="s">
        <v>55</v>
      </c>
      <c r="D25" s="201" t="s">
        <v>55</v>
      </c>
      <c r="E25" s="201">
        <v>12.0</v>
      </c>
      <c r="F25" s="201" t="s">
        <v>55</v>
      </c>
      <c r="G25" s="201" t="s">
        <v>55</v>
      </c>
      <c r="H25" s="201">
        <v>15.0</v>
      </c>
      <c r="I25" s="201">
        <v>9.0</v>
      </c>
      <c r="J25" s="201" t="s">
        <v>55</v>
      </c>
      <c r="K25" s="201">
        <v>7.0</v>
      </c>
      <c r="L25" s="201">
        <v>0.0</v>
      </c>
      <c r="M25" s="201" t="s">
        <v>55</v>
      </c>
      <c r="N25" s="201" t="s">
        <v>55</v>
      </c>
      <c r="O25" s="201" t="s">
        <v>55</v>
      </c>
      <c r="P25" s="201">
        <v>0.0</v>
      </c>
      <c r="Q25" s="201">
        <v>9.0</v>
      </c>
      <c r="R25" s="201">
        <v>6.0</v>
      </c>
      <c r="S25" s="201">
        <v>0.0</v>
      </c>
      <c r="T25" s="201">
        <v>6.0</v>
      </c>
      <c r="U25" s="201">
        <v>0.0</v>
      </c>
      <c r="V25" s="201">
        <v>0.0</v>
      </c>
      <c r="W25" s="201">
        <v>12.0</v>
      </c>
      <c r="X25" s="201" t="s">
        <v>55</v>
      </c>
      <c r="Y25" s="201">
        <v>12.0</v>
      </c>
      <c r="Z25" s="201" t="s">
        <v>55</v>
      </c>
      <c r="AA25" s="201">
        <v>40.0</v>
      </c>
      <c r="AB25" s="201" t="s">
        <v>55</v>
      </c>
      <c r="AC25" s="201">
        <v>119.0</v>
      </c>
      <c r="AD25" s="201">
        <v>0.0</v>
      </c>
      <c r="AE25" s="201" t="s">
        <v>55</v>
      </c>
      <c r="AF25" s="201" t="s">
        <v>55</v>
      </c>
      <c r="AG25" s="201" t="s">
        <v>55</v>
      </c>
      <c r="AH25" s="201" t="s">
        <v>55</v>
      </c>
      <c r="AI25" s="201" t="s">
        <v>55</v>
      </c>
      <c r="AJ25" s="201">
        <v>10.0</v>
      </c>
      <c r="AK25" s="201" t="s">
        <v>55</v>
      </c>
      <c r="AL25" s="201">
        <v>9.0</v>
      </c>
      <c r="AM25" s="201" t="s">
        <v>55</v>
      </c>
      <c r="AN25" s="201">
        <v>16.0</v>
      </c>
      <c r="AO25" s="201">
        <v>8.0</v>
      </c>
      <c r="AP25" s="72">
        <v>326.0</v>
      </c>
    </row>
    <row r="26">
      <c r="A26" s="117" t="s">
        <v>123</v>
      </c>
      <c r="B26" s="201" t="s">
        <v>55</v>
      </c>
      <c r="C26" s="201" t="s">
        <v>55</v>
      </c>
      <c r="D26" s="201" t="s">
        <v>55</v>
      </c>
      <c r="E26" s="201">
        <v>7.0</v>
      </c>
      <c r="F26" s="201" t="s">
        <v>55</v>
      </c>
      <c r="G26" s="201">
        <v>9.0</v>
      </c>
      <c r="H26" s="201">
        <v>36.0</v>
      </c>
      <c r="I26" s="201" t="s">
        <v>55</v>
      </c>
      <c r="J26" s="201" t="s">
        <v>55</v>
      </c>
      <c r="K26" s="201">
        <v>6.0</v>
      </c>
      <c r="L26" s="201">
        <v>0.0</v>
      </c>
      <c r="M26" s="201" t="s">
        <v>55</v>
      </c>
      <c r="N26" s="201" t="s">
        <v>55</v>
      </c>
      <c r="O26" s="201" t="s">
        <v>55</v>
      </c>
      <c r="P26" s="201" t="s">
        <v>55</v>
      </c>
      <c r="Q26" s="201">
        <v>9.0</v>
      </c>
      <c r="R26" s="201" t="s">
        <v>55</v>
      </c>
      <c r="S26" s="201" t="s">
        <v>55</v>
      </c>
      <c r="T26" s="201">
        <v>5.0</v>
      </c>
      <c r="U26" s="201">
        <v>0.0</v>
      </c>
      <c r="V26" s="201">
        <v>0.0</v>
      </c>
      <c r="W26" s="201">
        <v>9.0</v>
      </c>
      <c r="X26" s="201" t="s">
        <v>55</v>
      </c>
      <c r="Y26" s="201">
        <v>10.0</v>
      </c>
      <c r="Z26" s="201" t="s">
        <v>55</v>
      </c>
      <c r="AA26" s="201">
        <v>13.0</v>
      </c>
      <c r="AB26" s="201" t="s">
        <v>55</v>
      </c>
      <c r="AC26" s="201">
        <v>83.0</v>
      </c>
      <c r="AD26" s="201">
        <v>0.0</v>
      </c>
      <c r="AE26" s="201" t="s">
        <v>55</v>
      </c>
      <c r="AF26" s="201">
        <v>5.0</v>
      </c>
      <c r="AG26" s="201" t="s">
        <v>55</v>
      </c>
      <c r="AH26" s="201" t="s">
        <v>55</v>
      </c>
      <c r="AI26" s="201" t="s">
        <v>55</v>
      </c>
      <c r="AJ26" s="201">
        <v>9.0</v>
      </c>
      <c r="AK26" s="201">
        <v>0.0</v>
      </c>
      <c r="AL26" s="201">
        <v>8.0</v>
      </c>
      <c r="AM26" s="201">
        <v>5.0</v>
      </c>
      <c r="AN26" s="201">
        <v>7.0</v>
      </c>
      <c r="AO26" s="201" t="s">
        <v>55</v>
      </c>
      <c r="AP26" s="72">
        <v>259.0</v>
      </c>
    </row>
    <row r="27">
      <c r="A27" s="117" t="s">
        <v>124</v>
      </c>
      <c r="B27" s="201" t="s">
        <v>55</v>
      </c>
      <c r="C27" s="201">
        <v>7.0</v>
      </c>
      <c r="D27" s="201" t="s">
        <v>55</v>
      </c>
      <c r="E27" s="201">
        <v>15.0</v>
      </c>
      <c r="F27" s="201" t="s">
        <v>55</v>
      </c>
      <c r="G27" s="201">
        <v>9.0</v>
      </c>
      <c r="H27" s="201">
        <v>25.0</v>
      </c>
      <c r="I27" s="201" t="s">
        <v>55</v>
      </c>
      <c r="J27" s="201">
        <v>7.0</v>
      </c>
      <c r="K27" s="201">
        <v>7.0</v>
      </c>
      <c r="L27" s="201">
        <v>0.0</v>
      </c>
      <c r="M27" s="201">
        <v>0.0</v>
      </c>
      <c r="N27" s="201" t="s">
        <v>55</v>
      </c>
      <c r="O27" s="201" t="s">
        <v>55</v>
      </c>
      <c r="P27" s="201" t="s">
        <v>55</v>
      </c>
      <c r="Q27" s="201">
        <v>6.0</v>
      </c>
      <c r="R27" s="201">
        <v>6.0</v>
      </c>
      <c r="S27" s="201">
        <v>0.0</v>
      </c>
      <c r="T27" s="201">
        <v>8.0</v>
      </c>
      <c r="U27" s="201" t="s">
        <v>55</v>
      </c>
      <c r="V27" s="201" t="s">
        <v>55</v>
      </c>
      <c r="W27" s="201">
        <v>11.0</v>
      </c>
      <c r="X27" s="201">
        <v>0.0</v>
      </c>
      <c r="Y27" s="201">
        <v>16.0</v>
      </c>
      <c r="Z27" s="201">
        <v>5.0</v>
      </c>
      <c r="AA27" s="201">
        <v>28.0</v>
      </c>
      <c r="AB27" s="201" t="s">
        <v>55</v>
      </c>
      <c r="AC27" s="201">
        <v>102.0</v>
      </c>
      <c r="AD27" s="201">
        <v>0.0</v>
      </c>
      <c r="AE27" s="201" t="s">
        <v>55</v>
      </c>
      <c r="AF27" s="201">
        <v>5.0</v>
      </c>
      <c r="AG27" s="201" t="s">
        <v>55</v>
      </c>
      <c r="AH27" s="201" t="s">
        <v>55</v>
      </c>
      <c r="AI27" s="201" t="s">
        <v>55</v>
      </c>
      <c r="AJ27" s="201">
        <v>17.0</v>
      </c>
      <c r="AK27" s="201" t="s">
        <v>55</v>
      </c>
      <c r="AL27" s="201">
        <v>13.0</v>
      </c>
      <c r="AM27" s="201" t="s">
        <v>55</v>
      </c>
      <c r="AN27" s="201">
        <v>12.0</v>
      </c>
      <c r="AO27" s="201" t="s">
        <v>55</v>
      </c>
      <c r="AP27" s="72">
        <v>335.0</v>
      </c>
    </row>
    <row r="28">
      <c r="A28" s="117" t="s">
        <v>125</v>
      </c>
      <c r="B28" s="201" t="s">
        <v>55</v>
      </c>
      <c r="C28" s="201">
        <v>8.0</v>
      </c>
      <c r="D28" s="201" t="s">
        <v>55</v>
      </c>
      <c r="E28" s="201">
        <v>21.0</v>
      </c>
      <c r="F28" s="201" t="s">
        <v>55</v>
      </c>
      <c r="G28" s="201" t="s">
        <v>55</v>
      </c>
      <c r="H28" s="201">
        <v>33.0</v>
      </c>
      <c r="I28" s="201">
        <v>11.0</v>
      </c>
      <c r="J28" s="201" t="s">
        <v>55</v>
      </c>
      <c r="K28" s="201">
        <v>15.0</v>
      </c>
      <c r="L28" s="201">
        <v>0.0</v>
      </c>
      <c r="M28" s="201" t="s">
        <v>55</v>
      </c>
      <c r="N28" s="201">
        <v>0.0</v>
      </c>
      <c r="O28" s="201">
        <v>0.0</v>
      </c>
      <c r="P28" s="201">
        <v>0.0</v>
      </c>
      <c r="Q28" s="201">
        <v>11.0</v>
      </c>
      <c r="R28" s="201">
        <v>5.0</v>
      </c>
      <c r="S28" s="201" t="s">
        <v>55</v>
      </c>
      <c r="T28" s="201" t="s">
        <v>55</v>
      </c>
      <c r="U28" s="201" t="s">
        <v>55</v>
      </c>
      <c r="V28" s="201">
        <v>0.0</v>
      </c>
      <c r="W28" s="201" t="s">
        <v>55</v>
      </c>
      <c r="X28" s="201" t="s">
        <v>55</v>
      </c>
      <c r="Y28" s="201">
        <v>14.0</v>
      </c>
      <c r="Z28" s="201" t="s">
        <v>55</v>
      </c>
      <c r="AA28" s="201">
        <v>59.0</v>
      </c>
      <c r="AB28" s="201" t="s">
        <v>55</v>
      </c>
      <c r="AC28" s="201">
        <v>122.0</v>
      </c>
      <c r="AD28" s="201">
        <v>0.0</v>
      </c>
      <c r="AE28" s="201" t="s">
        <v>55</v>
      </c>
      <c r="AF28" s="201">
        <v>13.0</v>
      </c>
      <c r="AG28" s="201" t="s">
        <v>55</v>
      </c>
      <c r="AH28" s="201" t="s">
        <v>55</v>
      </c>
      <c r="AI28" s="201" t="s">
        <v>55</v>
      </c>
      <c r="AJ28" s="201">
        <v>20.0</v>
      </c>
      <c r="AK28" s="201">
        <v>0.0</v>
      </c>
      <c r="AL28" s="201">
        <v>9.0</v>
      </c>
      <c r="AM28" s="201" t="s">
        <v>55</v>
      </c>
      <c r="AN28" s="201">
        <v>16.0</v>
      </c>
      <c r="AO28" s="201">
        <v>14.0</v>
      </c>
      <c r="AP28" s="72">
        <v>415.0</v>
      </c>
    </row>
    <row r="29">
      <c r="A29" s="117" t="s">
        <v>126</v>
      </c>
      <c r="B29" s="201">
        <v>0.0</v>
      </c>
      <c r="C29" s="201">
        <v>8.0</v>
      </c>
      <c r="D29" s="201" t="s">
        <v>55</v>
      </c>
      <c r="E29" s="201">
        <v>34.0</v>
      </c>
      <c r="F29" s="201" t="s">
        <v>55</v>
      </c>
      <c r="G29" s="201">
        <v>11.0</v>
      </c>
      <c r="H29" s="201">
        <v>44.0</v>
      </c>
      <c r="I29" s="201">
        <v>10.0</v>
      </c>
      <c r="J29" s="201">
        <v>6.0</v>
      </c>
      <c r="K29" s="201">
        <v>20.0</v>
      </c>
      <c r="L29" s="201" t="s">
        <v>55</v>
      </c>
      <c r="M29" s="201">
        <v>0.0</v>
      </c>
      <c r="N29" s="201" t="s">
        <v>55</v>
      </c>
      <c r="O29" s="201" t="s">
        <v>55</v>
      </c>
      <c r="P29" s="201" t="s">
        <v>55</v>
      </c>
      <c r="Q29" s="201">
        <v>19.0</v>
      </c>
      <c r="R29" s="201" t="s">
        <v>55</v>
      </c>
      <c r="S29" s="201">
        <v>0.0</v>
      </c>
      <c r="T29" s="201" t="s">
        <v>55</v>
      </c>
      <c r="U29" s="201" t="s">
        <v>55</v>
      </c>
      <c r="V29" s="201" t="s">
        <v>55</v>
      </c>
      <c r="W29" s="201">
        <v>8.0</v>
      </c>
      <c r="X29" s="201">
        <v>5.0</v>
      </c>
      <c r="Y29" s="201">
        <v>33.0</v>
      </c>
      <c r="Z29" s="201">
        <v>7.0</v>
      </c>
      <c r="AA29" s="201">
        <v>93.0</v>
      </c>
      <c r="AB29" s="201" t="s">
        <v>55</v>
      </c>
      <c r="AC29" s="201">
        <v>169.0</v>
      </c>
      <c r="AD29" s="201">
        <v>0.0</v>
      </c>
      <c r="AE29" s="201" t="s">
        <v>55</v>
      </c>
      <c r="AF29" s="201">
        <v>9.0</v>
      </c>
      <c r="AG29" s="201" t="s">
        <v>55</v>
      </c>
      <c r="AH29" s="201" t="s">
        <v>55</v>
      </c>
      <c r="AI29" s="201">
        <v>9.0</v>
      </c>
      <c r="AJ29" s="201">
        <v>34.0</v>
      </c>
      <c r="AK29" s="201" t="s">
        <v>55</v>
      </c>
      <c r="AL29" s="201">
        <v>10.0</v>
      </c>
      <c r="AM29" s="201" t="s">
        <v>55</v>
      </c>
      <c r="AN29" s="201">
        <v>17.0</v>
      </c>
      <c r="AO29" s="201">
        <v>28.0</v>
      </c>
      <c r="AP29" s="72">
        <v>610.0</v>
      </c>
    </row>
    <row r="30">
      <c r="A30" s="202" t="s">
        <v>127</v>
      </c>
      <c r="B30" s="201" t="s">
        <v>55</v>
      </c>
      <c r="C30" s="201">
        <v>5.0</v>
      </c>
      <c r="D30" s="201">
        <v>7.0</v>
      </c>
      <c r="E30" s="203">
        <v>37.0</v>
      </c>
      <c r="F30" s="201" t="s">
        <v>55</v>
      </c>
      <c r="G30" s="201">
        <v>7.0</v>
      </c>
      <c r="H30" s="203">
        <v>76.0</v>
      </c>
      <c r="I30" s="201">
        <v>10.0</v>
      </c>
      <c r="J30" s="201">
        <v>7.0</v>
      </c>
      <c r="K30" s="201">
        <v>14.0</v>
      </c>
      <c r="L30" s="201" t="s">
        <v>55</v>
      </c>
      <c r="M30" s="201" t="s">
        <v>55</v>
      </c>
      <c r="N30" s="201" t="s">
        <v>55</v>
      </c>
      <c r="O30" s="201" t="s">
        <v>55</v>
      </c>
      <c r="P30" s="201" t="s">
        <v>55</v>
      </c>
      <c r="Q30" s="201">
        <v>12.0</v>
      </c>
      <c r="R30" s="201">
        <v>12.0</v>
      </c>
      <c r="S30" s="201">
        <v>0.0</v>
      </c>
      <c r="T30" s="201">
        <v>6.0</v>
      </c>
      <c r="U30" s="201">
        <v>0.0</v>
      </c>
      <c r="V30" s="201" t="s">
        <v>55</v>
      </c>
      <c r="W30" s="201">
        <v>7.0</v>
      </c>
      <c r="X30" s="201">
        <v>5.0</v>
      </c>
      <c r="Y30" s="201">
        <v>33.0</v>
      </c>
      <c r="Z30" s="201" t="s">
        <v>55</v>
      </c>
      <c r="AA30" s="203">
        <v>105.0</v>
      </c>
      <c r="AB30" s="201">
        <v>0.0</v>
      </c>
      <c r="AC30" s="203">
        <v>191.0</v>
      </c>
      <c r="AD30" s="201" t="s">
        <v>55</v>
      </c>
      <c r="AE30" s="201" t="s">
        <v>55</v>
      </c>
      <c r="AF30" s="201" t="s">
        <v>55</v>
      </c>
      <c r="AG30" s="201" t="s">
        <v>55</v>
      </c>
      <c r="AH30" s="201" t="s">
        <v>55</v>
      </c>
      <c r="AI30" s="201" t="s">
        <v>55</v>
      </c>
      <c r="AJ30" s="201">
        <v>36.0</v>
      </c>
      <c r="AK30" s="201" t="s">
        <v>55</v>
      </c>
      <c r="AL30" s="201">
        <v>21.0</v>
      </c>
      <c r="AM30" s="201" t="s">
        <v>55</v>
      </c>
      <c r="AN30" s="201">
        <v>21.0</v>
      </c>
      <c r="AO30" s="201">
        <v>25.0</v>
      </c>
      <c r="AP30" s="146">
        <v>669.0</v>
      </c>
    </row>
    <row r="31">
      <c r="A31" s="204" t="s">
        <v>128</v>
      </c>
      <c r="B31" s="201" t="s">
        <v>55</v>
      </c>
      <c r="C31" s="201">
        <v>5.0</v>
      </c>
      <c r="D31" s="201" t="s">
        <v>55</v>
      </c>
      <c r="E31" s="203">
        <v>38.0</v>
      </c>
      <c r="F31" s="201">
        <v>0.0</v>
      </c>
      <c r="G31" s="201">
        <v>8.0</v>
      </c>
      <c r="H31" s="203">
        <v>88.0</v>
      </c>
      <c r="I31" s="201">
        <v>11.0</v>
      </c>
      <c r="J31" s="201" t="s">
        <v>55</v>
      </c>
      <c r="K31" s="201">
        <v>19.0</v>
      </c>
      <c r="L31" s="201" t="s">
        <v>55</v>
      </c>
      <c r="M31" s="201" t="s">
        <v>55</v>
      </c>
      <c r="N31" s="201" t="s">
        <v>55</v>
      </c>
      <c r="O31" s="201" t="s">
        <v>55</v>
      </c>
      <c r="P31" s="201">
        <v>0.0</v>
      </c>
      <c r="Q31" s="201">
        <v>17.0</v>
      </c>
      <c r="R31" s="201">
        <v>14.0</v>
      </c>
      <c r="S31" s="201">
        <v>0.0</v>
      </c>
      <c r="T31" s="201" t="s">
        <v>55</v>
      </c>
      <c r="U31" s="201" t="s">
        <v>55</v>
      </c>
      <c r="V31" s="201" t="s">
        <v>55</v>
      </c>
      <c r="W31" s="201">
        <v>5.0</v>
      </c>
      <c r="X31" s="201">
        <v>7.0</v>
      </c>
      <c r="Y31" s="201">
        <v>27.0</v>
      </c>
      <c r="Z31" s="201" t="s">
        <v>55</v>
      </c>
      <c r="AA31" s="203">
        <v>83.0</v>
      </c>
      <c r="AB31" s="201" t="s">
        <v>55</v>
      </c>
      <c r="AC31" s="203">
        <v>222.0</v>
      </c>
      <c r="AD31" s="201" t="s">
        <v>55</v>
      </c>
      <c r="AE31" s="201">
        <v>5.0</v>
      </c>
      <c r="AF31" s="201">
        <v>7.0</v>
      </c>
      <c r="AG31" s="201" t="s">
        <v>55</v>
      </c>
      <c r="AH31" s="201">
        <v>0.0</v>
      </c>
      <c r="AI31" s="201">
        <v>0.0</v>
      </c>
      <c r="AJ31" s="201">
        <v>30.0</v>
      </c>
      <c r="AK31" s="201">
        <v>0.0</v>
      </c>
      <c r="AL31" s="201">
        <v>12.0</v>
      </c>
      <c r="AM31" s="201">
        <v>5.0</v>
      </c>
      <c r="AN31" s="201">
        <v>21.0</v>
      </c>
      <c r="AO31" s="201" t="s">
        <v>55</v>
      </c>
      <c r="AP31" s="146">
        <v>652.0</v>
      </c>
    </row>
    <row r="32">
      <c r="A32" s="204" t="s">
        <v>129</v>
      </c>
      <c r="B32" s="201" t="s">
        <v>55</v>
      </c>
      <c r="C32" s="201">
        <v>5.0</v>
      </c>
      <c r="D32" s="201" t="s">
        <v>55</v>
      </c>
      <c r="E32" s="203">
        <v>34.0</v>
      </c>
      <c r="F32" s="201" t="s">
        <v>55</v>
      </c>
      <c r="G32" s="201">
        <v>6.0</v>
      </c>
      <c r="H32" s="203">
        <v>34.0</v>
      </c>
      <c r="I32" s="201">
        <v>14.0</v>
      </c>
      <c r="J32" s="201">
        <v>5.0</v>
      </c>
      <c r="K32" s="201">
        <v>13.0</v>
      </c>
      <c r="L32" s="201" t="s">
        <v>55</v>
      </c>
      <c r="M32" s="201" t="s">
        <v>55</v>
      </c>
      <c r="N32" s="201" t="s">
        <v>55</v>
      </c>
      <c r="O32" s="201">
        <v>0.0</v>
      </c>
      <c r="P32" s="201" t="s">
        <v>55</v>
      </c>
      <c r="Q32" s="201">
        <v>11.0</v>
      </c>
      <c r="R32" s="201">
        <v>5.0</v>
      </c>
      <c r="S32" s="201">
        <v>0.0</v>
      </c>
      <c r="T32" s="201">
        <v>0.0</v>
      </c>
      <c r="U32" s="201">
        <v>17.0</v>
      </c>
      <c r="V32" s="201" t="s">
        <v>55</v>
      </c>
      <c r="W32" s="201">
        <v>5.0</v>
      </c>
      <c r="X32" s="201">
        <v>11.0</v>
      </c>
      <c r="Y32" s="201">
        <v>20.0</v>
      </c>
      <c r="Z32" s="201">
        <v>0.0</v>
      </c>
      <c r="AA32" s="203">
        <v>56.0</v>
      </c>
      <c r="AB32" s="201" t="s">
        <v>55</v>
      </c>
      <c r="AC32" s="203">
        <v>220.0</v>
      </c>
      <c r="AD32" s="201" t="s">
        <v>55</v>
      </c>
      <c r="AE32" s="201" t="s">
        <v>55</v>
      </c>
      <c r="AF32" s="201">
        <v>11.0</v>
      </c>
      <c r="AG32" s="201">
        <v>17.0</v>
      </c>
      <c r="AH32" s="201" t="s">
        <v>55</v>
      </c>
      <c r="AI32" s="201">
        <v>0.0</v>
      </c>
      <c r="AJ32" s="201">
        <v>20.0</v>
      </c>
      <c r="AK32" s="201" t="s">
        <v>55</v>
      </c>
      <c r="AL32" s="201">
        <v>15.0</v>
      </c>
      <c r="AM32" s="201">
        <v>0.0</v>
      </c>
      <c r="AN32" s="201">
        <v>21.0</v>
      </c>
      <c r="AO32" s="201" t="s">
        <v>55</v>
      </c>
      <c r="AP32" s="146">
        <v>568.0</v>
      </c>
    </row>
    <row r="33">
      <c r="A33" s="204" t="s">
        <v>130</v>
      </c>
      <c r="B33" s="201">
        <v>0.0</v>
      </c>
      <c r="C33" s="201">
        <v>15.0</v>
      </c>
      <c r="D33" s="201" t="s">
        <v>55</v>
      </c>
      <c r="E33" s="203">
        <v>35.0</v>
      </c>
      <c r="F33" s="201">
        <v>0.0</v>
      </c>
      <c r="G33" s="201">
        <v>9.0</v>
      </c>
      <c r="H33" s="203">
        <v>48.0</v>
      </c>
      <c r="I33" s="201">
        <v>21.0</v>
      </c>
      <c r="J33" s="201">
        <v>9.0</v>
      </c>
      <c r="K33" s="201">
        <v>13.0</v>
      </c>
      <c r="L33" s="201" t="s">
        <v>55</v>
      </c>
      <c r="M33" s="201" t="s">
        <v>55</v>
      </c>
      <c r="N33" s="201" t="s">
        <v>55</v>
      </c>
      <c r="O33" s="201" t="s">
        <v>55</v>
      </c>
      <c r="P33" s="201" t="s">
        <v>55</v>
      </c>
      <c r="Q33" s="201">
        <v>22.0</v>
      </c>
      <c r="R33" s="201">
        <v>9.0</v>
      </c>
      <c r="S33" s="201">
        <v>0.0</v>
      </c>
      <c r="T33" s="201">
        <v>7.0</v>
      </c>
      <c r="U33" s="201">
        <v>9.0</v>
      </c>
      <c r="V33" s="201">
        <v>0.0</v>
      </c>
      <c r="W33" s="201" t="s">
        <v>55</v>
      </c>
      <c r="X33" s="201">
        <v>22.0</v>
      </c>
      <c r="Y33" s="201">
        <v>20.0</v>
      </c>
      <c r="Z33" s="201" t="s">
        <v>55</v>
      </c>
      <c r="AA33" s="203">
        <v>55.0</v>
      </c>
      <c r="AB33" s="201" t="s">
        <v>55</v>
      </c>
      <c r="AC33" s="203">
        <v>218.0</v>
      </c>
      <c r="AD33" s="201">
        <v>0.0</v>
      </c>
      <c r="AE33" s="201" t="s">
        <v>55</v>
      </c>
      <c r="AF33" s="201">
        <v>9.0</v>
      </c>
      <c r="AG33" s="201">
        <v>7.0</v>
      </c>
      <c r="AH33" s="201">
        <v>7.0</v>
      </c>
      <c r="AI33" s="201" t="s">
        <v>55</v>
      </c>
      <c r="AJ33" s="201">
        <v>35.0</v>
      </c>
      <c r="AK33" s="201" t="s">
        <v>55</v>
      </c>
      <c r="AL33" s="201" t="s">
        <v>55</v>
      </c>
      <c r="AM33" s="201" t="s">
        <v>55</v>
      </c>
      <c r="AN33" s="201">
        <v>16.0</v>
      </c>
      <c r="AO33" s="201">
        <v>11.0</v>
      </c>
      <c r="AP33" s="146">
        <v>625.0</v>
      </c>
    </row>
    <row r="34">
      <c r="A34" s="204" t="s">
        <v>131</v>
      </c>
      <c r="B34" s="201" t="s">
        <v>55</v>
      </c>
      <c r="C34" s="201">
        <v>7.0</v>
      </c>
      <c r="D34" s="201" t="s">
        <v>55</v>
      </c>
      <c r="E34" s="203">
        <v>22.0</v>
      </c>
      <c r="F34" s="201" t="s">
        <v>55</v>
      </c>
      <c r="G34" s="201">
        <v>9.0</v>
      </c>
      <c r="H34" s="203">
        <v>41.0</v>
      </c>
      <c r="I34" s="201">
        <v>11.0</v>
      </c>
      <c r="J34" s="201">
        <v>8.0</v>
      </c>
      <c r="K34" s="201">
        <v>5.0</v>
      </c>
      <c r="L34" s="201">
        <v>0.0</v>
      </c>
      <c r="M34" s="201" t="s">
        <v>55</v>
      </c>
      <c r="N34" s="201" t="s">
        <v>55</v>
      </c>
      <c r="O34" s="201" t="s">
        <v>55</v>
      </c>
      <c r="P34" s="201">
        <v>0.0</v>
      </c>
      <c r="Q34" s="201">
        <v>14.0</v>
      </c>
      <c r="R34" s="201">
        <v>8.0</v>
      </c>
      <c r="S34" s="201">
        <v>0.0</v>
      </c>
      <c r="T34" s="201" t="s">
        <v>55</v>
      </c>
      <c r="U34" s="201">
        <v>6.0</v>
      </c>
      <c r="V34" s="201">
        <v>0.0</v>
      </c>
      <c r="W34" s="201">
        <v>5.0</v>
      </c>
      <c r="X34" s="201">
        <v>7.0</v>
      </c>
      <c r="Y34" s="201">
        <v>16.0</v>
      </c>
      <c r="Z34" s="201" t="s">
        <v>55</v>
      </c>
      <c r="AA34" s="203">
        <v>38.0</v>
      </c>
      <c r="AB34" s="201">
        <v>5.0</v>
      </c>
      <c r="AC34" s="203">
        <v>190.0</v>
      </c>
      <c r="AD34" s="201" t="s">
        <v>55</v>
      </c>
      <c r="AE34" s="201" t="s">
        <v>55</v>
      </c>
      <c r="AF34" s="201">
        <v>8.0</v>
      </c>
      <c r="AG34" s="201" t="s">
        <v>55</v>
      </c>
      <c r="AH34" s="201">
        <v>5.0</v>
      </c>
      <c r="AI34" s="201" t="s">
        <v>55</v>
      </c>
      <c r="AJ34" s="201">
        <v>15.0</v>
      </c>
      <c r="AK34" s="201" t="s">
        <v>55</v>
      </c>
      <c r="AL34" s="201">
        <v>6.0</v>
      </c>
      <c r="AM34" s="201" t="s">
        <v>55</v>
      </c>
      <c r="AN34" s="201">
        <v>18.0</v>
      </c>
      <c r="AO34" s="201">
        <v>23.0</v>
      </c>
      <c r="AP34" s="146">
        <v>488.0</v>
      </c>
    </row>
    <row r="35">
      <c r="A35" s="204" t="s">
        <v>132</v>
      </c>
      <c r="B35" s="201" t="s">
        <v>55</v>
      </c>
      <c r="C35" s="201" t="s">
        <v>55</v>
      </c>
      <c r="D35" s="201" t="s">
        <v>55</v>
      </c>
      <c r="E35" s="203" t="s">
        <v>55</v>
      </c>
      <c r="F35" s="201">
        <v>0.0</v>
      </c>
      <c r="G35" s="201" t="s">
        <v>55</v>
      </c>
      <c r="H35" s="203">
        <v>39.0</v>
      </c>
      <c r="I35" s="201">
        <v>15.0</v>
      </c>
      <c r="J35" s="201" t="s">
        <v>55</v>
      </c>
      <c r="K35" s="201">
        <v>10.0</v>
      </c>
      <c r="L35" s="201">
        <v>0.0</v>
      </c>
      <c r="M35" s="201" t="s">
        <v>55</v>
      </c>
      <c r="N35" s="201" t="s">
        <v>55</v>
      </c>
      <c r="O35" s="201">
        <v>0.0</v>
      </c>
      <c r="P35" s="201" t="s">
        <v>55</v>
      </c>
      <c r="Q35" s="201">
        <v>15.0</v>
      </c>
      <c r="R35" s="201">
        <v>6.0</v>
      </c>
      <c r="S35" s="201">
        <v>0.0</v>
      </c>
      <c r="T35" s="201" t="s">
        <v>55</v>
      </c>
      <c r="U35" s="201" t="s">
        <v>55</v>
      </c>
      <c r="V35" s="201">
        <v>0.0</v>
      </c>
      <c r="W35" s="201">
        <v>6.0</v>
      </c>
      <c r="X35" s="201">
        <v>6.0</v>
      </c>
      <c r="Y35" s="201">
        <v>29.0</v>
      </c>
      <c r="Z35" s="201" t="s">
        <v>55</v>
      </c>
      <c r="AA35" s="203">
        <v>36.0</v>
      </c>
      <c r="AB35" s="201" t="s">
        <v>55</v>
      </c>
      <c r="AC35" s="203">
        <v>178.0</v>
      </c>
      <c r="AD35" s="201">
        <v>0.0</v>
      </c>
      <c r="AE35" s="201" t="s">
        <v>55</v>
      </c>
      <c r="AF35" s="201">
        <v>6.0</v>
      </c>
      <c r="AG35" s="201">
        <v>0.0</v>
      </c>
      <c r="AH35" s="201">
        <v>6.0</v>
      </c>
      <c r="AI35" s="201" t="s">
        <v>55</v>
      </c>
      <c r="AJ35" s="201">
        <v>27.0</v>
      </c>
      <c r="AK35" s="201">
        <v>0.0</v>
      </c>
      <c r="AL35" s="201" t="s">
        <v>55</v>
      </c>
      <c r="AM35" s="201" t="s">
        <v>55</v>
      </c>
      <c r="AN35" s="201">
        <v>12.0</v>
      </c>
      <c r="AO35" s="201">
        <v>19.0</v>
      </c>
      <c r="AP35" s="146">
        <v>452.0</v>
      </c>
    </row>
    <row r="36">
      <c r="A36" s="204" t="s">
        <v>133</v>
      </c>
      <c r="B36" s="201">
        <v>5.0</v>
      </c>
      <c r="C36" s="201">
        <v>10.0</v>
      </c>
      <c r="D36" s="201">
        <v>7.0</v>
      </c>
      <c r="E36" s="203">
        <v>17.0</v>
      </c>
      <c r="F36" s="201" t="s">
        <v>55</v>
      </c>
      <c r="G36" s="201" t="s">
        <v>55</v>
      </c>
      <c r="H36" s="203">
        <v>31.0</v>
      </c>
      <c r="I36" s="201">
        <v>29.0</v>
      </c>
      <c r="J36" s="201" t="s">
        <v>55</v>
      </c>
      <c r="K36" s="201">
        <v>16.0</v>
      </c>
      <c r="L36" s="201">
        <v>0.0</v>
      </c>
      <c r="M36" s="201" t="s">
        <v>55</v>
      </c>
      <c r="N36" s="201">
        <v>0.0</v>
      </c>
      <c r="O36" s="201">
        <v>0.0</v>
      </c>
      <c r="P36" s="201">
        <v>0.0</v>
      </c>
      <c r="Q36" s="201">
        <v>9.0</v>
      </c>
      <c r="R36" s="201" t="s">
        <v>55</v>
      </c>
      <c r="S36" s="201">
        <v>0.0</v>
      </c>
      <c r="T36" s="201" t="s">
        <v>55</v>
      </c>
      <c r="U36" s="201">
        <v>5.0</v>
      </c>
      <c r="V36" s="201">
        <v>0.0</v>
      </c>
      <c r="W36" s="201">
        <v>13.0</v>
      </c>
      <c r="X36" s="201">
        <v>6.0</v>
      </c>
      <c r="Y36" s="201">
        <v>11.0</v>
      </c>
      <c r="Z36" s="201" t="s">
        <v>55</v>
      </c>
      <c r="AA36" s="203">
        <v>55.0</v>
      </c>
      <c r="AB36" s="201" t="s">
        <v>55</v>
      </c>
      <c r="AC36" s="203">
        <v>144.0</v>
      </c>
      <c r="AD36" s="201">
        <v>0.0</v>
      </c>
      <c r="AE36" s="201" t="s">
        <v>55</v>
      </c>
      <c r="AF36" s="201">
        <v>6.0</v>
      </c>
      <c r="AG36" s="201" t="s">
        <v>55</v>
      </c>
      <c r="AH36" s="201" t="s">
        <v>55</v>
      </c>
      <c r="AI36" s="201">
        <v>0.0</v>
      </c>
      <c r="AJ36" s="201">
        <v>22.0</v>
      </c>
      <c r="AK36" s="201" t="s">
        <v>55</v>
      </c>
      <c r="AL36" s="201">
        <v>11.0</v>
      </c>
      <c r="AM36" s="201">
        <v>6.0</v>
      </c>
      <c r="AN36" s="201">
        <v>16.0</v>
      </c>
      <c r="AO36" s="201">
        <v>9.0</v>
      </c>
      <c r="AP36" s="146">
        <v>456.0</v>
      </c>
    </row>
    <row r="37">
      <c r="A37" s="204" t="s">
        <v>134</v>
      </c>
      <c r="B37" s="201">
        <v>5.0</v>
      </c>
      <c r="C37" s="201">
        <v>8.0</v>
      </c>
      <c r="D37" s="201">
        <v>10.0</v>
      </c>
      <c r="E37" s="203">
        <v>21.0</v>
      </c>
      <c r="F37" s="201" t="s">
        <v>55</v>
      </c>
      <c r="G37" s="201">
        <v>21.0</v>
      </c>
      <c r="H37" s="203">
        <v>38.0</v>
      </c>
      <c r="I37" s="201">
        <v>15.0</v>
      </c>
      <c r="J37" s="201" t="s">
        <v>55</v>
      </c>
      <c r="K37" s="201">
        <v>9.0</v>
      </c>
      <c r="L37" s="201" t="s">
        <v>55</v>
      </c>
      <c r="M37" s="201">
        <v>0.0</v>
      </c>
      <c r="N37" s="201">
        <v>0.0</v>
      </c>
      <c r="O37" s="201" t="s">
        <v>55</v>
      </c>
      <c r="P37" s="201" t="s">
        <v>55</v>
      </c>
      <c r="Q37" s="201">
        <v>21.0</v>
      </c>
      <c r="R37" s="201" t="s">
        <v>55</v>
      </c>
      <c r="S37" s="201">
        <v>0.0</v>
      </c>
      <c r="T37" s="201">
        <v>0.0</v>
      </c>
      <c r="U37" s="201">
        <v>33.0</v>
      </c>
      <c r="V37" s="201">
        <v>0.0</v>
      </c>
      <c r="W37" s="201">
        <v>9.0</v>
      </c>
      <c r="X37" s="201">
        <v>5.0</v>
      </c>
      <c r="Y37" s="201">
        <v>21.0</v>
      </c>
      <c r="Z37" s="201">
        <v>6.0</v>
      </c>
      <c r="AA37" s="203">
        <v>40.0</v>
      </c>
      <c r="AB37" s="201" t="s">
        <v>55</v>
      </c>
      <c r="AC37" s="203">
        <v>276.0</v>
      </c>
      <c r="AD37" s="201" t="s">
        <v>55</v>
      </c>
      <c r="AE37" s="201" t="s">
        <v>55</v>
      </c>
      <c r="AF37" s="201">
        <v>11.0</v>
      </c>
      <c r="AG37" s="201">
        <v>9.0</v>
      </c>
      <c r="AH37" s="201">
        <v>5.0</v>
      </c>
      <c r="AI37" s="201" t="s">
        <v>55</v>
      </c>
      <c r="AJ37" s="201">
        <v>32.0</v>
      </c>
      <c r="AK37" s="201" t="s">
        <v>55</v>
      </c>
      <c r="AL37" s="201">
        <v>10.0</v>
      </c>
      <c r="AM37" s="201">
        <v>9.0</v>
      </c>
      <c r="AN37" s="201">
        <v>15.0</v>
      </c>
      <c r="AO37" s="201">
        <v>12.0</v>
      </c>
      <c r="AP37" s="146">
        <v>661.0</v>
      </c>
    </row>
    <row r="38">
      <c r="A38" s="204" t="s">
        <v>135</v>
      </c>
      <c r="B38" s="201" t="s">
        <v>55</v>
      </c>
      <c r="C38" s="201" t="s">
        <v>55</v>
      </c>
      <c r="D38" s="201">
        <v>7.0</v>
      </c>
      <c r="E38" s="203">
        <v>34.0</v>
      </c>
      <c r="F38" s="201" t="s">
        <v>55</v>
      </c>
      <c r="G38" s="201">
        <v>6.0</v>
      </c>
      <c r="H38" s="203">
        <v>40.0</v>
      </c>
      <c r="I38" s="201">
        <v>14.0</v>
      </c>
      <c r="J38" s="201" t="s">
        <v>55</v>
      </c>
      <c r="K38" s="201">
        <v>8.0</v>
      </c>
      <c r="L38" s="201" t="s">
        <v>55</v>
      </c>
      <c r="M38" s="201">
        <v>0.0</v>
      </c>
      <c r="N38" s="201" t="s">
        <v>55</v>
      </c>
      <c r="O38" s="201" t="s">
        <v>55</v>
      </c>
      <c r="P38" s="201" t="s">
        <v>55</v>
      </c>
      <c r="Q38" s="201">
        <v>27.0</v>
      </c>
      <c r="R38" s="201">
        <v>14.0</v>
      </c>
      <c r="S38" s="201">
        <v>0.0</v>
      </c>
      <c r="T38" s="201" t="s">
        <v>55</v>
      </c>
      <c r="U38" s="201">
        <v>31.0</v>
      </c>
      <c r="V38" s="201">
        <v>0.0</v>
      </c>
      <c r="W38" s="201" t="s">
        <v>55</v>
      </c>
      <c r="X38" s="201">
        <v>5.0</v>
      </c>
      <c r="Y38" s="201">
        <v>20.0</v>
      </c>
      <c r="Z38" s="201">
        <v>9.0</v>
      </c>
      <c r="AA38" s="203">
        <v>77.0</v>
      </c>
      <c r="AB38" s="201">
        <v>0.0</v>
      </c>
      <c r="AC38" s="203">
        <v>247.0</v>
      </c>
      <c r="AD38" s="201" t="s">
        <v>55</v>
      </c>
      <c r="AE38" s="201" t="s">
        <v>55</v>
      </c>
      <c r="AF38" s="201">
        <v>11.0</v>
      </c>
      <c r="AG38" s="201" t="s">
        <v>55</v>
      </c>
      <c r="AH38" s="201" t="s">
        <v>55</v>
      </c>
      <c r="AI38" s="201">
        <v>7.0</v>
      </c>
      <c r="AJ38" s="201">
        <v>23.0</v>
      </c>
      <c r="AK38" s="201" t="s">
        <v>55</v>
      </c>
      <c r="AL38" s="201">
        <v>9.0</v>
      </c>
      <c r="AM38" s="201">
        <v>9.0</v>
      </c>
      <c r="AN38" s="201">
        <v>11.0</v>
      </c>
      <c r="AO38" s="201">
        <v>12.0</v>
      </c>
      <c r="AP38" s="146">
        <v>655.0</v>
      </c>
    </row>
    <row r="39">
      <c r="A39" s="204" t="s">
        <v>136</v>
      </c>
      <c r="B39" s="201" t="s">
        <v>55</v>
      </c>
      <c r="C39" s="201">
        <v>9.0</v>
      </c>
      <c r="D39" s="201">
        <v>5.0</v>
      </c>
      <c r="E39" s="203">
        <v>31.0</v>
      </c>
      <c r="F39" s="201" t="s">
        <v>55</v>
      </c>
      <c r="G39" s="201">
        <v>14.0</v>
      </c>
      <c r="H39" s="203">
        <v>63.0</v>
      </c>
      <c r="I39" s="201">
        <v>22.0</v>
      </c>
      <c r="J39" s="201">
        <v>11.0</v>
      </c>
      <c r="K39" s="201">
        <v>32.0</v>
      </c>
      <c r="L39" s="201" t="s">
        <v>55</v>
      </c>
      <c r="M39" s="201" t="s">
        <v>55</v>
      </c>
      <c r="N39" s="201" t="s">
        <v>55</v>
      </c>
      <c r="O39" s="201" t="s">
        <v>55</v>
      </c>
      <c r="P39" s="201" t="s">
        <v>55</v>
      </c>
      <c r="Q39" s="201">
        <v>27.0</v>
      </c>
      <c r="R39" s="201">
        <v>16.0</v>
      </c>
      <c r="S39" s="201" t="s">
        <v>55</v>
      </c>
      <c r="T39" s="201" t="s">
        <v>55</v>
      </c>
      <c r="U39" s="201">
        <v>42.0</v>
      </c>
      <c r="V39" s="201">
        <v>0.0</v>
      </c>
      <c r="W39" s="201" t="s">
        <v>55</v>
      </c>
      <c r="X39" s="201">
        <v>15.0</v>
      </c>
      <c r="Y39" s="201">
        <v>35.0</v>
      </c>
      <c r="Z39" s="201">
        <v>6.0</v>
      </c>
      <c r="AA39" s="203">
        <v>114.0</v>
      </c>
      <c r="AB39" s="201">
        <v>5.0</v>
      </c>
      <c r="AC39" s="203">
        <v>285.0</v>
      </c>
      <c r="AD39" s="201" t="s">
        <v>55</v>
      </c>
      <c r="AE39" s="201" t="s">
        <v>55</v>
      </c>
      <c r="AF39" s="201">
        <v>14.0</v>
      </c>
      <c r="AG39" s="201">
        <v>18.0</v>
      </c>
      <c r="AH39" s="201" t="s">
        <v>55</v>
      </c>
      <c r="AI39" s="201">
        <v>0.0</v>
      </c>
      <c r="AJ39" s="201">
        <v>39.0</v>
      </c>
      <c r="AK39" s="201" t="s">
        <v>55</v>
      </c>
      <c r="AL39" s="201">
        <v>13.0</v>
      </c>
      <c r="AM39" s="201">
        <v>14.0</v>
      </c>
      <c r="AN39" s="201">
        <v>27.0</v>
      </c>
      <c r="AO39" s="201" t="s">
        <v>55</v>
      </c>
      <c r="AP39" s="146">
        <v>894.0</v>
      </c>
    </row>
    <row r="40">
      <c r="A40" s="204" t="s">
        <v>137</v>
      </c>
      <c r="B40" s="201">
        <v>7.0</v>
      </c>
      <c r="C40" s="201">
        <v>12.0</v>
      </c>
      <c r="D40" s="201">
        <v>8.0</v>
      </c>
      <c r="E40" s="203">
        <v>46.0</v>
      </c>
      <c r="F40" s="201" t="s">
        <v>55</v>
      </c>
      <c r="G40" s="201">
        <v>20.0</v>
      </c>
      <c r="H40" s="203">
        <v>97.0</v>
      </c>
      <c r="I40" s="201">
        <v>31.0</v>
      </c>
      <c r="J40" s="201">
        <v>8.0</v>
      </c>
      <c r="K40" s="201">
        <v>33.0</v>
      </c>
      <c r="L40" s="201">
        <v>5.0</v>
      </c>
      <c r="M40" s="201">
        <v>7.0</v>
      </c>
      <c r="N40" s="201" t="s">
        <v>55</v>
      </c>
      <c r="O40" s="201" t="s">
        <v>55</v>
      </c>
      <c r="P40" s="201">
        <v>6.0</v>
      </c>
      <c r="Q40" s="201">
        <v>22.0</v>
      </c>
      <c r="R40" s="201">
        <v>21.0</v>
      </c>
      <c r="S40" s="201" t="s">
        <v>55</v>
      </c>
      <c r="T40" s="201" t="s">
        <v>55</v>
      </c>
      <c r="U40" s="201">
        <v>96.0</v>
      </c>
      <c r="V40" s="201">
        <v>0.0</v>
      </c>
      <c r="W40" s="201">
        <v>8.0</v>
      </c>
      <c r="X40" s="201">
        <v>27.0</v>
      </c>
      <c r="Y40" s="201">
        <v>45.0</v>
      </c>
      <c r="Z40" s="201">
        <v>9.0</v>
      </c>
      <c r="AA40" s="203">
        <v>122.0</v>
      </c>
      <c r="AB40" s="201">
        <v>5.0</v>
      </c>
      <c r="AC40" s="203">
        <v>286.0</v>
      </c>
      <c r="AD40" s="201" t="s">
        <v>55</v>
      </c>
      <c r="AE40" s="201" t="s">
        <v>55</v>
      </c>
      <c r="AF40" s="201">
        <v>14.0</v>
      </c>
      <c r="AG40" s="201">
        <v>51.0</v>
      </c>
      <c r="AH40" s="201">
        <v>17.0</v>
      </c>
      <c r="AI40" s="201">
        <v>6.0</v>
      </c>
      <c r="AJ40" s="201">
        <v>64.0</v>
      </c>
      <c r="AK40" s="201">
        <v>5.0</v>
      </c>
      <c r="AL40" s="201">
        <v>25.0</v>
      </c>
      <c r="AM40" s="201">
        <v>22.0</v>
      </c>
      <c r="AN40" s="201">
        <v>38.0</v>
      </c>
      <c r="AO40" s="201">
        <v>15.0</v>
      </c>
      <c r="AP40" s="146">
        <v>1191.0</v>
      </c>
    </row>
    <row r="41">
      <c r="A41" s="204" t="s">
        <v>138</v>
      </c>
      <c r="B41" s="201">
        <v>6.0</v>
      </c>
      <c r="C41" s="201">
        <v>24.0</v>
      </c>
      <c r="D41" s="201">
        <v>18.0</v>
      </c>
      <c r="E41" s="203">
        <v>73.0</v>
      </c>
      <c r="F41" s="201" t="s">
        <v>55</v>
      </c>
      <c r="G41" s="201">
        <v>31.0</v>
      </c>
      <c r="H41" s="203">
        <v>134.0</v>
      </c>
      <c r="I41" s="201">
        <v>43.0</v>
      </c>
      <c r="J41" s="201">
        <v>12.0</v>
      </c>
      <c r="K41" s="201">
        <v>48.0</v>
      </c>
      <c r="L41" s="201" t="s">
        <v>55</v>
      </c>
      <c r="M41" s="201" t="s">
        <v>55</v>
      </c>
      <c r="N41" s="201" t="s">
        <v>55</v>
      </c>
      <c r="O41" s="201">
        <v>0.0</v>
      </c>
      <c r="P41" s="201" t="s">
        <v>55</v>
      </c>
      <c r="Q41" s="201">
        <v>49.0</v>
      </c>
      <c r="R41" s="201">
        <v>22.0</v>
      </c>
      <c r="S41" s="201" t="s">
        <v>55</v>
      </c>
      <c r="T41" s="201" t="s">
        <v>55</v>
      </c>
      <c r="U41" s="201">
        <v>38.0</v>
      </c>
      <c r="V41" s="201" t="s">
        <v>55</v>
      </c>
      <c r="W41" s="201">
        <v>13.0</v>
      </c>
      <c r="X41" s="201">
        <v>17.0</v>
      </c>
      <c r="Y41" s="201">
        <v>59.0</v>
      </c>
      <c r="Z41" s="201">
        <v>19.0</v>
      </c>
      <c r="AA41" s="203">
        <v>165.0</v>
      </c>
      <c r="AB41" s="201">
        <v>12.0</v>
      </c>
      <c r="AC41" s="203">
        <v>370.0</v>
      </c>
      <c r="AD41" s="201" t="s">
        <v>55</v>
      </c>
      <c r="AE41" s="201" t="s">
        <v>55</v>
      </c>
      <c r="AF41" s="201">
        <v>27.0</v>
      </c>
      <c r="AG41" s="201">
        <v>34.0</v>
      </c>
      <c r="AH41" s="201">
        <v>15.0</v>
      </c>
      <c r="AI41" s="201">
        <v>5.0</v>
      </c>
      <c r="AJ41" s="201">
        <v>55.0</v>
      </c>
      <c r="AK41" s="201">
        <v>12.0</v>
      </c>
      <c r="AL41" s="201">
        <v>26.0</v>
      </c>
      <c r="AM41" s="201">
        <v>14.0</v>
      </c>
      <c r="AN41" s="201">
        <v>49.0</v>
      </c>
      <c r="AO41" s="201">
        <v>28.0</v>
      </c>
      <c r="AP41" s="146">
        <v>1445.0</v>
      </c>
    </row>
    <row r="42">
      <c r="A42" s="204" t="s">
        <v>139</v>
      </c>
      <c r="B42" s="201">
        <v>21.0</v>
      </c>
      <c r="C42" s="201">
        <v>23.0</v>
      </c>
      <c r="D42" s="201">
        <v>19.0</v>
      </c>
      <c r="E42" s="203">
        <v>95.0</v>
      </c>
      <c r="F42" s="201">
        <v>7.0</v>
      </c>
      <c r="G42" s="201">
        <v>53.0</v>
      </c>
      <c r="H42" s="203">
        <v>226.0</v>
      </c>
      <c r="I42" s="201">
        <v>53.0</v>
      </c>
      <c r="J42" s="201">
        <v>37.0</v>
      </c>
      <c r="K42" s="201">
        <v>74.0</v>
      </c>
      <c r="L42" s="201" t="s">
        <v>55</v>
      </c>
      <c r="M42" s="201" t="s">
        <v>55</v>
      </c>
      <c r="N42" s="201">
        <v>19.0</v>
      </c>
      <c r="O42" s="201" t="s">
        <v>55</v>
      </c>
      <c r="P42" s="201">
        <v>0.0</v>
      </c>
      <c r="Q42" s="201">
        <v>81.0</v>
      </c>
      <c r="R42" s="201">
        <v>41.0</v>
      </c>
      <c r="S42" s="201" t="s">
        <v>55</v>
      </c>
      <c r="T42" s="201">
        <v>10.0</v>
      </c>
      <c r="U42" s="201">
        <v>38.0</v>
      </c>
      <c r="V42" s="201">
        <v>0.0</v>
      </c>
      <c r="W42" s="201">
        <v>20.0</v>
      </c>
      <c r="X42" s="201">
        <v>29.0</v>
      </c>
      <c r="Y42" s="201">
        <v>86.0</v>
      </c>
      <c r="Z42" s="201">
        <v>22.0</v>
      </c>
      <c r="AA42" s="203">
        <v>258.0</v>
      </c>
      <c r="AB42" s="201">
        <v>10.0</v>
      </c>
      <c r="AC42" s="203">
        <v>649.0</v>
      </c>
      <c r="AD42" s="201">
        <v>9.0</v>
      </c>
      <c r="AE42" s="201">
        <v>13.0</v>
      </c>
      <c r="AF42" s="201">
        <v>39.0</v>
      </c>
      <c r="AG42" s="201">
        <v>24.0</v>
      </c>
      <c r="AH42" s="201">
        <v>15.0</v>
      </c>
      <c r="AI42" s="201">
        <v>12.0</v>
      </c>
      <c r="AJ42" s="201">
        <v>123.0</v>
      </c>
      <c r="AK42" s="201">
        <v>17.0</v>
      </c>
      <c r="AL42" s="201">
        <v>53.0</v>
      </c>
      <c r="AM42" s="201">
        <v>11.0</v>
      </c>
      <c r="AN42" s="201">
        <v>64.0</v>
      </c>
      <c r="AO42" s="201">
        <v>82.0</v>
      </c>
      <c r="AP42" s="146">
        <v>2345.0</v>
      </c>
    </row>
    <row r="43">
      <c r="A43" s="204" t="s">
        <v>140</v>
      </c>
      <c r="B43" s="201">
        <v>31.0</v>
      </c>
      <c r="C43" s="201">
        <v>39.0</v>
      </c>
      <c r="D43" s="201">
        <v>28.0</v>
      </c>
      <c r="E43" s="203">
        <v>161.0</v>
      </c>
      <c r="F43" s="201">
        <v>5.0</v>
      </c>
      <c r="G43" s="201">
        <v>49.0</v>
      </c>
      <c r="H43" s="203">
        <v>265.0</v>
      </c>
      <c r="I43" s="201">
        <v>83.0</v>
      </c>
      <c r="J43" s="201">
        <v>32.0</v>
      </c>
      <c r="K43" s="201">
        <v>96.0</v>
      </c>
      <c r="L43" s="201" t="s">
        <v>55</v>
      </c>
      <c r="M43" s="201">
        <v>13.0</v>
      </c>
      <c r="N43" s="201">
        <v>19.0</v>
      </c>
      <c r="O43" s="201">
        <v>8.0</v>
      </c>
      <c r="P43" s="201">
        <v>6.0</v>
      </c>
      <c r="Q43" s="201">
        <v>105.0</v>
      </c>
      <c r="R43" s="201">
        <v>49.0</v>
      </c>
      <c r="S43" s="201">
        <v>5.0</v>
      </c>
      <c r="T43" s="201">
        <v>25.0</v>
      </c>
      <c r="U43" s="201">
        <v>17.0</v>
      </c>
      <c r="V43" s="201" t="s">
        <v>55</v>
      </c>
      <c r="W43" s="201">
        <v>21.0</v>
      </c>
      <c r="X43" s="201">
        <v>35.0</v>
      </c>
      <c r="Y43" s="201">
        <v>125.0</v>
      </c>
      <c r="Z43" s="201">
        <v>13.0</v>
      </c>
      <c r="AA43" s="203">
        <v>265.0</v>
      </c>
      <c r="AB43" s="201">
        <v>27.0</v>
      </c>
      <c r="AC43" s="203">
        <v>644.0</v>
      </c>
      <c r="AD43" s="201" t="s">
        <v>55</v>
      </c>
      <c r="AE43" s="201">
        <v>18.0</v>
      </c>
      <c r="AF43" s="201">
        <v>36.0</v>
      </c>
      <c r="AG43" s="201">
        <v>20.0</v>
      </c>
      <c r="AH43" s="201">
        <v>30.0</v>
      </c>
      <c r="AI43" s="201">
        <v>33.0</v>
      </c>
      <c r="AJ43" s="201">
        <v>191.0</v>
      </c>
      <c r="AK43" s="201">
        <v>7.0</v>
      </c>
      <c r="AL43" s="201">
        <v>76.0</v>
      </c>
      <c r="AM43" s="201">
        <v>19.0</v>
      </c>
      <c r="AN43" s="201">
        <v>69.0</v>
      </c>
      <c r="AO43" s="201">
        <v>51.0</v>
      </c>
      <c r="AP43" s="146">
        <v>2723.0</v>
      </c>
    </row>
    <row r="44">
      <c r="A44" s="204" t="s">
        <v>141</v>
      </c>
      <c r="B44" s="201">
        <v>26.0</v>
      </c>
      <c r="C44" s="201">
        <v>71.0</v>
      </c>
      <c r="D44" s="201">
        <v>23.0</v>
      </c>
      <c r="E44" s="203">
        <v>144.0</v>
      </c>
      <c r="F44" s="201">
        <v>10.0</v>
      </c>
      <c r="G44" s="201">
        <v>100.0</v>
      </c>
      <c r="H44" s="203">
        <v>375.0</v>
      </c>
      <c r="I44" s="201">
        <v>78.0</v>
      </c>
      <c r="J44" s="201">
        <v>52.0</v>
      </c>
      <c r="K44" s="201">
        <v>134.0</v>
      </c>
      <c r="L44" s="201">
        <v>13.0</v>
      </c>
      <c r="M44" s="201">
        <v>8.0</v>
      </c>
      <c r="N44" s="201">
        <v>22.0</v>
      </c>
      <c r="O44" s="201">
        <v>16.0</v>
      </c>
      <c r="P44" s="201">
        <v>14.0</v>
      </c>
      <c r="Q44" s="201">
        <v>153.0</v>
      </c>
      <c r="R44" s="201">
        <v>52.0</v>
      </c>
      <c r="S44" s="201" t="s">
        <v>55</v>
      </c>
      <c r="T44" s="201">
        <v>22.0</v>
      </c>
      <c r="U44" s="201">
        <v>30.0</v>
      </c>
      <c r="V44" s="201" t="s">
        <v>55</v>
      </c>
      <c r="W44" s="201">
        <v>35.0</v>
      </c>
      <c r="X44" s="201">
        <v>51.0</v>
      </c>
      <c r="Y44" s="201">
        <v>117.0</v>
      </c>
      <c r="Z44" s="201">
        <v>24.0</v>
      </c>
      <c r="AA44" s="203">
        <v>323.0</v>
      </c>
      <c r="AB44" s="201">
        <v>17.0</v>
      </c>
      <c r="AC44" s="203">
        <v>867.0</v>
      </c>
      <c r="AD44" s="201">
        <v>9.0</v>
      </c>
      <c r="AE44" s="201">
        <v>26.0</v>
      </c>
      <c r="AF44" s="201">
        <v>56.0</v>
      </c>
      <c r="AG44" s="201">
        <v>32.0</v>
      </c>
      <c r="AH44" s="201">
        <v>25.0</v>
      </c>
      <c r="AI44" s="201">
        <v>38.0</v>
      </c>
      <c r="AJ44" s="201">
        <v>227.0</v>
      </c>
      <c r="AK44" s="201">
        <v>8.0</v>
      </c>
      <c r="AL44" s="201">
        <v>88.0</v>
      </c>
      <c r="AM44" s="201">
        <v>27.0</v>
      </c>
      <c r="AN44" s="201">
        <v>111.0</v>
      </c>
      <c r="AO44" s="201">
        <v>49.0</v>
      </c>
      <c r="AP44" s="146">
        <v>3480.0</v>
      </c>
    </row>
    <row r="45">
      <c r="A45" s="204" t="s">
        <v>142</v>
      </c>
      <c r="B45" s="201">
        <v>46.0</v>
      </c>
      <c r="C45" s="201">
        <v>97.0</v>
      </c>
      <c r="D45" s="201">
        <v>36.0</v>
      </c>
      <c r="E45" s="203">
        <v>220.0</v>
      </c>
      <c r="F45" s="201">
        <v>13.0</v>
      </c>
      <c r="G45" s="201">
        <v>149.0</v>
      </c>
      <c r="H45" s="203">
        <v>561.0</v>
      </c>
      <c r="I45" s="201">
        <v>130.0</v>
      </c>
      <c r="J45" s="201">
        <v>69.0</v>
      </c>
      <c r="K45" s="201">
        <v>201.0</v>
      </c>
      <c r="L45" s="201">
        <v>16.0</v>
      </c>
      <c r="M45" s="201">
        <v>21.0</v>
      </c>
      <c r="N45" s="201">
        <v>31.0</v>
      </c>
      <c r="O45" s="201">
        <v>18.0</v>
      </c>
      <c r="P45" s="201">
        <v>11.0</v>
      </c>
      <c r="Q45" s="201">
        <v>181.0</v>
      </c>
      <c r="R45" s="201">
        <v>104.0</v>
      </c>
      <c r="S45" s="201" t="s">
        <v>55</v>
      </c>
      <c r="T45" s="201">
        <v>23.0</v>
      </c>
      <c r="U45" s="201">
        <v>43.0</v>
      </c>
      <c r="V45" s="201" t="s">
        <v>55</v>
      </c>
      <c r="W45" s="201">
        <v>38.0</v>
      </c>
      <c r="X45" s="201">
        <v>115.0</v>
      </c>
      <c r="Y45" s="201">
        <v>196.0</v>
      </c>
      <c r="Z45" s="201">
        <v>24.0</v>
      </c>
      <c r="AA45" s="203">
        <v>470.0</v>
      </c>
      <c r="AB45" s="201">
        <v>32.0</v>
      </c>
      <c r="AC45" s="203">
        <v>1254.0</v>
      </c>
      <c r="AD45" s="201">
        <v>25.0</v>
      </c>
      <c r="AE45" s="201">
        <v>25.0</v>
      </c>
      <c r="AF45" s="201">
        <v>118.0</v>
      </c>
      <c r="AG45" s="201">
        <v>65.0</v>
      </c>
      <c r="AH45" s="201">
        <v>32.0</v>
      </c>
      <c r="AI45" s="201">
        <v>39.0</v>
      </c>
      <c r="AJ45" s="201">
        <v>386.0</v>
      </c>
      <c r="AK45" s="201">
        <v>18.0</v>
      </c>
      <c r="AL45" s="201">
        <v>168.0</v>
      </c>
      <c r="AM45" s="201">
        <v>55.0</v>
      </c>
      <c r="AN45" s="201">
        <v>111.0</v>
      </c>
      <c r="AO45" s="201">
        <v>75.0</v>
      </c>
      <c r="AP45" s="146">
        <v>5221.0</v>
      </c>
    </row>
    <row r="46">
      <c r="A46" s="204" t="s">
        <v>143</v>
      </c>
      <c r="B46" s="201">
        <v>50.0</v>
      </c>
      <c r="C46" s="201">
        <v>104.0</v>
      </c>
      <c r="D46" s="201">
        <v>57.0</v>
      </c>
      <c r="E46" s="203">
        <v>194.0</v>
      </c>
      <c r="F46" s="201">
        <v>22.0</v>
      </c>
      <c r="G46" s="201">
        <v>204.0</v>
      </c>
      <c r="H46" s="203">
        <v>655.0</v>
      </c>
      <c r="I46" s="201">
        <v>144.0</v>
      </c>
      <c r="J46" s="201">
        <v>79.0</v>
      </c>
      <c r="K46" s="201">
        <v>236.0</v>
      </c>
      <c r="L46" s="201">
        <v>24.0</v>
      </c>
      <c r="M46" s="201">
        <v>18.0</v>
      </c>
      <c r="N46" s="201">
        <v>35.0</v>
      </c>
      <c r="O46" s="201">
        <v>30.0</v>
      </c>
      <c r="P46" s="201">
        <v>10.0</v>
      </c>
      <c r="Q46" s="201">
        <v>229.0</v>
      </c>
      <c r="R46" s="201">
        <v>108.0</v>
      </c>
      <c r="S46" s="201" t="s">
        <v>55</v>
      </c>
      <c r="T46" s="201">
        <v>25.0</v>
      </c>
      <c r="U46" s="201">
        <v>51.0</v>
      </c>
      <c r="V46" s="201" t="s">
        <v>55</v>
      </c>
      <c r="W46" s="201">
        <v>61.0</v>
      </c>
      <c r="X46" s="201">
        <v>118.0</v>
      </c>
      <c r="Y46" s="201">
        <v>225.0</v>
      </c>
      <c r="Z46" s="201">
        <v>37.0</v>
      </c>
      <c r="AA46" s="203">
        <v>503.0</v>
      </c>
      <c r="AB46" s="201">
        <v>27.0</v>
      </c>
      <c r="AC46" s="203">
        <v>1437.0</v>
      </c>
      <c r="AD46" s="201">
        <v>12.0</v>
      </c>
      <c r="AE46" s="201">
        <v>42.0</v>
      </c>
      <c r="AF46" s="201">
        <v>133.0</v>
      </c>
      <c r="AG46" s="201">
        <v>53.0</v>
      </c>
      <c r="AH46" s="201">
        <v>37.0</v>
      </c>
      <c r="AI46" s="201">
        <v>34.0</v>
      </c>
      <c r="AJ46" s="201">
        <v>481.0</v>
      </c>
      <c r="AK46" s="201">
        <v>20.0</v>
      </c>
      <c r="AL46" s="201">
        <v>198.0</v>
      </c>
      <c r="AM46" s="201">
        <v>60.0</v>
      </c>
      <c r="AN46" s="201">
        <v>131.0</v>
      </c>
      <c r="AO46" s="201">
        <v>178.0</v>
      </c>
      <c r="AP46" s="146">
        <v>6066.0</v>
      </c>
    </row>
    <row r="47">
      <c r="A47" s="204" t="s">
        <v>144</v>
      </c>
      <c r="B47" s="201">
        <v>47.0</v>
      </c>
      <c r="C47" s="201">
        <v>52.0</v>
      </c>
      <c r="D47" s="201">
        <v>87.0</v>
      </c>
      <c r="E47" s="203">
        <v>172.0</v>
      </c>
      <c r="F47" s="201">
        <v>27.0</v>
      </c>
      <c r="G47" s="201">
        <v>200.0</v>
      </c>
      <c r="H47" s="203">
        <v>513.0</v>
      </c>
      <c r="I47" s="201">
        <v>143.0</v>
      </c>
      <c r="J47" s="201">
        <v>67.0</v>
      </c>
      <c r="K47" s="201">
        <v>183.0</v>
      </c>
      <c r="L47" s="201">
        <v>25.0</v>
      </c>
      <c r="M47" s="201">
        <v>21.0</v>
      </c>
      <c r="N47" s="201">
        <v>29.0</v>
      </c>
      <c r="O47" s="201">
        <v>27.0</v>
      </c>
      <c r="P47" s="201">
        <v>11.0</v>
      </c>
      <c r="Q47" s="201">
        <v>190.0</v>
      </c>
      <c r="R47" s="201">
        <v>132.0</v>
      </c>
      <c r="S47" s="201">
        <v>5.0</v>
      </c>
      <c r="T47" s="201">
        <v>24.0</v>
      </c>
      <c r="U47" s="201">
        <v>35.0</v>
      </c>
      <c r="V47" s="201" t="s">
        <v>55</v>
      </c>
      <c r="W47" s="201">
        <v>48.0</v>
      </c>
      <c r="X47" s="201">
        <v>110.0</v>
      </c>
      <c r="Y47" s="201">
        <v>176.0</v>
      </c>
      <c r="Z47" s="201">
        <v>52.0</v>
      </c>
      <c r="AA47" s="203">
        <v>444.0</v>
      </c>
      <c r="AB47" s="201">
        <v>34.0</v>
      </c>
      <c r="AC47" s="203">
        <v>1180.0</v>
      </c>
      <c r="AD47" s="201">
        <v>14.0</v>
      </c>
      <c r="AE47" s="201">
        <v>46.0</v>
      </c>
      <c r="AF47" s="201">
        <v>93.0</v>
      </c>
      <c r="AG47" s="201">
        <v>30.0</v>
      </c>
      <c r="AH47" s="201">
        <v>40.0</v>
      </c>
      <c r="AI47" s="201">
        <v>19.0</v>
      </c>
      <c r="AJ47" s="201">
        <v>434.0</v>
      </c>
      <c r="AK47" s="201">
        <v>32.0</v>
      </c>
      <c r="AL47" s="201">
        <v>143.0</v>
      </c>
      <c r="AM47" s="201">
        <v>54.0</v>
      </c>
      <c r="AN47" s="201">
        <v>164.0</v>
      </c>
      <c r="AO47" s="201">
        <v>174.0</v>
      </c>
      <c r="AP47" s="146">
        <v>5279.0</v>
      </c>
    </row>
    <row r="48">
      <c r="A48" s="204" t="s">
        <v>145</v>
      </c>
      <c r="B48" s="201">
        <v>85.0</v>
      </c>
      <c r="C48" s="201">
        <v>89.0</v>
      </c>
      <c r="D48" s="201">
        <v>170.0</v>
      </c>
      <c r="E48" s="203">
        <v>216.0</v>
      </c>
      <c r="F48" s="201">
        <v>36.0</v>
      </c>
      <c r="G48" s="201">
        <v>284.0</v>
      </c>
      <c r="H48" s="203">
        <v>752.0</v>
      </c>
      <c r="I48" s="201">
        <v>262.0</v>
      </c>
      <c r="J48" s="201">
        <v>93.0</v>
      </c>
      <c r="K48" s="201">
        <v>353.0</v>
      </c>
      <c r="L48" s="201">
        <v>41.0</v>
      </c>
      <c r="M48" s="201">
        <v>31.0</v>
      </c>
      <c r="N48" s="201">
        <v>54.0</v>
      </c>
      <c r="O48" s="201">
        <v>51.0</v>
      </c>
      <c r="P48" s="201">
        <v>20.0</v>
      </c>
      <c r="Q48" s="201">
        <v>372.0</v>
      </c>
      <c r="R48" s="201">
        <v>171.0</v>
      </c>
      <c r="S48" s="201" t="s">
        <v>55</v>
      </c>
      <c r="T48" s="201">
        <v>56.0</v>
      </c>
      <c r="U48" s="201">
        <v>55.0</v>
      </c>
      <c r="V48" s="201" t="s">
        <v>55</v>
      </c>
      <c r="W48" s="201">
        <v>76.0</v>
      </c>
      <c r="X48" s="201">
        <v>125.0</v>
      </c>
      <c r="Y48" s="201">
        <v>288.0</v>
      </c>
      <c r="Z48" s="201">
        <v>91.0</v>
      </c>
      <c r="AA48" s="203">
        <v>669.0</v>
      </c>
      <c r="AB48" s="201">
        <v>38.0</v>
      </c>
      <c r="AC48" s="203">
        <v>1724.0</v>
      </c>
      <c r="AD48" s="201">
        <v>25.0</v>
      </c>
      <c r="AE48" s="201">
        <v>78.0</v>
      </c>
      <c r="AF48" s="201">
        <v>173.0</v>
      </c>
      <c r="AG48" s="201">
        <v>68.0</v>
      </c>
      <c r="AH48" s="201">
        <v>68.0</v>
      </c>
      <c r="AI48" s="201">
        <v>46.0</v>
      </c>
      <c r="AJ48" s="201">
        <v>561.0</v>
      </c>
      <c r="AK48" s="201">
        <v>32.0</v>
      </c>
      <c r="AL48" s="201">
        <v>218.0</v>
      </c>
      <c r="AM48" s="201">
        <v>80.0</v>
      </c>
      <c r="AN48" s="201">
        <v>270.0</v>
      </c>
      <c r="AO48" s="201">
        <v>353.0</v>
      </c>
      <c r="AP48" s="146">
        <v>8178.0</v>
      </c>
    </row>
    <row r="49">
      <c r="A49" s="204" t="s">
        <v>146</v>
      </c>
      <c r="B49" s="201">
        <v>79.0</v>
      </c>
      <c r="C49" s="201">
        <v>85.0</v>
      </c>
      <c r="D49" s="201">
        <v>115.0</v>
      </c>
      <c r="E49" s="203">
        <v>144.0</v>
      </c>
      <c r="F49" s="201">
        <v>35.0</v>
      </c>
      <c r="G49" s="201">
        <v>222.0</v>
      </c>
      <c r="H49" s="203">
        <v>684.0</v>
      </c>
      <c r="I49" s="201">
        <v>281.0</v>
      </c>
      <c r="J49" s="201">
        <v>96.0</v>
      </c>
      <c r="K49" s="201">
        <v>393.0</v>
      </c>
      <c r="L49" s="201">
        <v>38.0</v>
      </c>
      <c r="M49" s="201">
        <v>28.0</v>
      </c>
      <c r="N49" s="201">
        <v>76.0</v>
      </c>
      <c r="O49" s="201">
        <v>42.0</v>
      </c>
      <c r="P49" s="201">
        <v>27.0</v>
      </c>
      <c r="Q49" s="201">
        <v>276.0</v>
      </c>
      <c r="R49" s="201">
        <v>149.0</v>
      </c>
      <c r="S49" s="201">
        <v>9.0</v>
      </c>
      <c r="T49" s="201">
        <v>56.0</v>
      </c>
      <c r="U49" s="201">
        <v>72.0</v>
      </c>
      <c r="V49" s="201">
        <v>11.0</v>
      </c>
      <c r="W49" s="201">
        <v>100.0</v>
      </c>
      <c r="X49" s="201">
        <v>128.0</v>
      </c>
      <c r="Y49" s="201">
        <v>275.0</v>
      </c>
      <c r="Z49" s="201">
        <v>78.0</v>
      </c>
      <c r="AA49" s="203">
        <v>619.0</v>
      </c>
      <c r="AB49" s="201">
        <v>55.0</v>
      </c>
      <c r="AC49" s="203">
        <v>1587.0</v>
      </c>
      <c r="AD49" s="201">
        <v>14.0</v>
      </c>
      <c r="AE49" s="201">
        <v>75.0</v>
      </c>
      <c r="AF49" s="201">
        <v>150.0</v>
      </c>
      <c r="AG49" s="201">
        <v>61.0</v>
      </c>
      <c r="AH49" s="201">
        <v>62.0</v>
      </c>
      <c r="AI49" s="201">
        <v>57.0</v>
      </c>
      <c r="AJ49" s="201">
        <v>495.0</v>
      </c>
      <c r="AK49" s="201">
        <v>30.0</v>
      </c>
      <c r="AL49" s="201">
        <v>183.0</v>
      </c>
      <c r="AM49" s="201">
        <v>100.0</v>
      </c>
      <c r="AN49" s="201">
        <v>279.0</v>
      </c>
      <c r="AO49" s="201">
        <v>343.0</v>
      </c>
      <c r="AP49" s="146">
        <v>7609.0</v>
      </c>
    </row>
    <row r="50">
      <c r="A50" s="204" t="s">
        <v>147</v>
      </c>
      <c r="B50" s="201">
        <v>45.0</v>
      </c>
      <c r="C50" s="201">
        <v>91.0</v>
      </c>
      <c r="D50" s="201">
        <v>114.0</v>
      </c>
      <c r="E50" s="203">
        <v>112.0</v>
      </c>
      <c r="F50" s="201">
        <v>34.0</v>
      </c>
      <c r="G50" s="201">
        <v>216.0</v>
      </c>
      <c r="H50" s="203">
        <v>480.0</v>
      </c>
      <c r="I50" s="201">
        <v>194.0</v>
      </c>
      <c r="J50" s="201">
        <v>75.0</v>
      </c>
      <c r="K50" s="201">
        <v>263.0</v>
      </c>
      <c r="L50" s="201">
        <v>24.0</v>
      </c>
      <c r="M50" s="201">
        <v>14.0</v>
      </c>
      <c r="N50" s="201">
        <v>44.0</v>
      </c>
      <c r="O50" s="201">
        <v>34.0</v>
      </c>
      <c r="P50" s="201">
        <v>10.0</v>
      </c>
      <c r="Q50" s="201">
        <v>193.0</v>
      </c>
      <c r="R50" s="201">
        <v>119.0</v>
      </c>
      <c r="S50" s="201">
        <v>12.0</v>
      </c>
      <c r="T50" s="201">
        <v>69.0</v>
      </c>
      <c r="U50" s="201">
        <v>56.0</v>
      </c>
      <c r="V50" s="201" t="s">
        <v>55</v>
      </c>
      <c r="W50" s="201">
        <v>76.0</v>
      </c>
      <c r="X50" s="201">
        <v>81.0</v>
      </c>
      <c r="Y50" s="201">
        <v>151.0</v>
      </c>
      <c r="Z50" s="201">
        <v>70.0</v>
      </c>
      <c r="AA50" s="203">
        <v>414.0</v>
      </c>
      <c r="AB50" s="201">
        <v>75.0</v>
      </c>
      <c r="AC50" s="203">
        <v>1045.0</v>
      </c>
      <c r="AD50" s="201">
        <v>9.0</v>
      </c>
      <c r="AE50" s="201">
        <v>43.0</v>
      </c>
      <c r="AF50" s="201">
        <v>110.0</v>
      </c>
      <c r="AG50" s="201">
        <v>42.0</v>
      </c>
      <c r="AH50" s="201">
        <v>65.0</v>
      </c>
      <c r="AI50" s="201">
        <v>77.0</v>
      </c>
      <c r="AJ50" s="201">
        <v>363.0</v>
      </c>
      <c r="AK50" s="201">
        <v>24.0</v>
      </c>
      <c r="AL50" s="201">
        <v>118.0</v>
      </c>
      <c r="AM50" s="201">
        <v>117.0</v>
      </c>
      <c r="AN50" s="201">
        <v>285.0</v>
      </c>
      <c r="AO50" s="201">
        <v>205.0</v>
      </c>
      <c r="AP50" s="146">
        <v>5573.0</v>
      </c>
    </row>
    <row r="51">
      <c r="A51" s="204" t="s">
        <v>148</v>
      </c>
      <c r="B51" s="201">
        <v>88.0</v>
      </c>
      <c r="C51" s="201">
        <v>124.0</v>
      </c>
      <c r="D51" s="201">
        <v>76.0</v>
      </c>
      <c r="E51" s="203">
        <v>102.0</v>
      </c>
      <c r="F51" s="201">
        <v>29.0</v>
      </c>
      <c r="G51" s="201">
        <v>120.0</v>
      </c>
      <c r="H51" s="203">
        <v>377.0</v>
      </c>
      <c r="I51" s="201">
        <v>141.0</v>
      </c>
      <c r="J51" s="201">
        <v>43.0</v>
      </c>
      <c r="K51" s="201">
        <v>248.0</v>
      </c>
      <c r="L51" s="201">
        <v>19.0</v>
      </c>
      <c r="M51" s="201">
        <v>24.0</v>
      </c>
      <c r="N51" s="201">
        <v>39.0</v>
      </c>
      <c r="O51" s="201">
        <v>22.0</v>
      </c>
      <c r="P51" s="201">
        <v>13.0</v>
      </c>
      <c r="Q51" s="201">
        <v>138.0</v>
      </c>
      <c r="R51" s="201">
        <v>96.0</v>
      </c>
      <c r="S51" s="201">
        <v>9.0</v>
      </c>
      <c r="T51" s="201">
        <v>61.0</v>
      </c>
      <c r="U51" s="201">
        <v>51.0</v>
      </c>
      <c r="V51" s="201">
        <v>0.0</v>
      </c>
      <c r="W51" s="201">
        <v>65.0</v>
      </c>
      <c r="X51" s="201">
        <v>68.0</v>
      </c>
      <c r="Y51" s="201">
        <v>145.0</v>
      </c>
      <c r="Z51" s="201">
        <v>44.0</v>
      </c>
      <c r="AA51" s="203">
        <v>300.0</v>
      </c>
      <c r="AB51" s="201">
        <v>83.0</v>
      </c>
      <c r="AC51" s="203">
        <v>793.0</v>
      </c>
      <c r="AD51" s="201">
        <v>19.0</v>
      </c>
      <c r="AE51" s="201">
        <v>34.0</v>
      </c>
      <c r="AF51" s="201">
        <v>83.0</v>
      </c>
      <c r="AG51" s="201">
        <v>39.0</v>
      </c>
      <c r="AH51" s="201">
        <v>73.0</v>
      </c>
      <c r="AI51" s="201">
        <v>63.0</v>
      </c>
      <c r="AJ51" s="201">
        <v>259.0</v>
      </c>
      <c r="AK51" s="201">
        <v>20.0</v>
      </c>
      <c r="AL51" s="201">
        <v>110.0</v>
      </c>
      <c r="AM51" s="201">
        <v>71.0</v>
      </c>
      <c r="AN51" s="201">
        <v>195.0</v>
      </c>
      <c r="AO51" s="201">
        <v>272.0</v>
      </c>
      <c r="AP51" s="146">
        <v>4556.0</v>
      </c>
    </row>
    <row r="52">
      <c r="A52" s="204" t="s">
        <v>149</v>
      </c>
      <c r="B52" s="201">
        <v>75.0</v>
      </c>
      <c r="C52" s="201">
        <v>169.0</v>
      </c>
      <c r="D52" s="201">
        <v>120.0</v>
      </c>
      <c r="E52" s="203">
        <v>151.0</v>
      </c>
      <c r="F52" s="201">
        <v>53.0</v>
      </c>
      <c r="G52" s="201">
        <v>164.0</v>
      </c>
      <c r="H52" s="203">
        <v>489.0</v>
      </c>
      <c r="I52" s="201">
        <v>232.0</v>
      </c>
      <c r="J52" s="201">
        <v>89.0</v>
      </c>
      <c r="K52" s="201">
        <v>271.0</v>
      </c>
      <c r="L52" s="201">
        <v>27.0</v>
      </c>
      <c r="M52" s="201">
        <v>27.0</v>
      </c>
      <c r="N52" s="201">
        <v>30.0</v>
      </c>
      <c r="O52" s="201">
        <v>32.0</v>
      </c>
      <c r="P52" s="201">
        <v>34.0</v>
      </c>
      <c r="Q52" s="201">
        <v>189.0</v>
      </c>
      <c r="R52" s="201">
        <v>127.0</v>
      </c>
      <c r="S52" s="201">
        <v>20.0</v>
      </c>
      <c r="T52" s="201">
        <v>89.0</v>
      </c>
      <c r="U52" s="201">
        <v>78.0</v>
      </c>
      <c r="V52" s="201" t="s">
        <v>55</v>
      </c>
      <c r="W52" s="201">
        <v>144.0</v>
      </c>
      <c r="X52" s="201">
        <v>113.0</v>
      </c>
      <c r="Y52" s="201">
        <v>150.0</v>
      </c>
      <c r="Z52" s="201">
        <v>76.0</v>
      </c>
      <c r="AA52" s="203">
        <v>427.0</v>
      </c>
      <c r="AB52" s="201">
        <v>111.0</v>
      </c>
      <c r="AC52" s="203">
        <v>1015.0</v>
      </c>
      <c r="AD52" s="201">
        <v>24.0</v>
      </c>
      <c r="AE52" s="201">
        <v>48.0</v>
      </c>
      <c r="AF52" s="201">
        <v>143.0</v>
      </c>
      <c r="AG52" s="201">
        <v>82.0</v>
      </c>
      <c r="AH52" s="201">
        <v>91.0</v>
      </c>
      <c r="AI52" s="201">
        <v>117.0</v>
      </c>
      <c r="AJ52" s="201">
        <v>408.0</v>
      </c>
      <c r="AK52" s="201">
        <v>32.0</v>
      </c>
      <c r="AL52" s="201">
        <v>163.0</v>
      </c>
      <c r="AM52" s="201">
        <v>85.0</v>
      </c>
      <c r="AN52" s="201">
        <v>259.0</v>
      </c>
      <c r="AO52" s="201">
        <v>455.0</v>
      </c>
      <c r="AP52" s="146">
        <v>6411.0</v>
      </c>
    </row>
    <row r="53">
      <c r="A53" s="204" t="s">
        <v>150</v>
      </c>
      <c r="B53" s="201">
        <v>92.0</v>
      </c>
      <c r="C53" s="201">
        <v>189.0</v>
      </c>
      <c r="D53" s="201">
        <v>101.0</v>
      </c>
      <c r="E53" s="203">
        <v>138.0</v>
      </c>
      <c r="F53" s="201">
        <v>29.0</v>
      </c>
      <c r="G53" s="201">
        <v>205.0</v>
      </c>
      <c r="H53" s="203">
        <v>560.0</v>
      </c>
      <c r="I53" s="201">
        <v>226.0</v>
      </c>
      <c r="J53" s="201">
        <v>118.0</v>
      </c>
      <c r="K53" s="201">
        <v>314.0</v>
      </c>
      <c r="L53" s="201">
        <v>31.0</v>
      </c>
      <c r="M53" s="201">
        <v>43.0</v>
      </c>
      <c r="N53" s="201">
        <v>49.0</v>
      </c>
      <c r="O53" s="201">
        <v>24.0</v>
      </c>
      <c r="P53" s="201">
        <v>33.0</v>
      </c>
      <c r="Q53" s="201">
        <v>264.0</v>
      </c>
      <c r="R53" s="201">
        <v>164.0</v>
      </c>
      <c r="S53" s="201">
        <v>19.0</v>
      </c>
      <c r="T53" s="201">
        <v>79.0</v>
      </c>
      <c r="U53" s="201">
        <v>96.0</v>
      </c>
      <c r="V53" s="201" t="s">
        <v>55</v>
      </c>
      <c r="W53" s="201">
        <v>144.0</v>
      </c>
      <c r="X53" s="201">
        <v>130.0</v>
      </c>
      <c r="Y53" s="201">
        <v>237.0</v>
      </c>
      <c r="Z53" s="201">
        <v>73.0</v>
      </c>
      <c r="AA53" s="203">
        <v>541.0</v>
      </c>
      <c r="AB53" s="201">
        <v>141.0</v>
      </c>
      <c r="AC53" s="203">
        <v>1354.0</v>
      </c>
      <c r="AD53" s="201">
        <v>27.0</v>
      </c>
      <c r="AE53" s="201">
        <v>48.0</v>
      </c>
      <c r="AF53" s="201">
        <v>134.0</v>
      </c>
      <c r="AG53" s="201">
        <v>64.0</v>
      </c>
      <c r="AH53" s="201">
        <v>86.0</v>
      </c>
      <c r="AI53" s="201">
        <v>116.0</v>
      </c>
      <c r="AJ53" s="201">
        <v>458.0</v>
      </c>
      <c r="AK53" s="201">
        <v>47.0</v>
      </c>
      <c r="AL53" s="201">
        <v>165.0</v>
      </c>
      <c r="AM53" s="201">
        <v>119.0</v>
      </c>
      <c r="AN53" s="201">
        <v>259.0</v>
      </c>
      <c r="AO53" s="201">
        <v>419.0</v>
      </c>
      <c r="AP53" s="146">
        <v>7337.0</v>
      </c>
    </row>
    <row r="54">
      <c r="A54" s="204" t="s">
        <v>151</v>
      </c>
      <c r="B54" s="201">
        <v>69.0</v>
      </c>
      <c r="C54" s="201">
        <v>108.0</v>
      </c>
      <c r="D54" s="201">
        <v>85.0</v>
      </c>
      <c r="E54" s="203">
        <v>112.0</v>
      </c>
      <c r="F54" s="201">
        <v>23.0</v>
      </c>
      <c r="G54" s="201">
        <v>165.0</v>
      </c>
      <c r="H54" s="203">
        <v>389.0</v>
      </c>
      <c r="I54" s="201">
        <v>193.0</v>
      </c>
      <c r="J54" s="201">
        <v>95.0</v>
      </c>
      <c r="K54" s="201">
        <v>238.0</v>
      </c>
      <c r="L54" s="201">
        <v>23.0</v>
      </c>
      <c r="M54" s="201">
        <v>33.0</v>
      </c>
      <c r="N54" s="201">
        <v>34.0</v>
      </c>
      <c r="O54" s="201">
        <v>33.0</v>
      </c>
      <c r="P54" s="201">
        <v>16.0</v>
      </c>
      <c r="Q54" s="201">
        <v>182.0</v>
      </c>
      <c r="R54" s="201">
        <v>107.0</v>
      </c>
      <c r="S54" s="201">
        <v>19.0</v>
      </c>
      <c r="T54" s="201">
        <v>64.0</v>
      </c>
      <c r="U54" s="201">
        <v>43.0</v>
      </c>
      <c r="V54" s="201">
        <v>6.0</v>
      </c>
      <c r="W54" s="201">
        <v>105.0</v>
      </c>
      <c r="X54" s="201">
        <v>78.0</v>
      </c>
      <c r="Y54" s="201">
        <v>163.0</v>
      </c>
      <c r="Z54" s="201">
        <v>64.0</v>
      </c>
      <c r="AA54" s="203">
        <v>431.0</v>
      </c>
      <c r="AB54" s="201">
        <v>110.0</v>
      </c>
      <c r="AC54" s="203">
        <v>1022.0</v>
      </c>
      <c r="AD54" s="201">
        <v>15.0</v>
      </c>
      <c r="AE54" s="201">
        <v>51.0</v>
      </c>
      <c r="AF54" s="201">
        <v>118.0</v>
      </c>
      <c r="AG54" s="201">
        <v>29.0</v>
      </c>
      <c r="AH54" s="201">
        <v>78.0</v>
      </c>
      <c r="AI54" s="201">
        <v>49.0</v>
      </c>
      <c r="AJ54" s="201">
        <v>365.0</v>
      </c>
      <c r="AK54" s="201">
        <v>37.0</v>
      </c>
      <c r="AL54" s="201">
        <v>146.0</v>
      </c>
      <c r="AM54" s="201">
        <v>105.0</v>
      </c>
      <c r="AN54" s="201">
        <v>291.0</v>
      </c>
      <c r="AO54" s="201">
        <v>239.0</v>
      </c>
      <c r="AP54" s="146">
        <v>5533.0</v>
      </c>
    </row>
    <row r="55">
      <c r="A55" s="204" t="s">
        <v>152</v>
      </c>
      <c r="B55" s="201">
        <v>62.0</v>
      </c>
      <c r="C55" s="201">
        <v>104.0</v>
      </c>
      <c r="D55" s="201">
        <v>95.0</v>
      </c>
      <c r="E55" s="203">
        <v>86.0</v>
      </c>
      <c r="F55" s="201">
        <v>20.0</v>
      </c>
      <c r="G55" s="201">
        <v>180.0</v>
      </c>
      <c r="H55" s="203">
        <v>364.0</v>
      </c>
      <c r="I55" s="201">
        <v>147.0</v>
      </c>
      <c r="J55" s="201">
        <v>79.0</v>
      </c>
      <c r="K55" s="201">
        <v>169.0</v>
      </c>
      <c r="L55" s="201">
        <v>27.0</v>
      </c>
      <c r="M55" s="201">
        <v>22.0</v>
      </c>
      <c r="N55" s="201">
        <v>31.0</v>
      </c>
      <c r="O55" s="201">
        <v>38.0</v>
      </c>
      <c r="P55" s="201">
        <v>18.0</v>
      </c>
      <c r="Q55" s="201">
        <v>118.0</v>
      </c>
      <c r="R55" s="201">
        <v>100.0</v>
      </c>
      <c r="S55" s="201" t="s">
        <v>55</v>
      </c>
      <c r="T55" s="201">
        <v>74.0</v>
      </c>
      <c r="U55" s="201">
        <v>36.0</v>
      </c>
      <c r="V55" s="201" t="s">
        <v>55</v>
      </c>
      <c r="W55" s="201">
        <v>95.0</v>
      </c>
      <c r="X55" s="201">
        <v>86.0</v>
      </c>
      <c r="Y55" s="201">
        <v>145.0</v>
      </c>
      <c r="Z55" s="201">
        <v>75.0</v>
      </c>
      <c r="AA55" s="203">
        <v>343.0</v>
      </c>
      <c r="AB55" s="201">
        <v>58.0</v>
      </c>
      <c r="AC55" s="203">
        <v>780.0</v>
      </c>
      <c r="AD55" s="201">
        <v>14.0</v>
      </c>
      <c r="AE55" s="201">
        <v>39.0</v>
      </c>
      <c r="AF55" s="201">
        <v>121.0</v>
      </c>
      <c r="AG55" s="201">
        <v>45.0</v>
      </c>
      <c r="AH55" s="201">
        <v>74.0</v>
      </c>
      <c r="AI55" s="201">
        <v>31.0</v>
      </c>
      <c r="AJ55" s="201">
        <v>317.0</v>
      </c>
      <c r="AK55" s="201">
        <v>25.0</v>
      </c>
      <c r="AL55" s="201">
        <v>135.0</v>
      </c>
      <c r="AM55" s="201">
        <v>109.0</v>
      </c>
      <c r="AN55" s="201">
        <v>260.0</v>
      </c>
      <c r="AO55" s="201">
        <v>186.0</v>
      </c>
      <c r="AP55" s="146">
        <v>4710.0</v>
      </c>
    </row>
    <row r="56">
      <c r="A56" s="204" t="s">
        <v>153</v>
      </c>
      <c r="B56" s="201">
        <v>42.0</v>
      </c>
      <c r="C56" s="201">
        <v>87.0</v>
      </c>
      <c r="D56" s="201">
        <v>86.0</v>
      </c>
      <c r="E56" s="203">
        <v>87.0</v>
      </c>
      <c r="F56" s="201">
        <v>15.0</v>
      </c>
      <c r="G56" s="201">
        <v>113.0</v>
      </c>
      <c r="H56" s="203">
        <v>282.0</v>
      </c>
      <c r="I56" s="201">
        <v>149.0</v>
      </c>
      <c r="J56" s="201">
        <v>65.0</v>
      </c>
      <c r="K56" s="201">
        <v>167.0</v>
      </c>
      <c r="L56" s="201">
        <v>14.0</v>
      </c>
      <c r="M56" s="201">
        <v>10.0</v>
      </c>
      <c r="N56" s="201">
        <v>34.0</v>
      </c>
      <c r="O56" s="201">
        <v>23.0</v>
      </c>
      <c r="P56" s="201">
        <v>8.0</v>
      </c>
      <c r="Q56" s="201">
        <v>96.0</v>
      </c>
      <c r="R56" s="201">
        <v>80.0</v>
      </c>
      <c r="S56" s="201">
        <v>5.0</v>
      </c>
      <c r="T56" s="201">
        <v>53.0</v>
      </c>
      <c r="U56" s="201">
        <v>43.0</v>
      </c>
      <c r="V56" s="201">
        <v>0.0</v>
      </c>
      <c r="W56" s="201">
        <v>112.0</v>
      </c>
      <c r="X56" s="201">
        <v>79.0</v>
      </c>
      <c r="Y56" s="201">
        <v>93.0</v>
      </c>
      <c r="Z56" s="201">
        <v>57.0</v>
      </c>
      <c r="AA56" s="203">
        <v>265.0</v>
      </c>
      <c r="AB56" s="201">
        <v>32.0</v>
      </c>
      <c r="AC56" s="203">
        <v>616.0</v>
      </c>
      <c r="AD56" s="201">
        <v>13.0</v>
      </c>
      <c r="AE56" s="201">
        <v>26.0</v>
      </c>
      <c r="AF56" s="201">
        <v>99.0</v>
      </c>
      <c r="AG56" s="201">
        <v>67.0</v>
      </c>
      <c r="AH56" s="201">
        <v>46.0</v>
      </c>
      <c r="AI56" s="201">
        <v>31.0</v>
      </c>
      <c r="AJ56" s="201">
        <v>252.0</v>
      </c>
      <c r="AK56" s="201">
        <v>23.0</v>
      </c>
      <c r="AL56" s="201">
        <v>90.0</v>
      </c>
      <c r="AM56" s="201">
        <v>72.0</v>
      </c>
      <c r="AN56" s="201">
        <v>179.0</v>
      </c>
      <c r="AO56" s="201">
        <v>149.0</v>
      </c>
      <c r="AP56" s="146">
        <v>3760.0</v>
      </c>
    </row>
    <row r="57">
      <c r="A57" s="204" t="s">
        <v>154</v>
      </c>
      <c r="B57" s="201">
        <v>23.0</v>
      </c>
      <c r="C57" s="201">
        <v>74.0</v>
      </c>
      <c r="D57" s="201">
        <v>63.0</v>
      </c>
      <c r="E57" s="203">
        <v>43.0</v>
      </c>
      <c r="F57" s="201">
        <v>18.0</v>
      </c>
      <c r="G57" s="201">
        <v>88.0</v>
      </c>
      <c r="H57" s="203">
        <v>229.0</v>
      </c>
      <c r="I57" s="201">
        <v>95.0</v>
      </c>
      <c r="J57" s="201">
        <v>37.0</v>
      </c>
      <c r="K57" s="201">
        <v>119.0</v>
      </c>
      <c r="L57" s="201">
        <v>13.0</v>
      </c>
      <c r="M57" s="201">
        <v>22.0</v>
      </c>
      <c r="N57" s="201">
        <v>28.0</v>
      </c>
      <c r="O57" s="201">
        <v>19.0</v>
      </c>
      <c r="P57" s="201">
        <v>6.0</v>
      </c>
      <c r="Q57" s="201">
        <v>112.0</v>
      </c>
      <c r="R57" s="201">
        <v>66.0</v>
      </c>
      <c r="S57" s="201" t="s">
        <v>55</v>
      </c>
      <c r="T57" s="201">
        <v>35.0</v>
      </c>
      <c r="U57" s="201">
        <v>46.0</v>
      </c>
      <c r="V57" s="201">
        <v>0.0</v>
      </c>
      <c r="W57" s="201">
        <v>78.0</v>
      </c>
      <c r="X57" s="201">
        <v>39.0</v>
      </c>
      <c r="Y57" s="201">
        <v>101.0</v>
      </c>
      <c r="Z57" s="201">
        <v>39.0</v>
      </c>
      <c r="AA57" s="203">
        <v>211.0</v>
      </c>
      <c r="AB57" s="201">
        <v>27.0</v>
      </c>
      <c r="AC57" s="203">
        <v>475.0</v>
      </c>
      <c r="AD57" s="201">
        <v>5.0</v>
      </c>
      <c r="AE57" s="201">
        <v>24.0</v>
      </c>
      <c r="AF57" s="201">
        <v>66.0</v>
      </c>
      <c r="AG57" s="201">
        <v>53.0</v>
      </c>
      <c r="AH57" s="201">
        <v>46.0</v>
      </c>
      <c r="AI57" s="201">
        <v>25.0</v>
      </c>
      <c r="AJ57" s="201">
        <v>176.0</v>
      </c>
      <c r="AK57" s="201">
        <v>8.0</v>
      </c>
      <c r="AL57" s="201">
        <v>73.0</v>
      </c>
      <c r="AM57" s="201">
        <v>74.0</v>
      </c>
      <c r="AN57" s="201">
        <v>114.0</v>
      </c>
      <c r="AO57" s="201">
        <v>108.0</v>
      </c>
      <c r="AP57" s="146">
        <v>2881.0</v>
      </c>
    </row>
    <row r="58">
      <c r="A58" s="204" t="s">
        <v>155</v>
      </c>
      <c r="B58" s="201">
        <v>27.0</v>
      </c>
      <c r="C58" s="201">
        <v>37.0</v>
      </c>
      <c r="D58" s="201">
        <v>26.0</v>
      </c>
      <c r="E58" s="203">
        <v>35.0</v>
      </c>
      <c r="F58" s="201">
        <v>13.0</v>
      </c>
      <c r="G58" s="201">
        <v>73.0</v>
      </c>
      <c r="H58" s="203">
        <v>183.0</v>
      </c>
      <c r="I58" s="201">
        <v>99.0</v>
      </c>
      <c r="J58" s="201">
        <v>35.0</v>
      </c>
      <c r="K58" s="201">
        <v>80.0</v>
      </c>
      <c r="L58" s="201">
        <v>11.0</v>
      </c>
      <c r="M58" s="201">
        <v>13.0</v>
      </c>
      <c r="N58" s="201">
        <v>13.0</v>
      </c>
      <c r="O58" s="201">
        <v>22.0</v>
      </c>
      <c r="P58" s="201">
        <v>11.0</v>
      </c>
      <c r="Q58" s="201">
        <v>64.0</v>
      </c>
      <c r="R58" s="201">
        <v>40.0</v>
      </c>
      <c r="S58" s="201" t="s">
        <v>55</v>
      </c>
      <c r="T58" s="201">
        <v>27.0</v>
      </c>
      <c r="U58" s="201">
        <v>79.0</v>
      </c>
      <c r="V58" s="201">
        <v>0.0</v>
      </c>
      <c r="W58" s="201">
        <v>54.0</v>
      </c>
      <c r="X58" s="201">
        <v>32.0</v>
      </c>
      <c r="Y58" s="201">
        <v>90.0</v>
      </c>
      <c r="Z58" s="201">
        <v>28.0</v>
      </c>
      <c r="AA58" s="203">
        <v>180.0</v>
      </c>
      <c r="AB58" s="201">
        <v>20.0</v>
      </c>
      <c r="AC58" s="203">
        <v>457.0</v>
      </c>
      <c r="AD58" s="201">
        <v>6.0</v>
      </c>
      <c r="AE58" s="201">
        <v>20.0</v>
      </c>
      <c r="AF58" s="201">
        <v>49.0</v>
      </c>
      <c r="AG58" s="201">
        <v>50.0</v>
      </c>
      <c r="AH58" s="201">
        <v>30.0</v>
      </c>
      <c r="AI58" s="201">
        <v>15.0</v>
      </c>
      <c r="AJ58" s="201">
        <v>142.0</v>
      </c>
      <c r="AK58" s="201">
        <v>8.0</v>
      </c>
      <c r="AL58" s="201">
        <v>55.0</v>
      </c>
      <c r="AM58" s="201">
        <v>52.0</v>
      </c>
      <c r="AN58" s="201">
        <v>90.0</v>
      </c>
      <c r="AO58" s="201">
        <v>94.0</v>
      </c>
      <c r="AP58" s="146">
        <v>2361.0</v>
      </c>
    </row>
    <row r="59">
      <c r="A59" s="204" t="s">
        <v>156</v>
      </c>
      <c r="B59" s="201">
        <v>22.0</v>
      </c>
      <c r="C59" s="201">
        <v>23.0</v>
      </c>
      <c r="D59" s="201">
        <v>40.0</v>
      </c>
      <c r="E59" s="201">
        <v>43.0</v>
      </c>
      <c r="F59" s="201">
        <v>14.0</v>
      </c>
      <c r="G59" s="201">
        <v>58.0</v>
      </c>
      <c r="H59" s="201">
        <v>156.0</v>
      </c>
      <c r="I59" s="201">
        <v>64.0</v>
      </c>
      <c r="J59" s="201">
        <v>34.0</v>
      </c>
      <c r="K59" s="201">
        <v>60.0</v>
      </c>
      <c r="L59" s="201">
        <v>5.0</v>
      </c>
      <c r="M59" s="201" t="s">
        <v>55</v>
      </c>
      <c r="N59" s="201">
        <v>15.0</v>
      </c>
      <c r="O59" s="201">
        <v>13.0</v>
      </c>
      <c r="P59" s="201" t="s">
        <v>55</v>
      </c>
      <c r="Q59" s="201">
        <v>70.0</v>
      </c>
      <c r="R59" s="201">
        <v>34.0</v>
      </c>
      <c r="S59" s="201">
        <v>6.0</v>
      </c>
      <c r="T59" s="201">
        <v>11.0</v>
      </c>
      <c r="U59" s="201">
        <v>50.0</v>
      </c>
      <c r="V59" s="201" t="s">
        <v>55</v>
      </c>
      <c r="W59" s="201">
        <v>41.0</v>
      </c>
      <c r="X59" s="201">
        <v>38.0</v>
      </c>
      <c r="Y59" s="201">
        <v>79.0</v>
      </c>
      <c r="Z59" s="201">
        <v>18.0</v>
      </c>
      <c r="AA59" s="201">
        <v>152.0</v>
      </c>
      <c r="AB59" s="201">
        <v>9.0</v>
      </c>
      <c r="AC59" s="201">
        <v>409.0</v>
      </c>
      <c r="AD59" s="201">
        <v>10.0</v>
      </c>
      <c r="AE59" s="201">
        <v>6.0</v>
      </c>
      <c r="AF59" s="201">
        <v>98.0</v>
      </c>
      <c r="AG59" s="201">
        <v>65.0</v>
      </c>
      <c r="AH59" s="201">
        <v>38.0</v>
      </c>
      <c r="AI59" s="201">
        <v>19.0</v>
      </c>
      <c r="AJ59" s="201">
        <v>115.0</v>
      </c>
      <c r="AK59" s="201">
        <v>8.0</v>
      </c>
      <c r="AL59" s="201">
        <v>55.0</v>
      </c>
      <c r="AM59" s="201">
        <v>45.0</v>
      </c>
      <c r="AN59" s="201">
        <v>64.0</v>
      </c>
      <c r="AO59" s="201">
        <v>89.0</v>
      </c>
      <c r="AP59" s="201">
        <v>2083.0</v>
      </c>
    </row>
    <row r="60">
      <c r="A60" s="204" t="s">
        <v>157</v>
      </c>
      <c r="B60" s="201">
        <v>27.0</v>
      </c>
      <c r="C60" s="201">
        <v>32.0</v>
      </c>
      <c r="D60" s="201">
        <v>36.0</v>
      </c>
      <c r="E60" s="201">
        <v>42.0</v>
      </c>
      <c r="F60" s="201">
        <v>15.0</v>
      </c>
      <c r="G60" s="201">
        <v>49.0</v>
      </c>
      <c r="H60" s="201">
        <v>161.0</v>
      </c>
      <c r="I60" s="201">
        <v>75.0</v>
      </c>
      <c r="J60" s="201">
        <v>39.0</v>
      </c>
      <c r="K60" s="201">
        <v>83.0</v>
      </c>
      <c r="L60" s="201">
        <v>12.0</v>
      </c>
      <c r="M60" s="201">
        <v>7.0</v>
      </c>
      <c r="N60" s="201" t="s">
        <v>55</v>
      </c>
      <c r="O60" s="201">
        <v>14.0</v>
      </c>
      <c r="P60" s="201" t="s">
        <v>55</v>
      </c>
      <c r="Q60" s="201">
        <v>65.0</v>
      </c>
      <c r="R60" s="201">
        <v>29.0</v>
      </c>
      <c r="S60" s="201">
        <v>0.0</v>
      </c>
      <c r="T60" s="201">
        <v>16.0</v>
      </c>
      <c r="U60" s="201">
        <v>49.0</v>
      </c>
      <c r="V60" s="201">
        <v>0.0</v>
      </c>
      <c r="W60" s="201">
        <v>33.0</v>
      </c>
      <c r="X60" s="201">
        <v>41.0</v>
      </c>
      <c r="Y60" s="201">
        <v>109.0</v>
      </c>
      <c r="Z60" s="201">
        <v>25.0</v>
      </c>
      <c r="AA60" s="201">
        <v>154.0</v>
      </c>
      <c r="AB60" s="201">
        <v>25.0</v>
      </c>
      <c r="AC60" s="201">
        <v>419.0</v>
      </c>
      <c r="AD60" s="201">
        <v>5.0</v>
      </c>
      <c r="AE60" s="201">
        <v>10.0</v>
      </c>
      <c r="AF60" s="201">
        <v>170.0</v>
      </c>
      <c r="AG60" s="201">
        <v>71.0</v>
      </c>
      <c r="AH60" s="201">
        <v>19.0</v>
      </c>
      <c r="AI60" s="201">
        <v>10.0</v>
      </c>
      <c r="AJ60" s="201">
        <v>152.0</v>
      </c>
      <c r="AK60" s="201">
        <v>10.0</v>
      </c>
      <c r="AL60" s="201">
        <v>44.0</v>
      </c>
      <c r="AM60" s="201">
        <v>38.0</v>
      </c>
      <c r="AN60" s="201">
        <v>62.0</v>
      </c>
      <c r="AO60" s="201">
        <v>156.0</v>
      </c>
      <c r="AP60" s="201">
        <v>2310.0</v>
      </c>
    </row>
    <row r="61">
      <c r="A61" s="204" t="s">
        <v>158</v>
      </c>
      <c r="B61" s="201">
        <v>23.0</v>
      </c>
      <c r="C61" s="201">
        <v>42.0</v>
      </c>
      <c r="D61" s="201">
        <v>28.0</v>
      </c>
      <c r="E61" s="201">
        <v>21.0</v>
      </c>
      <c r="F61" s="201">
        <v>13.0</v>
      </c>
      <c r="G61" s="201">
        <v>56.0</v>
      </c>
      <c r="H61" s="201">
        <v>189.0</v>
      </c>
      <c r="I61" s="201">
        <v>60.0</v>
      </c>
      <c r="J61" s="201">
        <v>21.0</v>
      </c>
      <c r="K61" s="201">
        <v>68.0</v>
      </c>
      <c r="L61" s="201">
        <v>9.0</v>
      </c>
      <c r="M61" s="201">
        <v>13.0</v>
      </c>
      <c r="N61" s="201">
        <v>14.0</v>
      </c>
      <c r="O61" s="201">
        <v>16.0</v>
      </c>
      <c r="P61" s="201">
        <v>5.0</v>
      </c>
      <c r="Q61" s="201">
        <v>63.0</v>
      </c>
      <c r="R61" s="201">
        <v>28.0</v>
      </c>
      <c r="S61" s="201" t="s">
        <v>55</v>
      </c>
      <c r="T61" s="201">
        <v>13.0</v>
      </c>
      <c r="U61" s="201">
        <v>43.0</v>
      </c>
      <c r="V61" s="201" t="s">
        <v>55</v>
      </c>
      <c r="W61" s="201">
        <v>58.0</v>
      </c>
      <c r="X61" s="201">
        <v>43.0</v>
      </c>
      <c r="Y61" s="201">
        <v>67.0</v>
      </c>
      <c r="Z61" s="201">
        <v>13.0</v>
      </c>
      <c r="AA61" s="201">
        <v>139.0</v>
      </c>
      <c r="AB61" s="201">
        <v>30.0</v>
      </c>
      <c r="AC61" s="201">
        <v>367.0</v>
      </c>
      <c r="AD61" s="201" t="s">
        <v>55</v>
      </c>
      <c r="AE61" s="201">
        <v>11.0</v>
      </c>
      <c r="AF61" s="201">
        <v>100.0</v>
      </c>
      <c r="AG61" s="201">
        <v>58.0</v>
      </c>
      <c r="AH61" s="201">
        <v>19.0</v>
      </c>
      <c r="AI61" s="201">
        <v>7.0</v>
      </c>
      <c r="AJ61" s="201">
        <v>111.0</v>
      </c>
      <c r="AK61" s="201">
        <v>13.0</v>
      </c>
      <c r="AL61" s="201">
        <v>36.0</v>
      </c>
      <c r="AM61" s="201">
        <v>39.0</v>
      </c>
      <c r="AN61" s="201">
        <v>111.0</v>
      </c>
      <c r="AO61" s="201">
        <v>154.0</v>
      </c>
      <c r="AP61" s="201">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312</v>
      </c>
      <c r="B1" s="105"/>
      <c r="C1" s="105"/>
      <c r="D1" s="105"/>
      <c r="E1" s="105"/>
      <c r="F1" s="105"/>
      <c r="G1" s="105"/>
      <c r="H1" s="105"/>
      <c r="I1" s="105"/>
      <c r="J1" s="105"/>
      <c r="K1" s="105"/>
      <c r="L1" s="206"/>
      <c r="M1" s="206"/>
      <c r="N1" s="206"/>
      <c r="O1" s="207"/>
      <c r="P1" s="207"/>
      <c r="Q1" s="207"/>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101</v>
      </c>
      <c r="F2" s="194"/>
      <c r="G2" s="194"/>
      <c r="H2" s="104"/>
      <c r="I2" s="104"/>
      <c r="J2" s="104"/>
      <c r="K2" s="104"/>
      <c r="L2" s="208"/>
      <c r="M2" s="208"/>
      <c r="N2" s="208"/>
      <c r="O2" s="208"/>
      <c r="P2" s="208"/>
      <c r="Q2" s="208"/>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313</v>
      </c>
      <c r="L3" s="209"/>
      <c r="M3" s="209"/>
      <c r="N3" s="209"/>
      <c r="O3" s="209"/>
      <c r="P3" s="209"/>
      <c r="Q3" s="209"/>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6" t="s">
        <v>0</v>
      </c>
      <c r="B4" s="196">
        <v>44265.0</v>
      </c>
      <c r="C4" s="104"/>
      <c r="D4" s="104"/>
      <c r="E4" s="104"/>
      <c r="F4" s="104"/>
      <c r="G4" s="104"/>
      <c r="H4" s="104"/>
      <c r="I4" s="104"/>
      <c r="J4" s="104"/>
      <c r="K4" s="104"/>
      <c r="L4" s="208"/>
      <c r="M4" s="208"/>
      <c r="N4" s="208"/>
      <c r="O4" s="208"/>
      <c r="P4" s="208"/>
      <c r="Q4" s="208"/>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c r="A5" s="109"/>
      <c r="B5" s="104"/>
      <c r="C5" s="104"/>
      <c r="D5" s="104"/>
      <c r="E5" s="104"/>
      <c r="F5" s="104"/>
      <c r="G5" s="104"/>
      <c r="H5" s="104"/>
      <c r="I5" s="104"/>
      <c r="J5" s="104"/>
      <c r="K5" s="104"/>
      <c r="L5" s="207"/>
      <c r="M5" s="207"/>
      <c r="N5" s="207"/>
      <c r="O5" s="207"/>
      <c r="P5" s="207"/>
      <c r="Q5" s="207"/>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97" t="s">
        <v>271</v>
      </c>
      <c r="B6" s="111"/>
      <c r="C6" s="111"/>
      <c r="D6" s="111"/>
      <c r="E6" s="111"/>
      <c r="F6" s="111"/>
      <c r="G6" s="111"/>
      <c r="H6" s="111"/>
      <c r="I6" s="111"/>
      <c r="J6" s="111"/>
      <c r="K6" s="41"/>
      <c r="L6" s="210"/>
      <c r="M6" s="210"/>
      <c r="N6" s="210"/>
      <c r="O6" s="210"/>
      <c r="P6" s="210"/>
      <c r="Q6" s="207"/>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row>
    <row r="8">
      <c r="A8" s="211" t="s">
        <v>103</v>
      </c>
      <c r="B8" s="212" t="s">
        <v>272</v>
      </c>
      <c r="C8" s="212" t="s">
        <v>273</v>
      </c>
      <c r="D8" s="212" t="s">
        <v>274</v>
      </c>
      <c r="E8" s="212" t="s">
        <v>275</v>
      </c>
      <c r="F8" s="212" t="s">
        <v>276</v>
      </c>
      <c r="G8" s="212" t="s">
        <v>277</v>
      </c>
      <c r="H8" s="212" t="s">
        <v>278</v>
      </c>
      <c r="I8" s="212" t="s">
        <v>279</v>
      </c>
      <c r="J8" s="212" t="s">
        <v>280</v>
      </c>
      <c r="K8" s="212" t="s">
        <v>281</v>
      </c>
      <c r="L8" s="212" t="s">
        <v>282</v>
      </c>
      <c r="M8" s="212" t="s">
        <v>283</v>
      </c>
      <c r="N8" s="212" t="s">
        <v>284</v>
      </c>
      <c r="O8" s="212" t="s">
        <v>285</v>
      </c>
      <c r="P8" s="212" t="s">
        <v>286</v>
      </c>
      <c r="Q8" s="212" t="s">
        <v>287</v>
      </c>
      <c r="R8" s="212" t="s">
        <v>288</v>
      </c>
      <c r="S8" s="212" t="s">
        <v>289</v>
      </c>
      <c r="T8" s="212" t="s">
        <v>290</v>
      </c>
      <c r="U8" s="212" t="s">
        <v>291</v>
      </c>
      <c r="V8" s="212" t="s">
        <v>292</v>
      </c>
      <c r="W8" s="212" t="s">
        <v>293</v>
      </c>
      <c r="X8" s="212" t="s">
        <v>294</v>
      </c>
      <c r="Y8" s="212" t="s">
        <v>295</v>
      </c>
      <c r="Z8" s="212" t="s">
        <v>296</v>
      </c>
      <c r="AA8" s="212" t="s">
        <v>297</v>
      </c>
      <c r="AB8" s="212" t="s">
        <v>298</v>
      </c>
      <c r="AC8" s="212" t="s">
        <v>299</v>
      </c>
      <c r="AD8" s="212" t="s">
        <v>300</v>
      </c>
      <c r="AE8" s="212" t="s">
        <v>301</v>
      </c>
      <c r="AF8" s="212" t="s">
        <v>302</v>
      </c>
      <c r="AG8" s="212" t="s">
        <v>303</v>
      </c>
      <c r="AH8" s="212" t="s">
        <v>304</v>
      </c>
      <c r="AI8" s="212" t="s">
        <v>305</v>
      </c>
      <c r="AJ8" s="212" t="s">
        <v>306</v>
      </c>
      <c r="AK8" s="212" t="s">
        <v>307</v>
      </c>
      <c r="AL8" s="212" t="s">
        <v>308</v>
      </c>
      <c r="AM8" s="212" t="s">
        <v>309</v>
      </c>
      <c r="AN8" s="212" t="s">
        <v>310</v>
      </c>
      <c r="AO8" s="212" t="s">
        <v>266</v>
      </c>
    </row>
    <row r="9">
      <c r="A9" s="213" t="s">
        <v>314</v>
      </c>
      <c r="B9" s="135">
        <v>16178.0</v>
      </c>
      <c r="C9" s="135">
        <v>22234.0</v>
      </c>
      <c r="D9" s="135">
        <v>16453.0</v>
      </c>
      <c r="E9" s="135">
        <v>19382.0</v>
      </c>
      <c r="F9" s="135">
        <v>7780.0</v>
      </c>
      <c r="G9" s="135">
        <v>34575.0</v>
      </c>
      <c r="H9" s="135">
        <v>81196.0</v>
      </c>
      <c r="I9" s="135">
        <v>34652.0</v>
      </c>
      <c r="J9" s="135">
        <v>13073.0</v>
      </c>
      <c r="K9" s="135">
        <v>47449.0</v>
      </c>
      <c r="L9" s="135">
        <v>6782.0</v>
      </c>
      <c r="M9" s="135">
        <v>4689.0</v>
      </c>
      <c r="N9" s="135">
        <v>10062.0</v>
      </c>
      <c r="O9" s="135">
        <v>8111.0</v>
      </c>
      <c r="P9" s="135">
        <v>5496.0</v>
      </c>
      <c r="Q9" s="135">
        <v>29235.0</v>
      </c>
      <c r="R9" s="135">
        <v>21644.0</v>
      </c>
      <c r="S9" s="135">
        <v>3505.0</v>
      </c>
      <c r="T9" s="135">
        <v>16078.0</v>
      </c>
      <c r="U9" s="135">
        <v>15550.0</v>
      </c>
      <c r="V9" s="119">
        <v>827.0</v>
      </c>
      <c r="W9" s="135">
        <v>24762.0</v>
      </c>
      <c r="X9" s="135">
        <v>26207.0</v>
      </c>
      <c r="Y9" s="135">
        <v>32459.0</v>
      </c>
      <c r="Z9" s="135">
        <v>12349.0</v>
      </c>
      <c r="AA9" s="135">
        <v>71756.0</v>
      </c>
      <c r="AB9" s="135">
        <v>17418.0</v>
      </c>
      <c r="AC9" s="135">
        <v>179435.0</v>
      </c>
      <c r="AD9" s="135">
        <v>7626.0</v>
      </c>
      <c r="AE9" s="135">
        <v>10603.0</v>
      </c>
      <c r="AF9" s="135">
        <v>21630.0</v>
      </c>
      <c r="AG9" s="135">
        <v>30735.0</v>
      </c>
      <c r="AH9" s="135">
        <v>15816.0</v>
      </c>
      <c r="AI9" s="135">
        <v>10488.0</v>
      </c>
      <c r="AJ9" s="135">
        <v>81079.0</v>
      </c>
      <c r="AK9" s="135">
        <v>6179.0</v>
      </c>
      <c r="AL9" s="135">
        <v>28955.0</v>
      </c>
      <c r="AM9" s="135">
        <v>22624.0</v>
      </c>
      <c r="AN9" s="135">
        <v>41539.0</v>
      </c>
      <c r="AO9" s="135">
        <v>1056611.0</v>
      </c>
    </row>
    <row r="10">
      <c r="A10" s="213" t="s">
        <v>106</v>
      </c>
      <c r="B10" s="123">
        <v>0.0</v>
      </c>
      <c r="C10" s="123">
        <v>0.0</v>
      </c>
      <c r="D10" s="123">
        <v>0.0</v>
      </c>
      <c r="E10" s="123">
        <v>0.0</v>
      </c>
      <c r="F10" s="123">
        <v>0.0</v>
      </c>
      <c r="G10" s="123" t="s">
        <v>163</v>
      </c>
      <c r="H10" s="123">
        <v>0.0</v>
      </c>
      <c r="I10" s="123" t="s">
        <v>163</v>
      </c>
      <c r="J10" s="123">
        <v>0.0</v>
      </c>
      <c r="K10" s="123">
        <v>0.0</v>
      </c>
      <c r="L10" s="123">
        <v>0.0</v>
      </c>
      <c r="M10" s="123">
        <v>0.0</v>
      </c>
      <c r="N10" s="123">
        <v>0.0</v>
      </c>
      <c r="O10" s="123">
        <v>0.0</v>
      </c>
      <c r="P10" s="123">
        <v>0.0</v>
      </c>
      <c r="Q10" s="123">
        <v>0.0</v>
      </c>
      <c r="R10" s="123">
        <v>0.0</v>
      </c>
      <c r="S10" s="123">
        <v>0.0</v>
      </c>
      <c r="T10" s="123">
        <v>0.0</v>
      </c>
      <c r="U10" s="123">
        <v>0.0</v>
      </c>
      <c r="V10" s="123">
        <v>0.0</v>
      </c>
      <c r="W10" s="123">
        <v>0.0</v>
      </c>
      <c r="X10" s="123">
        <v>0.0</v>
      </c>
      <c r="Y10" s="123" t="s">
        <v>163</v>
      </c>
      <c r="Z10" s="123">
        <v>0.0</v>
      </c>
      <c r="AA10" s="123">
        <v>0.0</v>
      </c>
      <c r="AB10" s="123">
        <v>0.0</v>
      </c>
      <c r="AC10" s="123">
        <v>0.0</v>
      </c>
      <c r="AD10" s="123">
        <v>0.0</v>
      </c>
      <c r="AE10" s="123">
        <v>0.0</v>
      </c>
      <c r="AF10" s="123">
        <v>0.0</v>
      </c>
      <c r="AG10" s="123">
        <v>0.0</v>
      </c>
      <c r="AH10" s="123">
        <v>0.0</v>
      </c>
      <c r="AI10" s="123">
        <v>0.0</v>
      </c>
      <c r="AJ10" s="123">
        <v>0.0</v>
      </c>
      <c r="AK10" s="123">
        <v>0.0</v>
      </c>
      <c r="AL10" s="123">
        <v>0.0</v>
      </c>
      <c r="AM10" s="123">
        <v>0.0</v>
      </c>
      <c r="AN10" s="123">
        <v>0.0</v>
      </c>
      <c r="AO10" s="123" t="s">
        <v>163</v>
      </c>
    </row>
    <row r="11">
      <c r="A11" s="213" t="s">
        <v>107</v>
      </c>
      <c r="B11" s="123" t="s">
        <v>163</v>
      </c>
      <c r="C11" s="123">
        <v>0.0</v>
      </c>
      <c r="D11" s="123" t="s">
        <v>163</v>
      </c>
      <c r="E11" s="123">
        <v>0.0</v>
      </c>
      <c r="F11" s="123">
        <v>0.0</v>
      </c>
      <c r="G11" s="123">
        <v>0.0</v>
      </c>
      <c r="H11" s="123" t="s">
        <v>163</v>
      </c>
      <c r="I11" s="123">
        <v>0.0</v>
      </c>
      <c r="J11" s="123">
        <v>0.0</v>
      </c>
      <c r="K11" s="123" t="s">
        <v>163</v>
      </c>
      <c r="L11" s="123">
        <v>0.0</v>
      </c>
      <c r="M11" s="123">
        <v>0.0</v>
      </c>
      <c r="N11" s="123">
        <v>0.0</v>
      </c>
      <c r="O11" s="123">
        <v>0.0</v>
      </c>
      <c r="P11" s="123">
        <v>0.0</v>
      </c>
      <c r="Q11" s="123">
        <v>0.0</v>
      </c>
      <c r="R11" s="123" t="s">
        <v>163</v>
      </c>
      <c r="S11" s="123">
        <v>0.0</v>
      </c>
      <c r="T11" s="123" t="s">
        <v>163</v>
      </c>
      <c r="U11" s="123" t="s">
        <v>163</v>
      </c>
      <c r="V11" s="123">
        <v>0.0</v>
      </c>
      <c r="W11" s="123">
        <v>0.0</v>
      </c>
      <c r="X11" s="123">
        <v>0.0</v>
      </c>
      <c r="Y11" s="123">
        <v>0.0</v>
      </c>
      <c r="Z11" s="123">
        <v>0.0</v>
      </c>
      <c r="AA11" s="123">
        <v>0.0</v>
      </c>
      <c r="AB11" s="123">
        <v>0.0</v>
      </c>
      <c r="AC11" s="123" t="s">
        <v>163</v>
      </c>
      <c r="AD11" s="123">
        <v>0.0</v>
      </c>
      <c r="AE11" s="123" t="s">
        <v>163</v>
      </c>
      <c r="AF11" s="123">
        <v>0.0</v>
      </c>
      <c r="AG11" s="123">
        <v>0.0</v>
      </c>
      <c r="AH11" s="123">
        <v>0.0</v>
      </c>
      <c r="AI11" s="123">
        <v>0.0</v>
      </c>
      <c r="AJ11" s="123">
        <v>0.0</v>
      </c>
      <c r="AK11" s="123">
        <v>0.0</v>
      </c>
      <c r="AL11" s="123">
        <v>0.0</v>
      </c>
      <c r="AM11" s="123" t="s">
        <v>163</v>
      </c>
      <c r="AN11" s="123">
        <v>0.0</v>
      </c>
      <c r="AO11" s="123">
        <v>1.0</v>
      </c>
    </row>
    <row r="12">
      <c r="A12" s="213" t="s">
        <v>108</v>
      </c>
      <c r="B12" s="123" t="s">
        <v>163</v>
      </c>
      <c r="C12" s="123" t="s">
        <v>163</v>
      </c>
      <c r="D12" s="123">
        <v>0.0</v>
      </c>
      <c r="E12" s="123" t="s">
        <v>163</v>
      </c>
      <c r="F12" s="123">
        <v>0.0</v>
      </c>
      <c r="G12" s="123" t="s">
        <v>163</v>
      </c>
      <c r="H12" s="123" t="s">
        <v>163</v>
      </c>
      <c r="I12" s="123" t="s">
        <v>163</v>
      </c>
      <c r="J12" s="123">
        <v>0.0</v>
      </c>
      <c r="K12" s="123" t="s">
        <v>163</v>
      </c>
      <c r="L12" s="123">
        <v>0.0</v>
      </c>
      <c r="M12" s="123" t="s">
        <v>163</v>
      </c>
      <c r="N12" s="123">
        <v>0.0</v>
      </c>
      <c r="O12" s="123">
        <v>0.0</v>
      </c>
      <c r="P12" s="123" t="s">
        <v>163</v>
      </c>
      <c r="Q12" s="123" t="s">
        <v>163</v>
      </c>
      <c r="R12" s="123">
        <v>0.0</v>
      </c>
      <c r="S12" s="123" t="s">
        <v>163</v>
      </c>
      <c r="T12" s="123" t="s">
        <v>163</v>
      </c>
      <c r="U12" s="123">
        <v>0.0</v>
      </c>
      <c r="V12" s="123">
        <v>0.0</v>
      </c>
      <c r="W12" s="123" t="s">
        <v>163</v>
      </c>
      <c r="X12" s="123">
        <v>0.0</v>
      </c>
      <c r="Y12" s="123">
        <v>0.0</v>
      </c>
      <c r="Z12" s="123" t="s">
        <v>163</v>
      </c>
      <c r="AA12" s="123" t="s">
        <v>163</v>
      </c>
      <c r="AB12" s="123" t="s">
        <v>163</v>
      </c>
      <c r="AC12" s="123">
        <v>14.0</v>
      </c>
      <c r="AD12" s="123">
        <v>0.0</v>
      </c>
      <c r="AE12" s="123" t="s">
        <v>163</v>
      </c>
      <c r="AF12" s="123">
        <v>0.0</v>
      </c>
      <c r="AG12" s="123" t="s">
        <v>163</v>
      </c>
      <c r="AH12" s="123">
        <v>0.0</v>
      </c>
      <c r="AI12" s="123" t="s">
        <v>163</v>
      </c>
      <c r="AJ12" s="123" t="s">
        <v>163</v>
      </c>
      <c r="AK12" s="123">
        <v>0.0</v>
      </c>
      <c r="AL12" s="123">
        <v>0.0</v>
      </c>
      <c r="AM12" s="123" t="s">
        <v>163</v>
      </c>
      <c r="AN12" s="123">
        <v>0.0</v>
      </c>
      <c r="AO12" s="123">
        <v>6.0</v>
      </c>
    </row>
    <row r="13">
      <c r="A13" s="213" t="s">
        <v>109</v>
      </c>
      <c r="B13" s="123">
        <v>31.0</v>
      </c>
      <c r="C13" s="123" t="s">
        <v>163</v>
      </c>
      <c r="D13" s="123">
        <v>30.0</v>
      </c>
      <c r="E13" s="123" t="s">
        <v>163</v>
      </c>
      <c r="F13" s="123" t="s">
        <v>163</v>
      </c>
      <c r="G13" s="123" t="s">
        <v>163</v>
      </c>
      <c r="H13" s="123">
        <v>33.0</v>
      </c>
      <c r="I13" s="123">
        <v>17.0</v>
      </c>
      <c r="J13" s="123">
        <v>0.0</v>
      </c>
      <c r="K13" s="123">
        <v>17.0</v>
      </c>
      <c r="L13" s="123" t="s">
        <v>163</v>
      </c>
      <c r="M13" s="123">
        <v>0.0</v>
      </c>
      <c r="N13" s="123">
        <v>0.0</v>
      </c>
      <c r="O13" s="123" t="s">
        <v>163</v>
      </c>
      <c r="P13" s="123">
        <v>0.0</v>
      </c>
      <c r="Q13" s="123" t="s">
        <v>163</v>
      </c>
      <c r="R13" s="123" t="s">
        <v>163</v>
      </c>
      <c r="S13" s="123">
        <v>0.0</v>
      </c>
      <c r="T13" s="123">
        <v>0.0</v>
      </c>
      <c r="U13" s="123" t="s">
        <v>163</v>
      </c>
      <c r="V13" s="123">
        <v>0.0</v>
      </c>
      <c r="W13" s="123" t="s">
        <v>163</v>
      </c>
      <c r="X13" s="123">
        <v>27.0</v>
      </c>
      <c r="Y13" s="123">
        <v>15.0</v>
      </c>
      <c r="Z13" s="123" t="s">
        <v>163</v>
      </c>
      <c r="AA13" s="123">
        <v>22.0</v>
      </c>
      <c r="AB13" s="123" t="s">
        <v>163</v>
      </c>
      <c r="AC13" s="123">
        <v>26.0</v>
      </c>
      <c r="AD13" s="123">
        <v>0.0</v>
      </c>
      <c r="AE13" s="123">
        <v>47.0</v>
      </c>
      <c r="AF13" s="123" t="s">
        <v>163</v>
      </c>
      <c r="AG13" s="123" t="s">
        <v>163</v>
      </c>
      <c r="AH13" s="123">
        <v>38.0</v>
      </c>
      <c r="AI13" s="123">
        <v>0.0</v>
      </c>
      <c r="AJ13" s="123">
        <v>17.0</v>
      </c>
      <c r="AK13" s="123">
        <v>0.0</v>
      </c>
      <c r="AL13" s="123">
        <v>21.0</v>
      </c>
      <c r="AM13" s="123" t="s">
        <v>163</v>
      </c>
      <c r="AN13" s="123" t="s">
        <v>163</v>
      </c>
      <c r="AO13" s="123">
        <v>19.0</v>
      </c>
    </row>
    <row r="14">
      <c r="A14" s="213" t="s">
        <v>110</v>
      </c>
      <c r="B14" s="123" t="s">
        <v>163</v>
      </c>
      <c r="C14" s="123">
        <v>27.0</v>
      </c>
      <c r="D14" s="123">
        <v>36.0</v>
      </c>
      <c r="E14" s="123">
        <v>52.0</v>
      </c>
      <c r="F14" s="123" t="s">
        <v>163</v>
      </c>
      <c r="G14" s="123">
        <v>35.0</v>
      </c>
      <c r="H14" s="123">
        <v>49.0</v>
      </c>
      <c r="I14" s="123">
        <v>46.0</v>
      </c>
      <c r="J14" s="123">
        <v>38.0</v>
      </c>
      <c r="K14" s="123">
        <v>30.0</v>
      </c>
      <c r="L14" s="123" t="s">
        <v>163</v>
      </c>
      <c r="M14" s="123">
        <v>0.0</v>
      </c>
      <c r="N14" s="123" t="s">
        <v>163</v>
      </c>
      <c r="O14" s="123" t="s">
        <v>163</v>
      </c>
      <c r="P14" s="123" t="s">
        <v>163</v>
      </c>
      <c r="Q14" s="123">
        <v>38.0</v>
      </c>
      <c r="R14" s="123">
        <v>42.0</v>
      </c>
      <c r="S14" s="123" t="s">
        <v>163</v>
      </c>
      <c r="T14" s="123" t="s">
        <v>163</v>
      </c>
      <c r="U14" s="123" t="s">
        <v>163</v>
      </c>
      <c r="V14" s="123" t="s">
        <v>163</v>
      </c>
      <c r="W14" s="123">
        <v>24.0</v>
      </c>
      <c r="X14" s="123">
        <v>31.0</v>
      </c>
      <c r="Y14" s="123">
        <v>80.0</v>
      </c>
      <c r="Z14" s="123" t="s">
        <v>163</v>
      </c>
      <c r="AA14" s="123">
        <v>77.0</v>
      </c>
      <c r="AB14" s="123">
        <v>40.0</v>
      </c>
      <c r="AC14" s="123">
        <v>62.0</v>
      </c>
      <c r="AD14" s="123">
        <v>0.0</v>
      </c>
      <c r="AE14" s="123" t="s">
        <v>163</v>
      </c>
      <c r="AF14" s="123">
        <v>37.0</v>
      </c>
      <c r="AG14" s="123">
        <v>26.0</v>
      </c>
      <c r="AH14" s="123">
        <v>32.0</v>
      </c>
      <c r="AI14" s="123" t="s">
        <v>163</v>
      </c>
      <c r="AJ14" s="123">
        <v>36.0</v>
      </c>
      <c r="AK14" s="123" t="s">
        <v>163</v>
      </c>
      <c r="AL14" s="123">
        <v>52.0</v>
      </c>
      <c r="AM14" s="123">
        <v>40.0</v>
      </c>
      <c r="AN14" s="123">
        <v>26.0</v>
      </c>
      <c r="AO14" s="123">
        <v>45.0</v>
      </c>
    </row>
    <row r="15">
      <c r="A15" s="213" t="s">
        <v>111</v>
      </c>
      <c r="B15" s="123">
        <v>37.0</v>
      </c>
      <c r="C15" s="123">
        <v>45.0</v>
      </c>
      <c r="D15" s="123">
        <v>85.0</v>
      </c>
      <c r="E15" s="123">
        <v>242.0</v>
      </c>
      <c r="F15" s="123" t="s">
        <v>163</v>
      </c>
      <c r="G15" s="123">
        <v>67.0</v>
      </c>
      <c r="H15" s="123">
        <v>133.0</v>
      </c>
      <c r="I15" s="123">
        <v>118.0</v>
      </c>
      <c r="J15" s="123">
        <v>92.0</v>
      </c>
      <c r="K15" s="123">
        <v>124.0</v>
      </c>
      <c r="L15" s="123" t="s">
        <v>163</v>
      </c>
      <c r="M15" s="123">
        <v>107.0</v>
      </c>
      <c r="N15" s="123" t="s">
        <v>163</v>
      </c>
      <c r="O15" s="123" t="s">
        <v>163</v>
      </c>
      <c r="P15" s="123" t="s">
        <v>163</v>
      </c>
      <c r="Q15" s="123">
        <v>130.0</v>
      </c>
      <c r="R15" s="123">
        <v>88.0</v>
      </c>
      <c r="S15" s="123" t="s">
        <v>163</v>
      </c>
      <c r="T15" s="123">
        <v>37.0</v>
      </c>
      <c r="U15" s="123">
        <v>84.0</v>
      </c>
      <c r="V15" s="123">
        <v>0.0</v>
      </c>
      <c r="W15" s="123">
        <v>32.0</v>
      </c>
      <c r="X15" s="123">
        <v>80.0</v>
      </c>
      <c r="Y15" s="123">
        <v>176.0</v>
      </c>
      <c r="Z15" s="123">
        <v>40.0</v>
      </c>
      <c r="AA15" s="123">
        <v>198.0</v>
      </c>
      <c r="AB15" s="123" t="s">
        <v>163</v>
      </c>
      <c r="AC15" s="123">
        <v>292.0</v>
      </c>
      <c r="AD15" s="123" t="s">
        <v>163</v>
      </c>
      <c r="AE15" s="123">
        <v>57.0</v>
      </c>
      <c r="AF15" s="123">
        <v>74.0</v>
      </c>
      <c r="AG15" s="123">
        <v>62.0</v>
      </c>
      <c r="AH15" s="123">
        <v>89.0</v>
      </c>
      <c r="AI15" s="123" t="s">
        <v>163</v>
      </c>
      <c r="AJ15" s="123">
        <v>78.0</v>
      </c>
      <c r="AK15" s="123" t="s">
        <v>163</v>
      </c>
      <c r="AL15" s="123">
        <v>73.0</v>
      </c>
      <c r="AM15" s="123">
        <v>35.0</v>
      </c>
      <c r="AN15" s="123">
        <v>89.0</v>
      </c>
      <c r="AO15" s="123">
        <v>136.0</v>
      </c>
    </row>
    <row r="16">
      <c r="A16" s="213" t="s">
        <v>112</v>
      </c>
      <c r="B16" s="123" t="s">
        <v>163</v>
      </c>
      <c r="C16" s="123">
        <v>49.0</v>
      </c>
      <c r="D16" s="123">
        <v>55.0</v>
      </c>
      <c r="E16" s="123">
        <v>573.0</v>
      </c>
      <c r="F16" s="123" t="s">
        <v>163</v>
      </c>
      <c r="G16" s="123">
        <v>49.0</v>
      </c>
      <c r="H16" s="123">
        <v>167.0</v>
      </c>
      <c r="I16" s="123">
        <v>81.0</v>
      </c>
      <c r="J16" s="123">
        <v>38.0</v>
      </c>
      <c r="K16" s="123">
        <v>107.0</v>
      </c>
      <c r="L16" s="123" t="s">
        <v>163</v>
      </c>
      <c r="M16" s="123" t="s">
        <v>163</v>
      </c>
      <c r="N16" s="123">
        <v>60.0</v>
      </c>
      <c r="O16" s="123" t="s">
        <v>163</v>
      </c>
      <c r="P16" s="123" t="s">
        <v>163</v>
      </c>
      <c r="Q16" s="123">
        <v>133.0</v>
      </c>
      <c r="R16" s="123">
        <v>92.0</v>
      </c>
      <c r="S16" s="123" t="s">
        <v>163</v>
      </c>
      <c r="T16" s="123" t="s">
        <v>163</v>
      </c>
      <c r="U16" s="123" t="s">
        <v>163</v>
      </c>
      <c r="V16" s="123">
        <v>0.0</v>
      </c>
      <c r="W16" s="123">
        <v>0.0</v>
      </c>
      <c r="X16" s="123">
        <v>27.0</v>
      </c>
      <c r="Y16" s="123">
        <v>250.0</v>
      </c>
      <c r="Z16" s="123" t="s">
        <v>163</v>
      </c>
      <c r="AA16" s="123">
        <v>286.0</v>
      </c>
      <c r="AB16" s="123" t="s">
        <v>163</v>
      </c>
      <c r="AC16" s="123">
        <v>348.0</v>
      </c>
      <c r="AD16" s="123" t="s">
        <v>163</v>
      </c>
      <c r="AE16" s="123">
        <v>57.0</v>
      </c>
      <c r="AF16" s="123">
        <v>32.0</v>
      </c>
      <c r="AG16" s="123">
        <v>29.0</v>
      </c>
      <c r="AH16" s="123">
        <v>57.0</v>
      </c>
      <c r="AI16" s="123" t="s">
        <v>163</v>
      </c>
      <c r="AJ16" s="123">
        <v>76.0</v>
      </c>
      <c r="AK16" s="123" t="s">
        <v>163</v>
      </c>
      <c r="AL16" s="123">
        <v>107.0</v>
      </c>
      <c r="AM16" s="123">
        <v>27.0</v>
      </c>
      <c r="AN16" s="123">
        <v>118.0</v>
      </c>
      <c r="AO16" s="123">
        <v>152.0</v>
      </c>
    </row>
    <row r="17">
      <c r="A17" s="213" t="s">
        <v>113</v>
      </c>
      <c r="B17" s="123">
        <v>37.0</v>
      </c>
      <c r="C17" s="123">
        <v>54.0</v>
      </c>
      <c r="D17" s="123">
        <v>61.0</v>
      </c>
      <c r="E17" s="123">
        <v>867.0</v>
      </c>
      <c r="F17" s="123" t="s">
        <v>163</v>
      </c>
      <c r="G17" s="123">
        <v>46.0</v>
      </c>
      <c r="H17" s="123">
        <v>150.0</v>
      </c>
      <c r="I17" s="123">
        <v>98.0</v>
      </c>
      <c r="J17" s="123">
        <v>92.0</v>
      </c>
      <c r="K17" s="123">
        <v>103.0</v>
      </c>
      <c r="L17" s="123">
        <v>74.0</v>
      </c>
      <c r="M17" s="123" t="s">
        <v>163</v>
      </c>
      <c r="N17" s="123">
        <v>60.0</v>
      </c>
      <c r="O17" s="123">
        <v>62.0</v>
      </c>
      <c r="P17" s="123" t="s">
        <v>163</v>
      </c>
      <c r="Q17" s="123">
        <v>147.0</v>
      </c>
      <c r="R17" s="123">
        <v>102.0</v>
      </c>
      <c r="S17" s="123">
        <v>0.0</v>
      </c>
      <c r="T17" s="123">
        <v>37.0</v>
      </c>
      <c r="U17" s="123">
        <v>64.0</v>
      </c>
      <c r="V17" s="123">
        <v>0.0</v>
      </c>
      <c r="W17" s="123">
        <v>36.0</v>
      </c>
      <c r="X17" s="123">
        <v>65.0</v>
      </c>
      <c r="Y17" s="123">
        <v>240.0</v>
      </c>
      <c r="Z17" s="123">
        <v>49.0</v>
      </c>
      <c r="AA17" s="123">
        <v>358.0</v>
      </c>
      <c r="AB17" s="123">
        <v>29.0</v>
      </c>
      <c r="AC17" s="123">
        <v>452.0</v>
      </c>
      <c r="AD17" s="123">
        <v>66.0</v>
      </c>
      <c r="AE17" s="123">
        <v>66.0</v>
      </c>
      <c r="AF17" s="123">
        <v>74.0</v>
      </c>
      <c r="AG17" s="123">
        <v>26.0</v>
      </c>
      <c r="AH17" s="123">
        <v>76.0</v>
      </c>
      <c r="AI17" s="123">
        <v>133.0</v>
      </c>
      <c r="AJ17" s="123">
        <v>73.0</v>
      </c>
      <c r="AK17" s="123" t="s">
        <v>163</v>
      </c>
      <c r="AL17" s="123">
        <v>117.0</v>
      </c>
      <c r="AM17" s="123">
        <v>62.0</v>
      </c>
      <c r="AN17" s="123">
        <v>118.0</v>
      </c>
      <c r="AO17" s="123">
        <v>189.0</v>
      </c>
    </row>
    <row r="18">
      <c r="A18" s="213" t="s">
        <v>114</v>
      </c>
      <c r="B18" s="123" t="s">
        <v>163</v>
      </c>
      <c r="C18" s="123">
        <v>36.0</v>
      </c>
      <c r="D18" s="123">
        <v>61.0</v>
      </c>
      <c r="E18" s="123">
        <v>681.0</v>
      </c>
      <c r="F18" s="123">
        <v>64.0</v>
      </c>
      <c r="G18" s="123">
        <v>35.0</v>
      </c>
      <c r="H18" s="123">
        <v>135.0</v>
      </c>
      <c r="I18" s="123">
        <v>58.0</v>
      </c>
      <c r="J18" s="123">
        <v>76.0</v>
      </c>
      <c r="K18" s="123">
        <v>89.0</v>
      </c>
      <c r="L18" s="123" t="s">
        <v>163</v>
      </c>
      <c r="M18" s="123" t="s">
        <v>163</v>
      </c>
      <c r="N18" s="123" t="s">
        <v>163</v>
      </c>
      <c r="O18" s="123">
        <v>0.0</v>
      </c>
      <c r="P18" s="123">
        <v>0.0</v>
      </c>
      <c r="Q18" s="123">
        <v>89.0</v>
      </c>
      <c r="R18" s="123">
        <v>88.0</v>
      </c>
      <c r="S18" s="123">
        <v>0.0</v>
      </c>
      <c r="T18" s="123" t="s">
        <v>163</v>
      </c>
      <c r="U18" s="123" t="s">
        <v>163</v>
      </c>
      <c r="V18" s="123">
        <v>0.0</v>
      </c>
      <c r="W18" s="123">
        <v>32.0</v>
      </c>
      <c r="X18" s="123">
        <v>19.0</v>
      </c>
      <c r="Y18" s="123">
        <v>176.0</v>
      </c>
      <c r="Z18" s="123" t="s">
        <v>163</v>
      </c>
      <c r="AA18" s="123">
        <v>279.0</v>
      </c>
      <c r="AB18" s="123" t="s">
        <v>163</v>
      </c>
      <c r="AC18" s="123">
        <v>389.0</v>
      </c>
      <c r="AD18" s="123">
        <v>66.0</v>
      </c>
      <c r="AE18" s="123" t="s">
        <v>163</v>
      </c>
      <c r="AF18" s="123">
        <v>51.0</v>
      </c>
      <c r="AG18" s="123" t="s">
        <v>163</v>
      </c>
      <c r="AH18" s="123">
        <v>44.0</v>
      </c>
      <c r="AI18" s="123" t="s">
        <v>163</v>
      </c>
      <c r="AJ18" s="123">
        <v>70.0</v>
      </c>
      <c r="AK18" s="123" t="s">
        <v>163</v>
      </c>
      <c r="AL18" s="123">
        <v>83.0</v>
      </c>
      <c r="AM18" s="123">
        <v>31.0</v>
      </c>
      <c r="AN18" s="123">
        <v>130.0</v>
      </c>
      <c r="AO18" s="123">
        <v>155.0</v>
      </c>
    </row>
    <row r="19">
      <c r="A19" s="213" t="s">
        <v>115</v>
      </c>
      <c r="B19" s="123" t="s">
        <v>163</v>
      </c>
      <c r="C19" s="123">
        <v>45.0</v>
      </c>
      <c r="D19" s="123" t="s">
        <v>163</v>
      </c>
      <c r="E19" s="123">
        <v>650.0</v>
      </c>
      <c r="F19" s="123" t="s">
        <v>163</v>
      </c>
      <c r="G19" s="123">
        <v>35.0</v>
      </c>
      <c r="H19" s="123">
        <v>101.0</v>
      </c>
      <c r="I19" s="123">
        <v>61.0</v>
      </c>
      <c r="J19" s="123">
        <v>54.0</v>
      </c>
      <c r="K19" s="123">
        <v>107.0</v>
      </c>
      <c r="L19" s="123">
        <v>88.0</v>
      </c>
      <c r="M19" s="123" t="s">
        <v>163</v>
      </c>
      <c r="N19" s="123" t="s">
        <v>163</v>
      </c>
      <c r="O19" s="123" t="s">
        <v>163</v>
      </c>
      <c r="P19" s="123" t="s">
        <v>163</v>
      </c>
      <c r="Q19" s="123">
        <v>113.0</v>
      </c>
      <c r="R19" s="123">
        <v>92.0</v>
      </c>
      <c r="S19" s="123" t="s">
        <v>163</v>
      </c>
      <c r="T19" s="123" t="s">
        <v>163</v>
      </c>
      <c r="U19" s="123" t="s">
        <v>163</v>
      </c>
      <c r="V19" s="123">
        <v>0.0</v>
      </c>
      <c r="W19" s="123">
        <v>32.0</v>
      </c>
      <c r="X19" s="123">
        <v>31.0</v>
      </c>
      <c r="Y19" s="123">
        <v>136.0</v>
      </c>
      <c r="Z19" s="123" t="s">
        <v>163</v>
      </c>
      <c r="AA19" s="123">
        <v>269.0</v>
      </c>
      <c r="AB19" s="123" t="s">
        <v>163</v>
      </c>
      <c r="AC19" s="123">
        <v>302.0</v>
      </c>
      <c r="AD19" s="123" t="s">
        <v>163</v>
      </c>
      <c r="AE19" s="123" t="s">
        <v>163</v>
      </c>
      <c r="AF19" s="123">
        <v>51.0</v>
      </c>
      <c r="AG19" s="123" t="s">
        <v>163</v>
      </c>
      <c r="AH19" s="123">
        <v>32.0</v>
      </c>
      <c r="AI19" s="123" t="s">
        <v>163</v>
      </c>
      <c r="AJ19" s="123">
        <v>56.0</v>
      </c>
      <c r="AK19" s="123">
        <v>0.0</v>
      </c>
      <c r="AL19" s="123">
        <v>97.0</v>
      </c>
      <c r="AM19" s="123" t="s">
        <v>163</v>
      </c>
      <c r="AN19" s="123">
        <v>137.0</v>
      </c>
      <c r="AO19" s="123">
        <v>131.0</v>
      </c>
    </row>
    <row r="20">
      <c r="A20" s="213" t="s">
        <v>116</v>
      </c>
      <c r="B20" s="123">
        <v>43.0</v>
      </c>
      <c r="C20" s="123">
        <v>27.0</v>
      </c>
      <c r="D20" s="123" t="s">
        <v>163</v>
      </c>
      <c r="E20" s="123">
        <v>475.0</v>
      </c>
      <c r="F20" s="123">
        <v>0.0</v>
      </c>
      <c r="G20" s="123">
        <v>38.0</v>
      </c>
      <c r="H20" s="123">
        <v>94.0</v>
      </c>
      <c r="I20" s="123">
        <v>32.0</v>
      </c>
      <c r="J20" s="123">
        <v>46.0</v>
      </c>
      <c r="K20" s="123">
        <v>76.0</v>
      </c>
      <c r="L20" s="123" t="s">
        <v>163</v>
      </c>
      <c r="M20" s="123" t="s">
        <v>163</v>
      </c>
      <c r="N20" s="123">
        <v>89.0</v>
      </c>
      <c r="O20" s="123" t="s">
        <v>163</v>
      </c>
      <c r="P20" s="123">
        <v>0.0</v>
      </c>
      <c r="Q20" s="123">
        <v>79.0</v>
      </c>
      <c r="R20" s="123">
        <v>60.0</v>
      </c>
      <c r="S20" s="123">
        <v>0.0</v>
      </c>
      <c r="T20" s="123">
        <v>0.0</v>
      </c>
      <c r="U20" s="123" t="s">
        <v>163</v>
      </c>
      <c r="V20" s="123">
        <v>0.0</v>
      </c>
      <c r="W20" s="123" t="s">
        <v>163</v>
      </c>
      <c r="X20" s="123">
        <v>19.0</v>
      </c>
      <c r="Y20" s="123">
        <v>145.0</v>
      </c>
      <c r="Z20" s="123">
        <v>73.0</v>
      </c>
      <c r="AA20" s="123">
        <v>166.0</v>
      </c>
      <c r="AB20" s="123" t="s">
        <v>163</v>
      </c>
      <c r="AC20" s="123">
        <v>268.0</v>
      </c>
      <c r="AD20" s="123" t="s">
        <v>163</v>
      </c>
      <c r="AE20" s="123">
        <v>47.0</v>
      </c>
      <c r="AF20" s="123">
        <v>55.0</v>
      </c>
      <c r="AG20" s="123" t="s">
        <v>163</v>
      </c>
      <c r="AH20" s="123">
        <v>44.0</v>
      </c>
      <c r="AI20" s="123">
        <v>133.0</v>
      </c>
      <c r="AJ20" s="123">
        <v>43.0</v>
      </c>
      <c r="AK20" s="123" t="s">
        <v>163</v>
      </c>
      <c r="AL20" s="123">
        <v>41.0</v>
      </c>
      <c r="AM20" s="123">
        <v>0.0</v>
      </c>
      <c r="AN20" s="123">
        <v>104.0</v>
      </c>
      <c r="AO20" s="123">
        <v>106.0</v>
      </c>
    </row>
    <row r="21">
      <c r="A21" s="213" t="s">
        <v>117</v>
      </c>
      <c r="B21" s="123">
        <v>43.0</v>
      </c>
      <c r="C21" s="123">
        <v>45.0</v>
      </c>
      <c r="D21" s="123">
        <v>55.0</v>
      </c>
      <c r="E21" s="123">
        <v>330.0</v>
      </c>
      <c r="F21" s="123">
        <v>0.0</v>
      </c>
      <c r="G21" s="123">
        <v>49.0</v>
      </c>
      <c r="H21" s="123">
        <v>90.0</v>
      </c>
      <c r="I21" s="123">
        <v>32.0</v>
      </c>
      <c r="J21" s="123" t="s">
        <v>163</v>
      </c>
      <c r="K21" s="123">
        <v>36.0</v>
      </c>
      <c r="L21" s="123" t="s">
        <v>163</v>
      </c>
      <c r="M21" s="123" t="s">
        <v>163</v>
      </c>
      <c r="N21" s="123" t="s">
        <v>163</v>
      </c>
      <c r="O21" s="123" t="s">
        <v>163</v>
      </c>
      <c r="P21" s="123" t="s">
        <v>163</v>
      </c>
      <c r="Q21" s="123">
        <v>65.0</v>
      </c>
      <c r="R21" s="123">
        <v>51.0</v>
      </c>
      <c r="S21" s="123" t="s">
        <v>163</v>
      </c>
      <c r="T21" s="123" t="s">
        <v>163</v>
      </c>
      <c r="U21" s="123" t="s">
        <v>163</v>
      </c>
      <c r="V21" s="123">
        <v>0.0</v>
      </c>
      <c r="W21" s="123" t="s">
        <v>163</v>
      </c>
      <c r="X21" s="123">
        <v>19.0</v>
      </c>
      <c r="Y21" s="123">
        <v>80.0</v>
      </c>
      <c r="Z21" s="123">
        <v>49.0</v>
      </c>
      <c r="AA21" s="123">
        <v>155.0</v>
      </c>
      <c r="AB21" s="123">
        <v>40.0</v>
      </c>
      <c r="AC21" s="123">
        <v>227.0</v>
      </c>
      <c r="AD21" s="123" t="s">
        <v>163</v>
      </c>
      <c r="AE21" s="123" t="s">
        <v>163</v>
      </c>
      <c r="AF21" s="123">
        <v>28.0</v>
      </c>
      <c r="AG21" s="123" t="s">
        <v>163</v>
      </c>
      <c r="AH21" s="123">
        <v>57.0</v>
      </c>
      <c r="AI21" s="123">
        <v>48.0</v>
      </c>
      <c r="AJ21" s="123">
        <v>43.0</v>
      </c>
      <c r="AK21" s="123" t="s">
        <v>163</v>
      </c>
      <c r="AL21" s="123">
        <v>41.0</v>
      </c>
      <c r="AM21" s="123" t="s">
        <v>163</v>
      </c>
      <c r="AN21" s="123">
        <v>89.0</v>
      </c>
      <c r="AO21" s="123">
        <v>91.0</v>
      </c>
    </row>
    <row r="22">
      <c r="A22" s="213" t="s">
        <v>118</v>
      </c>
      <c r="B22" s="123" t="s">
        <v>163</v>
      </c>
      <c r="C22" s="123">
        <v>31.0</v>
      </c>
      <c r="D22" s="123" t="s">
        <v>163</v>
      </c>
      <c r="E22" s="123">
        <v>155.0</v>
      </c>
      <c r="F22" s="123" t="s">
        <v>163</v>
      </c>
      <c r="G22" s="123">
        <v>29.0</v>
      </c>
      <c r="H22" s="123">
        <v>60.0</v>
      </c>
      <c r="I22" s="123">
        <v>14.0</v>
      </c>
      <c r="J22" s="123">
        <v>0.0</v>
      </c>
      <c r="K22" s="123">
        <v>42.0</v>
      </c>
      <c r="L22" s="123">
        <v>0.0</v>
      </c>
      <c r="M22" s="123" t="s">
        <v>163</v>
      </c>
      <c r="N22" s="123" t="s">
        <v>163</v>
      </c>
      <c r="O22" s="123">
        <v>0.0</v>
      </c>
      <c r="P22" s="123" t="s">
        <v>163</v>
      </c>
      <c r="Q22" s="123">
        <v>116.0</v>
      </c>
      <c r="R22" s="123">
        <v>42.0</v>
      </c>
      <c r="S22" s="123">
        <v>0.0</v>
      </c>
      <c r="T22" s="123">
        <v>31.0</v>
      </c>
      <c r="U22" s="123" t="s">
        <v>163</v>
      </c>
      <c r="V22" s="123">
        <v>0.0</v>
      </c>
      <c r="W22" s="123">
        <v>36.0</v>
      </c>
      <c r="X22" s="123">
        <v>23.0</v>
      </c>
      <c r="Y22" s="123">
        <v>49.0</v>
      </c>
      <c r="Z22" s="123" t="s">
        <v>163</v>
      </c>
      <c r="AA22" s="123">
        <v>102.0</v>
      </c>
      <c r="AB22" s="123">
        <v>34.0</v>
      </c>
      <c r="AC22" s="123">
        <v>186.0</v>
      </c>
      <c r="AD22" s="123" t="s">
        <v>163</v>
      </c>
      <c r="AE22" s="123" t="s">
        <v>163</v>
      </c>
      <c r="AF22" s="123">
        <v>0.0</v>
      </c>
      <c r="AG22" s="123">
        <v>0.0</v>
      </c>
      <c r="AH22" s="123" t="s">
        <v>163</v>
      </c>
      <c r="AI22" s="123">
        <v>0.0</v>
      </c>
      <c r="AJ22" s="123">
        <v>25.0</v>
      </c>
      <c r="AK22" s="123" t="s">
        <v>163</v>
      </c>
      <c r="AL22" s="123">
        <v>31.0</v>
      </c>
      <c r="AM22" s="123" t="s">
        <v>163</v>
      </c>
      <c r="AN22" s="123">
        <v>91.0</v>
      </c>
      <c r="AO22" s="123">
        <v>68.0</v>
      </c>
    </row>
    <row r="23">
      <c r="A23" s="213" t="s">
        <v>119</v>
      </c>
      <c r="B23" s="123" t="s">
        <v>163</v>
      </c>
      <c r="C23" s="123" t="s">
        <v>163</v>
      </c>
      <c r="D23" s="123" t="s">
        <v>163</v>
      </c>
      <c r="E23" s="123">
        <v>150.0</v>
      </c>
      <c r="F23" s="123">
        <v>0.0</v>
      </c>
      <c r="G23" s="123" t="s">
        <v>163</v>
      </c>
      <c r="H23" s="123">
        <v>44.0</v>
      </c>
      <c r="I23" s="123">
        <v>32.0</v>
      </c>
      <c r="J23" s="123" t="s">
        <v>163</v>
      </c>
      <c r="K23" s="123">
        <v>25.0</v>
      </c>
      <c r="L23" s="123" t="s">
        <v>163</v>
      </c>
      <c r="M23" s="123">
        <v>0.0</v>
      </c>
      <c r="N23" s="123" t="s">
        <v>163</v>
      </c>
      <c r="O23" s="123">
        <v>0.0</v>
      </c>
      <c r="P23" s="123" t="s">
        <v>163</v>
      </c>
      <c r="Q23" s="123">
        <v>41.0</v>
      </c>
      <c r="R23" s="123" t="s">
        <v>163</v>
      </c>
      <c r="S23" s="123">
        <v>0.0</v>
      </c>
      <c r="T23" s="123" t="s">
        <v>163</v>
      </c>
      <c r="U23" s="123" t="s">
        <v>163</v>
      </c>
      <c r="V23" s="123">
        <v>0.0</v>
      </c>
      <c r="W23" s="123" t="s">
        <v>163</v>
      </c>
      <c r="X23" s="123" t="s">
        <v>163</v>
      </c>
      <c r="Y23" s="123">
        <v>59.0</v>
      </c>
      <c r="Z23" s="123" t="s">
        <v>163</v>
      </c>
      <c r="AA23" s="123">
        <v>71.0</v>
      </c>
      <c r="AB23" s="123">
        <v>29.0</v>
      </c>
      <c r="AC23" s="123">
        <v>144.0</v>
      </c>
      <c r="AD23" s="123">
        <v>0.0</v>
      </c>
      <c r="AE23" s="123" t="s">
        <v>163</v>
      </c>
      <c r="AF23" s="123" t="s">
        <v>163</v>
      </c>
      <c r="AG23" s="123">
        <v>0.0</v>
      </c>
      <c r="AH23" s="123" t="s">
        <v>163</v>
      </c>
      <c r="AI23" s="123" t="s">
        <v>163</v>
      </c>
      <c r="AJ23" s="123">
        <v>23.0</v>
      </c>
      <c r="AK23" s="123">
        <v>0.0</v>
      </c>
      <c r="AL23" s="123">
        <v>31.0</v>
      </c>
      <c r="AM23" s="123">
        <v>0.0</v>
      </c>
      <c r="AN23" s="123">
        <v>60.0</v>
      </c>
      <c r="AO23" s="123">
        <v>50.0</v>
      </c>
    </row>
    <row r="24">
      <c r="A24" s="213" t="s">
        <v>120</v>
      </c>
      <c r="B24" s="123" t="s">
        <v>163</v>
      </c>
      <c r="C24" s="123" t="s">
        <v>163</v>
      </c>
      <c r="D24" s="123" t="s">
        <v>163</v>
      </c>
      <c r="E24" s="123">
        <v>119.0</v>
      </c>
      <c r="F24" s="123" t="s">
        <v>163</v>
      </c>
      <c r="G24" s="123" t="s">
        <v>163</v>
      </c>
      <c r="H24" s="123">
        <v>39.0</v>
      </c>
      <c r="I24" s="123">
        <v>26.0</v>
      </c>
      <c r="J24" s="123" t="s">
        <v>163</v>
      </c>
      <c r="K24" s="123">
        <v>25.0</v>
      </c>
      <c r="L24" s="123" t="s">
        <v>163</v>
      </c>
      <c r="M24" s="123">
        <v>0.0</v>
      </c>
      <c r="N24" s="123" t="s">
        <v>163</v>
      </c>
      <c r="O24" s="123">
        <v>0.0</v>
      </c>
      <c r="P24" s="123">
        <v>0.0</v>
      </c>
      <c r="Q24" s="123">
        <v>51.0</v>
      </c>
      <c r="R24" s="123">
        <v>23.0</v>
      </c>
      <c r="S24" s="123">
        <v>0.0</v>
      </c>
      <c r="T24" s="123" t="s">
        <v>163</v>
      </c>
      <c r="U24" s="123">
        <v>0.0</v>
      </c>
      <c r="V24" s="123">
        <v>0.0</v>
      </c>
      <c r="W24" s="123" t="s">
        <v>163</v>
      </c>
      <c r="X24" s="123" t="s">
        <v>163</v>
      </c>
      <c r="Y24" s="123">
        <v>28.0</v>
      </c>
      <c r="Z24" s="123">
        <v>49.0</v>
      </c>
      <c r="AA24" s="123">
        <v>57.0</v>
      </c>
      <c r="AB24" s="123">
        <v>0.0</v>
      </c>
      <c r="AC24" s="123">
        <v>88.0</v>
      </c>
      <c r="AD24" s="123">
        <v>0.0</v>
      </c>
      <c r="AE24" s="123" t="s">
        <v>163</v>
      </c>
      <c r="AF24" s="123" t="s">
        <v>163</v>
      </c>
      <c r="AG24" s="123">
        <v>0.0</v>
      </c>
      <c r="AH24" s="123" t="s">
        <v>163</v>
      </c>
      <c r="AI24" s="123" t="s">
        <v>163</v>
      </c>
      <c r="AJ24" s="123">
        <v>11.0</v>
      </c>
      <c r="AK24" s="123">
        <v>0.0</v>
      </c>
      <c r="AL24" s="123" t="s">
        <v>163</v>
      </c>
      <c r="AM24" s="123">
        <v>0.0</v>
      </c>
      <c r="AN24" s="123">
        <v>46.0</v>
      </c>
      <c r="AO24" s="123">
        <v>35.0</v>
      </c>
    </row>
    <row r="25">
      <c r="A25" s="213" t="s">
        <v>121</v>
      </c>
      <c r="B25" s="123">
        <v>0.0</v>
      </c>
      <c r="C25" s="123" t="s">
        <v>163</v>
      </c>
      <c r="D25" s="123" t="s">
        <v>163</v>
      </c>
      <c r="E25" s="123">
        <v>108.0</v>
      </c>
      <c r="F25" s="123" t="s">
        <v>163</v>
      </c>
      <c r="G25" s="123">
        <v>0.0</v>
      </c>
      <c r="H25" s="123">
        <v>22.0</v>
      </c>
      <c r="I25" s="123" t="s">
        <v>163</v>
      </c>
      <c r="J25" s="123" t="s">
        <v>163</v>
      </c>
      <c r="K25" s="123">
        <v>17.0</v>
      </c>
      <c r="L25" s="123">
        <v>0.0</v>
      </c>
      <c r="M25" s="123">
        <v>0.0</v>
      </c>
      <c r="N25" s="123">
        <v>0.0</v>
      </c>
      <c r="O25" s="123">
        <v>0.0</v>
      </c>
      <c r="P25" s="123" t="s">
        <v>163</v>
      </c>
      <c r="Q25" s="123">
        <v>21.0</v>
      </c>
      <c r="R25" s="123">
        <v>23.0</v>
      </c>
      <c r="S25" s="123">
        <v>0.0</v>
      </c>
      <c r="T25" s="123" t="s">
        <v>163</v>
      </c>
      <c r="U25" s="123" t="s">
        <v>163</v>
      </c>
      <c r="V25" s="123">
        <v>0.0</v>
      </c>
      <c r="W25" s="123">
        <v>28.0</v>
      </c>
      <c r="X25" s="123" t="s">
        <v>163</v>
      </c>
      <c r="Y25" s="123" t="s">
        <v>163</v>
      </c>
      <c r="Z25" s="123" t="s">
        <v>163</v>
      </c>
      <c r="AA25" s="123">
        <v>36.0</v>
      </c>
      <c r="AB25" s="123">
        <v>0.0</v>
      </c>
      <c r="AC25" s="123">
        <v>72.0</v>
      </c>
      <c r="AD25" s="123" t="s">
        <v>163</v>
      </c>
      <c r="AE25" s="123" t="s">
        <v>163</v>
      </c>
      <c r="AF25" s="123" t="s">
        <v>163</v>
      </c>
      <c r="AG25" s="123">
        <v>0.0</v>
      </c>
      <c r="AH25" s="123">
        <v>0.0</v>
      </c>
      <c r="AI25" s="123" t="s">
        <v>163</v>
      </c>
      <c r="AJ25" s="123">
        <v>14.0</v>
      </c>
      <c r="AK25" s="123">
        <v>0.0</v>
      </c>
      <c r="AL25" s="123">
        <v>35.0</v>
      </c>
      <c r="AM25" s="123" t="s">
        <v>163</v>
      </c>
      <c r="AN25" s="123">
        <v>39.0</v>
      </c>
      <c r="AO25" s="123">
        <v>28.0</v>
      </c>
    </row>
    <row r="26">
      <c r="A26" s="213" t="s">
        <v>122</v>
      </c>
      <c r="B26" s="123" t="s">
        <v>163</v>
      </c>
      <c r="C26" s="123" t="s">
        <v>163</v>
      </c>
      <c r="D26" s="123" t="s">
        <v>163</v>
      </c>
      <c r="E26" s="123">
        <v>62.0</v>
      </c>
      <c r="F26" s="123" t="s">
        <v>163</v>
      </c>
      <c r="G26" s="123" t="s">
        <v>163</v>
      </c>
      <c r="H26" s="123">
        <v>18.0</v>
      </c>
      <c r="I26" s="123">
        <v>26.0</v>
      </c>
      <c r="J26" s="123" t="s">
        <v>163</v>
      </c>
      <c r="K26" s="123">
        <v>15.0</v>
      </c>
      <c r="L26" s="123">
        <v>0.0</v>
      </c>
      <c r="M26" s="123" t="s">
        <v>163</v>
      </c>
      <c r="N26" s="123" t="s">
        <v>163</v>
      </c>
      <c r="O26" s="123" t="s">
        <v>163</v>
      </c>
      <c r="P26" s="123">
        <v>0.0</v>
      </c>
      <c r="Q26" s="123">
        <v>31.0</v>
      </c>
      <c r="R26" s="123">
        <v>28.0</v>
      </c>
      <c r="S26" s="123">
        <v>0.0</v>
      </c>
      <c r="T26" s="123">
        <v>37.0</v>
      </c>
      <c r="U26" s="123">
        <v>0.0</v>
      </c>
      <c r="V26" s="123">
        <v>0.0</v>
      </c>
      <c r="W26" s="123">
        <v>48.0</v>
      </c>
      <c r="X26" s="123" t="s">
        <v>163</v>
      </c>
      <c r="Y26" s="123">
        <v>37.0</v>
      </c>
      <c r="Z26" s="123" t="s">
        <v>163</v>
      </c>
      <c r="AA26" s="123">
        <v>56.0</v>
      </c>
      <c r="AB26" s="123" t="s">
        <v>163</v>
      </c>
      <c r="AC26" s="123">
        <v>66.0</v>
      </c>
      <c r="AD26" s="123">
        <v>0.0</v>
      </c>
      <c r="AE26" s="123" t="s">
        <v>163</v>
      </c>
      <c r="AF26" s="123" t="s">
        <v>163</v>
      </c>
      <c r="AG26" s="123" t="s">
        <v>163</v>
      </c>
      <c r="AH26" s="123" t="s">
        <v>163</v>
      </c>
      <c r="AI26" s="123" t="s">
        <v>163</v>
      </c>
      <c r="AJ26" s="123">
        <v>12.0</v>
      </c>
      <c r="AK26" s="123" t="s">
        <v>163</v>
      </c>
      <c r="AL26" s="123">
        <v>31.0</v>
      </c>
      <c r="AM26" s="123" t="s">
        <v>163</v>
      </c>
      <c r="AN26" s="123">
        <v>39.0</v>
      </c>
      <c r="AO26" s="123">
        <v>31.0</v>
      </c>
    </row>
    <row r="27">
      <c r="A27" s="213" t="s">
        <v>123</v>
      </c>
      <c r="B27" s="123" t="s">
        <v>163</v>
      </c>
      <c r="C27" s="123" t="s">
        <v>163</v>
      </c>
      <c r="D27" s="123" t="s">
        <v>163</v>
      </c>
      <c r="E27" s="123">
        <v>36.0</v>
      </c>
      <c r="F27" s="123" t="s">
        <v>163</v>
      </c>
      <c r="G27" s="123">
        <v>26.0</v>
      </c>
      <c r="H27" s="123">
        <v>44.0</v>
      </c>
      <c r="I27" s="123" t="s">
        <v>163</v>
      </c>
      <c r="J27" s="123" t="s">
        <v>163</v>
      </c>
      <c r="K27" s="123">
        <v>13.0</v>
      </c>
      <c r="L27" s="123">
        <v>0.0</v>
      </c>
      <c r="M27" s="123" t="s">
        <v>163</v>
      </c>
      <c r="N27" s="123" t="s">
        <v>163</v>
      </c>
      <c r="O27" s="123" t="s">
        <v>163</v>
      </c>
      <c r="P27" s="123" t="s">
        <v>163</v>
      </c>
      <c r="Q27" s="123">
        <v>31.0</v>
      </c>
      <c r="R27" s="123" t="s">
        <v>163</v>
      </c>
      <c r="S27" s="123" t="s">
        <v>163</v>
      </c>
      <c r="T27" s="123">
        <v>31.0</v>
      </c>
      <c r="U27" s="123">
        <v>0.0</v>
      </c>
      <c r="V27" s="123">
        <v>0.0</v>
      </c>
      <c r="W27" s="123">
        <v>36.0</v>
      </c>
      <c r="X27" s="123" t="s">
        <v>163</v>
      </c>
      <c r="Y27" s="123">
        <v>31.0</v>
      </c>
      <c r="Z27" s="123" t="s">
        <v>163</v>
      </c>
      <c r="AA27" s="123">
        <v>18.0</v>
      </c>
      <c r="AB27" s="123" t="s">
        <v>163</v>
      </c>
      <c r="AC27" s="123">
        <v>46.0</v>
      </c>
      <c r="AD27" s="123">
        <v>0.0</v>
      </c>
      <c r="AE27" s="123" t="s">
        <v>163</v>
      </c>
      <c r="AF27" s="123">
        <v>23.0</v>
      </c>
      <c r="AG27" s="123" t="s">
        <v>163</v>
      </c>
      <c r="AH27" s="123" t="s">
        <v>163</v>
      </c>
      <c r="AI27" s="123" t="s">
        <v>163</v>
      </c>
      <c r="AJ27" s="123">
        <v>11.0</v>
      </c>
      <c r="AK27" s="123">
        <v>0.0</v>
      </c>
      <c r="AL27" s="123">
        <v>28.0</v>
      </c>
      <c r="AM27" s="123">
        <v>22.0</v>
      </c>
      <c r="AN27" s="123">
        <v>17.0</v>
      </c>
      <c r="AO27" s="123">
        <v>25.0</v>
      </c>
    </row>
    <row r="28">
      <c r="A28" s="213" t="s">
        <v>124</v>
      </c>
      <c r="B28" s="123" t="s">
        <v>163</v>
      </c>
      <c r="C28" s="123">
        <v>31.0</v>
      </c>
      <c r="D28" s="123" t="s">
        <v>163</v>
      </c>
      <c r="E28" s="123">
        <v>77.0</v>
      </c>
      <c r="F28" s="123" t="s">
        <v>163</v>
      </c>
      <c r="G28" s="123">
        <v>26.0</v>
      </c>
      <c r="H28" s="123">
        <v>31.0</v>
      </c>
      <c r="I28" s="123" t="s">
        <v>163</v>
      </c>
      <c r="J28" s="123">
        <v>54.0</v>
      </c>
      <c r="K28" s="123">
        <v>15.0</v>
      </c>
      <c r="L28" s="123">
        <v>0.0</v>
      </c>
      <c r="M28" s="123">
        <v>0.0</v>
      </c>
      <c r="N28" s="123" t="s">
        <v>163</v>
      </c>
      <c r="O28" s="123" t="s">
        <v>163</v>
      </c>
      <c r="P28" s="123" t="s">
        <v>163</v>
      </c>
      <c r="Q28" s="123">
        <v>21.0</v>
      </c>
      <c r="R28" s="123">
        <v>28.0</v>
      </c>
      <c r="S28" s="123">
        <v>0.0</v>
      </c>
      <c r="T28" s="123">
        <v>50.0</v>
      </c>
      <c r="U28" s="123" t="s">
        <v>163</v>
      </c>
      <c r="V28" s="123" t="s">
        <v>163</v>
      </c>
      <c r="W28" s="123">
        <v>44.0</v>
      </c>
      <c r="X28" s="123">
        <v>0.0</v>
      </c>
      <c r="Y28" s="123">
        <v>49.0</v>
      </c>
      <c r="Z28" s="123">
        <v>40.0</v>
      </c>
      <c r="AA28" s="123">
        <v>39.0</v>
      </c>
      <c r="AB28" s="123" t="s">
        <v>163</v>
      </c>
      <c r="AC28" s="123">
        <v>57.0</v>
      </c>
      <c r="AD28" s="123">
        <v>0.0</v>
      </c>
      <c r="AE28" s="123" t="s">
        <v>163</v>
      </c>
      <c r="AF28" s="123">
        <v>23.0</v>
      </c>
      <c r="AG28" s="123" t="s">
        <v>163</v>
      </c>
      <c r="AH28" s="123" t="s">
        <v>163</v>
      </c>
      <c r="AI28" s="123" t="s">
        <v>163</v>
      </c>
      <c r="AJ28" s="123">
        <v>21.0</v>
      </c>
      <c r="AK28" s="123" t="s">
        <v>163</v>
      </c>
      <c r="AL28" s="123">
        <v>45.0</v>
      </c>
      <c r="AM28" s="123" t="s">
        <v>163</v>
      </c>
      <c r="AN28" s="123">
        <v>29.0</v>
      </c>
      <c r="AO28" s="123">
        <v>32.0</v>
      </c>
    </row>
    <row r="29">
      <c r="A29" s="213" t="s">
        <v>125</v>
      </c>
      <c r="B29" s="123" t="s">
        <v>163</v>
      </c>
      <c r="C29" s="123">
        <v>36.0</v>
      </c>
      <c r="D29" s="123" t="s">
        <v>163</v>
      </c>
      <c r="E29" s="123">
        <v>108.0</v>
      </c>
      <c r="F29" s="123" t="s">
        <v>163</v>
      </c>
      <c r="G29" s="123" t="s">
        <v>163</v>
      </c>
      <c r="H29" s="123">
        <v>41.0</v>
      </c>
      <c r="I29" s="123">
        <v>32.0</v>
      </c>
      <c r="J29" s="123" t="s">
        <v>163</v>
      </c>
      <c r="K29" s="123">
        <v>32.0</v>
      </c>
      <c r="L29" s="123">
        <v>0.0</v>
      </c>
      <c r="M29" s="123" t="s">
        <v>163</v>
      </c>
      <c r="N29" s="123">
        <v>0.0</v>
      </c>
      <c r="O29" s="123">
        <v>0.0</v>
      </c>
      <c r="P29" s="123">
        <v>0.0</v>
      </c>
      <c r="Q29" s="123">
        <v>38.0</v>
      </c>
      <c r="R29" s="123">
        <v>23.0</v>
      </c>
      <c r="S29" s="123" t="s">
        <v>163</v>
      </c>
      <c r="T29" s="123" t="s">
        <v>163</v>
      </c>
      <c r="U29" s="123" t="s">
        <v>163</v>
      </c>
      <c r="V29" s="123">
        <v>0.0</v>
      </c>
      <c r="W29" s="123" t="s">
        <v>163</v>
      </c>
      <c r="X29" s="123" t="s">
        <v>163</v>
      </c>
      <c r="Y29" s="123">
        <v>43.0</v>
      </c>
      <c r="Z29" s="123" t="s">
        <v>163</v>
      </c>
      <c r="AA29" s="123">
        <v>82.0</v>
      </c>
      <c r="AB29" s="123" t="s">
        <v>163</v>
      </c>
      <c r="AC29" s="123">
        <v>68.0</v>
      </c>
      <c r="AD29" s="123">
        <v>0.0</v>
      </c>
      <c r="AE29" s="123" t="s">
        <v>163</v>
      </c>
      <c r="AF29" s="123">
        <v>60.0</v>
      </c>
      <c r="AG29" s="123" t="s">
        <v>163</v>
      </c>
      <c r="AH29" s="123" t="s">
        <v>163</v>
      </c>
      <c r="AI29" s="123" t="s">
        <v>163</v>
      </c>
      <c r="AJ29" s="123">
        <v>25.0</v>
      </c>
      <c r="AK29" s="123">
        <v>0.0</v>
      </c>
      <c r="AL29" s="123">
        <v>31.0</v>
      </c>
      <c r="AM29" s="123" t="s">
        <v>163</v>
      </c>
      <c r="AN29" s="123">
        <v>39.0</v>
      </c>
      <c r="AO29" s="123">
        <v>39.0</v>
      </c>
    </row>
    <row r="30">
      <c r="A30" s="213" t="s">
        <v>126</v>
      </c>
      <c r="B30" s="123">
        <v>0.0</v>
      </c>
      <c r="C30" s="123">
        <v>36.0</v>
      </c>
      <c r="D30" s="123" t="s">
        <v>163</v>
      </c>
      <c r="E30" s="123">
        <v>175.0</v>
      </c>
      <c r="F30" s="123" t="s">
        <v>163</v>
      </c>
      <c r="G30" s="123">
        <v>32.0</v>
      </c>
      <c r="H30" s="123">
        <v>54.0</v>
      </c>
      <c r="I30" s="123">
        <v>29.0</v>
      </c>
      <c r="J30" s="123">
        <v>46.0</v>
      </c>
      <c r="K30" s="123">
        <v>42.0</v>
      </c>
      <c r="L30" s="123" t="s">
        <v>163</v>
      </c>
      <c r="M30" s="123">
        <v>0.0</v>
      </c>
      <c r="N30" s="123" t="s">
        <v>163</v>
      </c>
      <c r="O30" s="123" t="s">
        <v>163</v>
      </c>
      <c r="P30" s="123" t="s">
        <v>163</v>
      </c>
      <c r="Q30" s="123">
        <v>65.0</v>
      </c>
      <c r="R30" s="123" t="s">
        <v>163</v>
      </c>
      <c r="S30" s="123">
        <v>0.0</v>
      </c>
      <c r="T30" s="123" t="s">
        <v>163</v>
      </c>
      <c r="U30" s="123" t="s">
        <v>163</v>
      </c>
      <c r="V30" s="123" t="s">
        <v>163</v>
      </c>
      <c r="W30" s="123">
        <v>32.0</v>
      </c>
      <c r="X30" s="123">
        <v>19.0</v>
      </c>
      <c r="Y30" s="123">
        <v>102.0</v>
      </c>
      <c r="Z30" s="123">
        <v>57.0</v>
      </c>
      <c r="AA30" s="123">
        <v>130.0</v>
      </c>
      <c r="AB30" s="123" t="s">
        <v>163</v>
      </c>
      <c r="AC30" s="123">
        <v>94.0</v>
      </c>
      <c r="AD30" s="123">
        <v>0.0</v>
      </c>
      <c r="AE30" s="123" t="s">
        <v>163</v>
      </c>
      <c r="AF30" s="123">
        <v>42.0</v>
      </c>
      <c r="AG30" s="123" t="s">
        <v>163</v>
      </c>
      <c r="AH30" s="123" t="s">
        <v>163</v>
      </c>
      <c r="AI30" s="123">
        <v>86.0</v>
      </c>
      <c r="AJ30" s="123">
        <v>42.0</v>
      </c>
      <c r="AK30" s="123" t="s">
        <v>163</v>
      </c>
      <c r="AL30" s="123">
        <v>35.0</v>
      </c>
      <c r="AM30" s="123" t="s">
        <v>163</v>
      </c>
      <c r="AN30" s="123">
        <v>41.0</v>
      </c>
      <c r="AO30" s="123">
        <v>58.0</v>
      </c>
    </row>
    <row r="31">
      <c r="A31" s="214" t="s">
        <v>127</v>
      </c>
      <c r="B31" s="123" t="s">
        <v>163</v>
      </c>
      <c r="C31" s="123">
        <v>22.0</v>
      </c>
      <c r="D31" s="123">
        <v>43.0</v>
      </c>
      <c r="E31" s="123">
        <v>191.0</v>
      </c>
      <c r="F31" s="123" t="s">
        <v>163</v>
      </c>
      <c r="G31" s="123">
        <v>20.0</v>
      </c>
      <c r="H31" s="123">
        <v>94.0</v>
      </c>
      <c r="I31" s="123">
        <v>29.0</v>
      </c>
      <c r="J31" s="123">
        <v>54.0</v>
      </c>
      <c r="K31" s="123">
        <v>30.0</v>
      </c>
      <c r="L31" s="123" t="s">
        <v>163</v>
      </c>
      <c r="M31" s="123" t="s">
        <v>163</v>
      </c>
      <c r="N31" s="123" t="s">
        <v>163</v>
      </c>
      <c r="O31" s="123" t="s">
        <v>163</v>
      </c>
      <c r="P31" s="123" t="s">
        <v>163</v>
      </c>
      <c r="Q31" s="123">
        <v>41.0</v>
      </c>
      <c r="R31" s="123">
        <v>55.0</v>
      </c>
      <c r="S31" s="123">
        <v>0.0</v>
      </c>
      <c r="T31" s="123">
        <v>37.0</v>
      </c>
      <c r="U31" s="123">
        <v>0.0</v>
      </c>
      <c r="V31" s="123" t="s">
        <v>163</v>
      </c>
      <c r="W31" s="123">
        <v>28.0</v>
      </c>
      <c r="X31" s="123">
        <v>19.0</v>
      </c>
      <c r="Y31" s="123">
        <v>102.0</v>
      </c>
      <c r="Z31" s="123" t="s">
        <v>163</v>
      </c>
      <c r="AA31" s="123">
        <v>146.0</v>
      </c>
      <c r="AB31" s="123">
        <v>0.0</v>
      </c>
      <c r="AC31" s="123">
        <v>106.0</v>
      </c>
      <c r="AD31" s="123" t="s">
        <v>163</v>
      </c>
      <c r="AE31" s="123" t="s">
        <v>163</v>
      </c>
      <c r="AF31" s="123" t="s">
        <v>163</v>
      </c>
      <c r="AG31" s="123" t="s">
        <v>163</v>
      </c>
      <c r="AH31" s="123" t="s">
        <v>163</v>
      </c>
      <c r="AI31" s="123" t="s">
        <v>163</v>
      </c>
      <c r="AJ31" s="123">
        <v>44.0</v>
      </c>
      <c r="AK31" s="123" t="s">
        <v>163</v>
      </c>
      <c r="AL31" s="123">
        <v>73.0</v>
      </c>
      <c r="AM31" s="123" t="s">
        <v>163</v>
      </c>
      <c r="AN31" s="123">
        <v>51.0</v>
      </c>
      <c r="AO31" s="123">
        <v>63.0</v>
      </c>
    </row>
    <row r="32">
      <c r="A32" s="214" t="s">
        <v>128</v>
      </c>
      <c r="B32" s="123" t="s">
        <v>163</v>
      </c>
      <c r="C32" s="123">
        <v>22.0</v>
      </c>
      <c r="D32" s="123" t="s">
        <v>163</v>
      </c>
      <c r="E32" s="123">
        <v>196.0</v>
      </c>
      <c r="F32" s="123">
        <v>0.0</v>
      </c>
      <c r="G32" s="123">
        <v>23.0</v>
      </c>
      <c r="H32" s="123">
        <v>108.0</v>
      </c>
      <c r="I32" s="123">
        <v>32.0</v>
      </c>
      <c r="J32" s="123" t="s">
        <v>163</v>
      </c>
      <c r="K32" s="123">
        <v>40.0</v>
      </c>
      <c r="L32" s="123" t="s">
        <v>163</v>
      </c>
      <c r="M32" s="123" t="s">
        <v>163</v>
      </c>
      <c r="N32" s="123" t="s">
        <v>163</v>
      </c>
      <c r="O32" s="123" t="s">
        <v>163</v>
      </c>
      <c r="P32" s="123">
        <v>0.0</v>
      </c>
      <c r="Q32" s="123">
        <v>58.0</v>
      </c>
      <c r="R32" s="123">
        <v>65.0</v>
      </c>
      <c r="S32" s="123">
        <v>0.0</v>
      </c>
      <c r="T32" s="123" t="s">
        <v>163</v>
      </c>
      <c r="U32" s="123" t="s">
        <v>163</v>
      </c>
      <c r="V32" s="123" t="s">
        <v>163</v>
      </c>
      <c r="W32" s="123">
        <v>20.0</v>
      </c>
      <c r="X32" s="123">
        <v>27.0</v>
      </c>
      <c r="Y32" s="123">
        <v>83.0</v>
      </c>
      <c r="Z32" s="123" t="s">
        <v>163</v>
      </c>
      <c r="AA32" s="123">
        <v>116.0</v>
      </c>
      <c r="AB32" s="123" t="s">
        <v>163</v>
      </c>
      <c r="AC32" s="123">
        <v>124.0</v>
      </c>
      <c r="AD32" s="123" t="s">
        <v>163</v>
      </c>
      <c r="AE32" s="123">
        <v>47.0</v>
      </c>
      <c r="AF32" s="123">
        <v>32.0</v>
      </c>
      <c r="AG32" s="123" t="s">
        <v>163</v>
      </c>
      <c r="AH32" s="123">
        <v>0.0</v>
      </c>
      <c r="AI32" s="123">
        <v>0.0</v>
      </c>
      <c r="AJ32" s="123">
        <v>37.0</v>
      </c>
      <c r="AK32" s="123">
        <v>0.0</v>
      </c>
      <c r="AL32" s="123">
        <v>41.0</v>
      </c>
      <c r="AM32" s="123">
        <v>22.0</v>
      </c>
      <c r="AN32" s="123">
        <v>51.0</v>
      </c>
      <c r="AO32" s="123">
        <v>62.0</v>
      </c>
    </row>
    <row r="33">
      <c r="A33" s="214" t="s">
        <v>129</v>
      </c>
      <c r="B33" s="123" t="s">
        <v>163</v>
      </c>
      <c r="C33" s="123">
        <v>22.0</v>
      </c>
      <c r="D33" s="123" t="s">
        <v>163</v>
      </c>
      <c r="E33" s="123">
        <v>175.0</v>
      </c>
      <c r="F33" s="123" t="s">
        <v>163</v>
      </c>
      <c r="G33" s="123">
        <v>17.0</v>
      </c>
      <c r="H33" s="123">
        <v>42.0</v>
      </c>
      <c r="I33" s="123">
        <v>40.0</v>
      </c>
      <c r="J33" s="123">
        <v>38.0</v>
      </c>
      <c r="K33" s="123">
        <v>27.0</v>
      </c>
      <c r="L33" s="123" t="s">
        <v>163</v>
      </c>
      <c r="M33" s="123" t="s">
        <v>163</v>
      </c>
      <c r="N33" s="123" t="s">
        <v>163</v>
      </c>
      <c r="O33" s="123">
        <v>0.0</v>
      </c>
      <c r="P33" s="123" t="s">
        <v>163</v>
      </c>
      <c r="Q33" s="123">
        <v>38.0</v>
      </c>
      <c r="R33" s="123">
        <v>23.0</v>
      </c>
      <c r="S33" s="123">
        <v>0.0</v>
      </c>
      <c r="T33" s="123">
        <v>0.0</v>
      </c>
      <c r="U33" s="123">
        <v>109.0</v>
      </c>
      <c r="V33" s="123" t="s">
        <v>163</v>
      </c>
      <c r="W33" s="123">
        <v>20.0</v>
      </c>
      <c r="X33" s="123">
        <v>42.0</v>
      </c>
      <c r="Y33" s="123">
        <v>62.0</v>
      </c>
      <c r="Z33" s="123">
        <v>0.0</v>
      </c>
      <c r="AA33" s="123">
        <v>78.0</v>
      </c>
      <c r="AB33" s="123" t="s">
        <v>163</v>
      </c>
      <c r="AC33" s="123">
        <v>123.0</v>
      </c>
      <c r="AD33" s="123" t="s">
        <v>163</v>
      </c>
      <c r="AE33" s="123" t="s">
        <v>163</v>
      </c>
      <c r="AF33" s="123">
        <v>51.0</v>
      </c>
      <c r="AG33" s="123">
        <v>55.0</v>
      </c>
      <c r="AH33" s="123" t="s">
        <v>163</v>
      </c>
      <c r="AI33" s="123">
        <v>0.0</v>
      </c>
      <c r="AJ33" s="123">
        <v>25.0</v>
      </c>
      <c r="AK33" s="123" t="s">
        <v>163</v>
      </c>
      <c r="AL33" s="123">
        <v>52.0</v>
      </c>
      <c r="AM33" s="123">
        <v>0.0</v>
      </c>
      <c r="AN33" s="123">
        <v>51.0</v>
      </c>
      <c r="AO33" s="123">
        <v>54.0</v>
      </c>
    </row>
    <row r="34">
      <c r="A34" s="214" t="s">
        <v>130</v>
      </c>
      <c r="B34" s="123">
        <v>0.0</v>
      </c>
      <c r="C34" s="123">
        <v>67.0</v>
      </c>
      <c r="D34" s="123" t="s">
        <v>163</v>
      </c>
      <c r="E34" s="123">
        <v>181.0</v>
      </c>
      <c r="F34" s="123">
        <v>0.0</v>
      </c>
      <c r="G34" s="123">
        <v>26.0</v>
      </c>
      <c r="H34" s="123">
        <v>59.0</v>
      </c>
      <c r="I34" s="123">
        <v>61.0</v>
      </c>
      <c r="J34" s="123">
        <v>69.0</v>
      </c>
      <c r="K34" s="123">
        <v>27.0</v>
      </c>
      <c r="L34" s="123" t="s">
        <v>163</v>
      </c>
      <c r="M34" s="123" t="s">
        <v>163</v>
      </c>
      <c r="N34" s="123" t="s">
        <v>163</v>
      </c>
      <c r="O34" s="123" t="s">
        <v>163</v>
      </c>
      <c r="P34" s="123" t="s">
        <v>163</v>
      </c>
      <c r="Q34" s="123">
        <v>75.0</v>
      </c>
      <c r="R34" s="123">
        <v>42.0</v>
      </c>
      <c r="S34" s="123">
        <v>0.0</v>
      </c>
      <c r="T34" s="123">
        <v>44.0</v>
      </c>
      <c r="U34" s="123">
        <v>58.0</v>
      </c>
      <c r="V34" s="123">
        <v>0.0</v>
      </c>
      <c r="W34" s="123" t="s">
        <v>163</v>
      </c>
      <c r="X34" s="123">
        <v>84.0</v>
      </c>
      <c r="Y34" s="123">
        <v>62.0</v>
      </c>
      <c r="Z34" s="123" t="s">
        <v>163</v>
      </c>
      <c r="AA34" s="123">
        <v>77.0</v>
      </c>
      <c r="AB34" s="123" t="s">
        <v>163</v>
      </c>
      <c r="AC34" s="123">
        <v>121.0</v>
      </c>
      <c r="AD34" s="123">
        <v>0.0</v>
      </c>
      <c r="AE34" s="123" t="s">
        <v>163</v>
      </c>
      <c r="AF34" s="123">
        <v>42.0</v>
      </c>
      <c r="AG34" s="123">
        <v>23.0</v>
      </c>
      <c r="AH34" s="123">
        <v>44.0</v>
      </c>
      <c r="AI34" s="123" t="s">
        <v>163</v>
      </c>
      <c r="AJ34" s="123">
        <v>43.0</v>
      </c>
      <c r="AK34" s="123" t="s">
        <v>163</v>
      </c>
      <c r="AL34" s="123" t="s">
        <v>163</v>
      </c>
      <c r="AM34" s="123" t="s">
        <v>163</v>
      </c>
      <c r="AN34" s="123">
        <v>39.0</v>
      </c>
      <c r="AO34" s="123">
        <v>59.0</v>
      </c>
    </row>
    <row r="35">
      <c r="A35" s="214" t="s">
        <v>131</v>
      </c>
      <c r="B35" s="123" t="s">
        <v>163</v>
      </c>
      <c r="C35" s="123">
        <v>31.0</v>
      </c>
      <c r="D35" s="123" t="s">
        <v>163</v>
      </c>
      <c r="E35" s="123">
        <v>114.0</v>
      </c>
      <c r="F35" s="123" t="s">
        <v>163</v>
      </c>
      <c r="G35" s="123">
        <v>26.0</v>
      </c>
      <c r="H35" s="123">
        <v>50.0</v>
      </c>
      <c r="I35" s="123">
        <v>32.0</v>
      </c>
      <c r="J35" s="123">
        <v>61.0</v>
      </c>
      <c r="K35" s="123">
        <v>11.0</v>
      </c>
      <c r="L35" s="123">
        <v>0.0</v>
      </c>
      <c r="M35" s="123" t="s">
        <v>163</v>
      </c>
      <c r="N35" s="123" t="s">
        <v>163</v>
      </c>
      <c r="O35" s="123" t="s">
        <v>163</v>
      </c>
      <c r="P35" s="123">
        <v>0.0</v>
      </c>
      <c r="Q35" s="123">
        <v>48.0</v>
      </c>
      <c r="R35" s="123">
        <v>37.0</v>
      </c>
      <c r="S35" s="123">
        <v>0.0</v>
      </c>
      <c r="T35" s="123" t="s">
        <v>163</v>
      </c>
      <c r="U35" s="123">
        <v>39.0</v>
      </c>
      <c r="V35" s="123">
        <v>0.0</v>
      </c>
      <c r="W35" s="123">
        <v>20.0</v>
      </c>
      <c r="X35" s="123">
        <v>27.0</v>
      </c>
      <c r="Y35" s="123">
        <v>49.0</v>
      </c>
      <c r="Z35" s="123" t="s">
        <v>163</v>
      </c>
      <c r="AA35" s="123">
        <v>53.0</v>
      </c>
      <c r="AB35" s="123">
        <v>29.0</v>
      </c>
      <c r="AC35" s="123">
        <v>106.0</v>
      </c>
      <c r="AD35" s="123" t="s">
        <v>163</v>
      </c>
      <c r="AE35" s="123" t="s">
        <v>163</v>
      </c>
      <c r="AF35" s="123">
        <v>37.0</v>
      </c>
      <c r="AG35" s="123" t="s">
        <v>163</v>
      </c>
      <c r="AH35" s="123">
        <v>32.0</v>
      </c>
      <c r="AI35" s="123" t="s">
        <v>163</v>
      </c>
      <c r="AJ35" s="123">
        <v>19.0</v>
      </c>
      <c r="AK35" s="123" t="s">
        <v>163</v>
      </c>
      <c r="AL35" s="123">
        <v>21.0</v>
      </c>
      <c r="AM35" s="123" t="s">
        <v>163</v>
      </c>
      <c r="AN35" s="123">
        <v>43.0</v>
      </c>
      <c r="AO35" s="123">
        <v>46.0</v>
      </c>
    </row>
    <row r="36">
      <c r="A36" s="214" t="s">
        <v>132</v>
      </c>
      <c r="B36" s="123" t="s">
        <v>163</v>
      </c>
      <c r="C36" s="123" t="s">
        <v>163</v>
      </c>
      <c r="D36" s="123" t="s">
        <v>163</v>
      </c>
      <c r="E36" s="123" t="s">
        <v>163</v>
      </c>
      <c r="F36" s="123">
        <v>0.0</v>
      </c>
      <c r="G36" s="123" t="s">
        <v>163</v>
      </c>
      <c r="H36" s="123">
        <v>48.0</v>
      </c>
      <c r="I36" s="123">
        <v>43.0</v>
      </c>
      <c r="J36" s="123" t="s">
        <v>163</v>
      </c>
      <c r="K36" s="123">
        <v>21.0</v>
      </c>
      <c r="L36" s="123">
        <v>0.0</v>
      </c>
      <c r="M36" s="123" t="s">
        <v>163</v>
      </c>
      <c r="N36" s="123" t="s">
        <v>163</v>
      </c>
      <c r="O36" s="123">
        <v>0.0</v>
      </c>
      <c r="P36" s="123" t="s">
        <v>163</v>
      </c>
      <c r="Q36" s="123">
        <v>51.0</v>
      </c>
      <c r="R36" s="123">
        <v>28.0</v>
      </c>
      <c r="S36" s="123">
        <v>0.0</v>
      </c>
      <c r="T36" s="123" t="s">
        <v>163</v>
      </c>
      <c r="U36" s="123" t="s">
        <v>163</v>
      </c>
      <c r="V36" s="123">
        <v>0.0</v>
      </c>
      <c r="W36" s="123">
        <v>24.0</v>
      </c>
      <c r="X36" s="123">
        <v>23.0</v>
      </c>
      <c r="Y36" s="123">
        <v>89.0</v>
      </c>
      <c r="Z36" s="123" t="s">
        <v>163</v>
      </c>
      <c r="AA36" s="123">
        <v>50.0</v>
      </c>
      <c r="AB36" s="123" t="s">
        <v>163</v>
      </c>
      <c r="AC36" s="123">
        <v>99.0</v>
      </c>
      <c r="AD36" s="123">
        <v>0.0</v>
      </c>
      <c r="AE36" s="123" t="s">
        <v>163</v>
      </c>
      <c r="AF36" s="123">
        <v>28.0</v>
      </c>
      <c r="AG36" s="123">
        <v>0.0</v>
      </c>
      <c r="AH36" s="123">
        <v>38.0</v>
      </c>
      <c r="AI36" s="123" t="s">
        <v>163</v>
      </c>
      <c r="AJ36" s="123">
        <v>33.0</v>
      </c>
      <c r="AK36" s="123">
        <v>0.0</v>
      </c>
      <c r="AL36" s="123" t="s">
        <v>163</v>
      </c>
      <c r="AM36" s="123" t="s">
        <v>163</v>
      </c>
      <c r="AN36" s="123">
        <v>29.0</v>
      </c>
      <c r="AO36" s="123">
        <v>43.0</v>
      </c>
    </row>
    <row r="37">
      <c r="A37" s="214" t="s">
        <v>133</v>
      </c>
      <c r="B37" s="123">
        <v>31.0</v>
      </c>
      <c r="C37" s="123">
        <v>45.0</v>
      </c>
      <c r="D37" s="123">
        <v>43.0</v>
      </c>
      <c r="E37" s="123">
        <v>88.0</v>
      </c>
      <c r="F37" s="123" t="s">
        <v>163</v>
      </c>
      <c r="G37" s="123" t="s">
        <v>163</v>
      </c>
      <c r="H37" s="123">
        <v>38.0</v>
      </c>
      <c r="I37" s="123">
        <v>84.0</v>
      </c>
      <c r="J37" s="123" t="s">
        <v>163</v>
      </c>
      <c r="K37" s="123">
        <v>34.0</v>
      </c>
      <c r="L37" s="123">
        <v>0.0</v>
      </c>
      <c r="M37" s="123" t="s">
        <v>163</v>
      </c>
      <c r="N37" s="123">
        <v>0.0</v>
      </c>
      <c r="O37" s="123">
        <v>0.0</v>
      </c>
      <c r="P37" s="123">
        <v>0.0</v>
      </c>
      <c r="Q37" s="123">
        <v>31.0</v>
      </c>
      <c r="R37" s="123" t="s">
        <v>163</v>
      </c>
      <c r="S37" s="123">
        <v>0.0</v>
      </c>
      <c r="T37" s="123" t="s">
        <v>163</v>
      </c>
      <c r="U37" s="123">
        <v>32.0</v>
      </c>
      <c r="V37" s="123">
        <v>0.0</v>
      </c>
      <c r="W37" s="123">
        <v>52.0</v>
      </c>
      <c r="X37" s="123">
        <v>23.0</v>
      </c>
      <c r="Y37" s="123">
        <v>34.0</v>
      </c>
      <c r="Z37" s="123" t="s">
        <v>163</v>
      </c>
      <c r="AA37" s="123">
        <v>77.0</v>
      </c>
      <c r="AB37" s="123" t="s">
        <v>163</v>
      </c>
      <c r="AC37" s="123">
        <v>80.0</v>
      </c>
      <c r="AD37" s="123">
        <v>0.0</v>
      </c>
      <c r="AE37" s="123" t="s">
        <v>163</v>
      </c>
      <c r="AF37" s="123">
        <v>28.0</v>
      </c>
      <c r="AG37" s="123" t="s">
        <v>163</v>
      </c>
      <c r="AH37" s="123" t="s">
        <v>163</v>
      </c>
      <c r="AI37" s="123">
        <v>0.0</v>
      </c>
      <c r="AJ37" s="123">
        <v>27.0</v>
      </c>
      <c r="AK37" s="123" t="s">
        <v>163</v>
      </c>
      <c r="AL37" s="123">
        <v>38.0</v>
      </c>
      <c r="AM37" s="123">
        <v>27.0</v>
      </c>
      <c r="AN37" s="123">
        <v>39.0</v>
      </c>
      <c r="AO37" s="123">
        <v>43.0</v>
      </c>
    </row>
    <row r="38">
      <c r="A38" s="214" t="s">
        <v>134</v>
      </c>
      <c r="B38" s="123">
        <v>31.0</v>
      </c>
      <c r="C38" s="123">
        <v>36.0</v>
      </c>
      <c r="D38" s="123">
        <v>61.0</v>
      </c>
      <c r="E38" s="123">
        <v>108.0</v>
      </c>
      <c r="F38" s="123" t="s">
        <v>163</v>
      </c>
      <c r="G38" s="123">
        <v>61.0</v>
      </c>
      <c r="H38" s="123">
        <v>47.0</v>
      </c>
      <c r="I38" s="123">
        <v>43.0</v>
      </c>
      <c r="J38" s="123" t="s">
        <v>163</v>
      </c>
      <c r="K38" s="123">
        <v>19.0</v>
      </c>
      <c r="L38" s="123" t="s">
        <v>163</v>
      </c>
      <c r="M38" s="123">
        <v>0.0</v>
      </c>
      <c r="N38" s="123">
        <v>0.0</v>
      </c>
      <c r="O38" s="123" t="s">
        <v>163</v>
      </c>
      <c r="P38" s="123" t="s">
        <v>163</v>
      </c>
      <c r="Q38" s="123">
        <v>72.0</v>
      </c>
      <c r="R38" s="123" t="s">
        <v>163</v>
      </c>
      <c r="S38" s="123">
        <v>0.0</v>
      </c>
      <c r="T38" s="123">
        <v>0.0</v>
      </c>
      <c r="U38" s="123">
        <v>212.0</v>
      </c>
      <c r="V38" s="123">
        <v>0.0</v>
      </c>
      <c r="W38" s="123">
        <v>36.0</v>
      </c>
      <c r="X38" s="123">
        <v>19.0</v>
      </c>
      <c r="Y38" s="123">
        <v>65.0</v>
      </c>
      <c r="Z38" s="123">
        <v>49.0</v>
      </c>
      <c r="AA38" s="123">
        <v>56.0</v>
      </c>
      <c r="AB38" s="123" t="s">
        <v>163</v>
      </c>
      <c r="AC38" s="123">
        <v>154.0</v>
      </c>
      <c r="AD38" s="123" t="s">
        <v>163</v>
      </c>
      <c r="AE38" s="123" t="s">
        <v>163</v>
      </c>
      <c r="AF38" s="123">
        <v>51.0</v>
      </c>
      <c r="AG38" s="123">
        <v>29.0</v>
      </c>
      <c r="AH38" s="123">
        <v>32.0</v>
      </c>
      <c r="AI38" s="123" t="s">
        <v>163</v>
      </c>
      <c r="AJ38" s="123">
        <v>39.0</v>
      </c>
      <c r="AK38" s="123" t="s">
        <v>163</v>
      </c>
      <c r="AL38" s="123">
        <v>35.0</v>
      </c>
      <c r="AM38" s="123">
        <v>40.0</v>
      </c>
      <c r="AN38" s="123">
        <v>36.0</v>
      </c>
      <c r="AO38" s="123">
        <v>63.0</v>
      </c>
    </row>
    <row r="39">
      <c r="A39" s="214" t="s">
        <v>135</v>
      </c>
      <c r="B39" s="123" t="s">
        <v>163</v>
      </c>
      <c r="C39" s="123" t="s">
        <v>163</v>
      </c>
      <c r="D39" s="123">
        <v>43.0</v>
      </c>
      <c r="E39" s="123">
        <v>175.0</v>
      </c>
      <c r="F39" s="123" t="s">
        <v>163</v>
      </c>
      <c r="G39" s="123">
        <v>17.0</v>
      </c>
      <c r="H39" s="123">
        <v>49.0</v>
      </c>
      <c r="I39" s="123">
        <v>40.0</v>
      </c>
      <c r="J39" s="123" t="s">
        <v>163</v>
      </c>
      <c r="K39" s="123">
        <v>17.0</v>
      </c>
      <c r="L39" s="123" t="s">
        <v>163</v>
      </c>
      <c r="M39" s="123">
        <v>0.0</v>
      </c>
      <c r="N39" s="123" t="s">
        <v>163</v>
      </c>
      <c r="O39" s="123" t="s">
        <v>163</v>
      </c>
      <c r="P39" s="123" t="s">
        <v>163</v>
      </c>
      <c r="Q39" s="123">
        <v>92.0</v>
      </c>
      <c r="R39" s="123">
        <v>65.0</v>
      </c>
      <c r="S39" s="123">
        <v>0.0</v>
      </c>
      <c r="T39" s="123" t="s">
        <v>163</v>
      </c>
      <c r="U39" s="123">
        <v>199.0</v>
      </c>
      <c r="V39" s="123">
        <v>0.0</v>
      </c>
      <c r="W39" s="123" t="s">
        <v>163</v>
      </c>
      <c r="X39" s="123">
        <v>19.0</v>
      </c>
      <c r="Y39" s="123">
        <v>62.0</v>
      </c>
      <c r="Z39" s="123">
        <v>73.0</v>
      </c>
      <c r="AA39" s="123">
        <v>107.0</v>
      </c>
      <c r="AB39" s="123">
        <v>0.0</v>
      </c>
      <c r="AC39" s="123">
        <v>138.0</v>
      </c>
      <c r="AD39" s="123" t="s">
        <v>163</v>
      </c>
      <c r="AE39" s="123" t="s">
        <v>163</v>
      </c>
      <c r="AF39" s="123">
        <v>51.0</v>
      </c>
      <c r="AG39" s="123" t="s">
        <v>163</v>
      </c>
      <c r="AH39" s="123" t="s">
        <v>163</v>
      </c>
      <c r="AI39" s="123">
        <v>67.0</v>
      </c>
      <c r="AJ39" s="123">
        <v>28.0</v>
      </c>
      <c r="AK39" s="123" t="s">
        <v>163</v>
      </c>
      <c r="AL39" s="123">
        <v>31.0</v>
      </c>
      <c r="AM39" s="123">
        <v>40.0</v>
      </c>
      <c r="AN39" s="123">
        <v>26.0</v>
      </c>
      <c r="AO39" s="123">
        <v>62.0</v>
      </c>
    </row>
    <row r="40">
      <c r="A40" s="214" t="s">
        <v>136</v>
      </c>
      <c r="B40" s="123" t="s">
        <v>163</v>
      </c>
      <c r="C40" s="123">
        <v>40.0</v>
      </c>
      <c r="D40" s="123">
        <v>30.0</v>
      </c>
      <c r="E40" s="123">
        <v>160.0</v>
      </c>
      <c r="F40" s="123" t="s">
        <v>163</v>
      </c>
      <c r="G40" s="123">
        <v>40.0</v>
      </c>
      <c r="H40" s="123">
        <v>78.0</v>
      </c>
      <c r="I40" s="123">
        <v>63.0</v>
      </c>
      <c r="J40" s="123">
        <v>84.0</v>
      </c>
      <c r="K40" s="123">
        <v>67.0</v>
      </c>
      <c r="L40" s="123" t="s">
        <v>163</v>
      </c>
      <c r="M40" s="123" t="s">
        <v>163</v>
      </c>
      <c r="N40" s="123" t="s">
        <v>163</v>
      </c>
      <c r="O40" s="123" t="s">
        <v>163</v>
      </c>
      <c r="P40" s="123" t="s">
        <v>163</v>
      </c>
      <c r="Q40" s="123">
        <v>92.0</v>
      </c>
      <c r="R40" s="123">
        <v>74.0</v>
      </c>
      <c r="S40" s="123" t="s">
        <v>163</v>
      </c>
      <c r="T40" s="123" t="s">
        <v>163</v>
      </c>
      <c r="U40" s="123">
        <v>270.0</v>
      </c>
      <c r="V40" s="123">
        <v>0.0</v>
      </c>
      <c r="W40" s="123" t="s">
        <v>163</v>
      </c>
      <c r="X40" s="123">
        <v>57.0</v>
      </c>
      <c r="Y40" s="123">
        <v>108.0</v>
      </c>
      <c r="Z40" s="123">
        <v>49.0</v>
      </c>
      <c r="AA40" s="123">
        <v>159.0</v>
      </c>
      <c r="AB40" s="123">
        <v>29.0</v>
      </c>
      <c r="AC40" s="123">
        <v>159.0</v>
      </c>
      <c r="AD40" s="123" t="s">
        <v>163</v>
      </c>
      <c r="AE40" s="123" t="s">
        <v>163</v>
      </c>
      <c r="AF40" s="123">
        <v>65.0</v>
      </c>
      <c r="AG40" s="123">
        <v>59.0</v>
      </c>
      <c r="AH40" s="123" t="s">
        <v>163</v>
      </c>
      <c r="AI40" s="123">
        <v>0.0</v>
      </c>
      <c r="AJ40" s="123">
        <v>48.0</v>
      </c>
      <c r="AK40" s="123" t="s">
        <v>163</v>
      </c>
      <c r="AL40" s="123">
        <v>45.0</v>
      </c>
      <c r="AM40" s="123">
        <v>62.0</v>
      </c>
      <c r="AN40" s="123">
        <v>65.0</v>
      </c>
      <c r="AO40" s="123">
        <v>85.0</v>
      </c>
    </row>
    <row r="41">
      <c r="A41" s="214" t="s">
        <v>137</v>
      </c>
      <c r="B41" s="123">
        <v>43.0</v>
      </c>
      <c r="C41" s="123">
        <v>54.0</v>
      </c>
      <c r="D41" s="123">
        <v>49.0</v>
      </c>
      <c r="E41" s="123">
        <v>237.0</v>
      </c>
      <c r="F41" s="123" t="s">
        <v>163</v>
      </c>
      <c r="G41" s="123">
        <v>58.0</v>
      </c>
      <c r="H41" s="123">
        <v>119.0</v>
      </c>
      <c r="I41" s="123">
        <v>89.0</v>
      </c>
      <c r="J41" s="123">
        <v>61.0</v>
      </c>
      <c r="K41" s="123">
        <v>70.0</v>
      </c>
      <c r="L41" s="123">
        <v>74.0</v>
      </c>
      <c r="M41" s="123">
        <v>149.0</v>
      </c>
      <c r="N41" s="123" t="s">
        <v>163</v>
      </c>
      <c r="O41" s="123" t="s">
        <v>163</v>
      </c>
      <c r="P41" s="123">
        <v>109.0</v>
      </c>
      <c r="Q41" s="123">
        <v>75.0</v>
      </c>
      <c r="R41" s="123">
        <v>97.0</v>
      </c>
      <c r="S41" s="123" t="s">
        <v>163</v>
      </c>
      <c r="T41" s="123" t="s">
        <v>163</v>
      </c>
      <c r="U41" s="123">
        <v>617.0</v>
      </c>
      <c r="V41" s="123">
        <v>0.0</v>
      </c>
      <c r="W41" s="123">
        <v>32.0</v>
      </c>
      <c r="X41" s="123">
        <v>103.0</v>
      </c>
      <c r="Y41" s="123">
        <v>139.0</v>
      </c>
      <c r="Z41" s="123">
        <v>73.0</v>
      </c>
      <c r="AA41" s="123">
        <v>170.0</v>
      </c>
      <c r="AB41" s="123">
        <v>29.0</v>
      </c>
      <c r="AC41" s="123">
        <v>159.0</v>
      </c>
      <c r="AD41" s="123" t="s">
        <v>163</v>
      </c>
      <c r="AE41" s="123" t="s">
        <v>163</v>
      </c>
      <c r="AF41" s="123">
        <v>65.0</v>
      </c>
      <c r="AG41" s="123">
        <v>166.0</v>
      </c>
      <c r="AH41" s="123">
        <v>107.0</v>
      </c>
      <c r="AI41" s="123">
        <v>57.0</v>
      </c>
      <c r="AJ41" s="123">
        <v>79.0</v>
      </c>
      <c r="AK41" s="123">
        <v>81.0</v>
      </c>
      <c r="AL41" s="123">
        <v>86.0</v>
      </c>
      <c r="AM41" s="123">
        <v>97.0</v>
      </c>
      <c r="AN41" s="123">
        <v>91.0</v>
      </c>
      <c r="AO41" s="123">
        <v>113.0</v>
      </c>
    </row>
    <row r="42">
      <c r="A42" s="214" t="s">
        <v>138</v>
      </c>
      <c r="B42" s="123">
        <v>37.0</v>
      </c>
      <c r="C42" s="123">
        <v>108.0</v>
      </c>
      <c r="D42" s="123">
        <v>109.0</v>
      </c>
      <c r="E42" s="123">
        <v>377.0</v>
      </c>
      <c r="F42" s="123" t="s">
        <v>163</v>
      </c>
      <c r="G42" s="123">
        <v>90.0</v>
      </c>
      <c r="H42" s="123">
        <v>165.0</v>
      </c>
      <c r="I42" s="123">
        <v>124.0</v>
      </c>
      <c r="J42" s="123">
        <v>92.0</v>
      </c>
      <c r="K42" s="123">
        <v>101.0</v>
      </c>
      <c r="L42" s="123" t="s">
        <v>163</v>
      </c>
      <c r="M42" s="123" t="s">
        <v>163</v>
      </c>
      <c r="N42" s="123" t="s">
        <v>163</v>
      </c>
      <c r="O42" s="123">
        <v>0.0</v>
      </c>
      <c r="P42" s="123" t="s">
        <v>163</v>
      </c>
      <c r="Q42" s="123">
        <v>168.0</v>
      </c>
      <c r="R42" s="123">
        <v>102.0</v>
      </c>
      <c r="S42" s="123" t="s">
        <v>163</v>
      </c>
      <c r="T42" s="123" t="s">
        <v>163</v>
      </c>
      <c r="U42" s="123">
        <v>244.0</v>
      </c>
      <c r="V42" s="123" t="s">
        <v>163</v>
      </c>
      <c r="W42" s="123">
        <v>52.0</v>
      </c>
      <c r="X42" s="123">
        <v>65.0</v>
      </c>
      <c r="Y42" s="123">
        <v>182.0</v>
      </c>
      <c r="Z42" s="123">
        <v>154.0</v>
      </c>
      <c r="AA42" s="123">
        <v>230.0</v>
      </c>
      <c r="AB42" s="123">
        <v>69.0</v>
      </c>
      <c r="AC42" s="123">
        <v>206.0</v>
      </c>
      <c r="AD42" s="123" t="s">
        <v>163</v>
      </c>
      <c r="AE42" s="123" t="s">
        <v>163</v>
      </c>
      <c r="AF42" s="123">
        <v>125.0</v>
      </c>
      <c r="AG42" s="123">
        <v>111.0</v>
      </c>
      <c r="AH42" s="123">
        <v>95.0</v>
      </c>
      <c r="AI42" s="123">
        <v>48.0</v>
      </c>
      <c r="AJ42" s="123">
        <v>68.0</v>
      </c>
      <c r="AK42" s="123">
        <v>194.0</v>
      </c>
      <c r="AL42" s="123">
        <v>90.0</v>
      </c>
      <c r="AM42" s="123">
        <v>62.0</v>
      </c>
      <c r="AN42" s="123">
        <v>118.0</v>
      </c>
      <c r="AO42" s="123">
        <v>137.0</v>
      </c>
    </row>
    <row r="43">
      <c r="A43" s="214" t="s">
        <v>139</v>
      </c>
      <c r="B43" s="123">
        <v>130.0</v>
      </c>
      <c r="C43" s="123">
        <v>103.0</v>
      </c>
      <c r="D43" s="123">
        <v>115.0</v>
      </c>
      <c r="E43" s="123">
        <v>490.0</v>
      </c>
      <c r="F43" s="123">
        <v>90.0</v>
      </c>
      <c r="G43" s="123">
        <v>153.0</v>
      </c>
      <c r="H43" s="123">
        <v>278.0</v>
      </c>
      <c r="I43" s="123">
        <v>153.0</v>
      </c>
      <c r="J43" s="123">
        <v>283.0</v>
      </c>
      <c r="K43" s="123">
        <v>156.0</v>
      </c>
      <c r="L43" s="123" t="s">
        <v>163</v>
      </c>
      <c r="M43" s="123" t="s">
        <v>163</v>
      </c>
      <c r="N43" s="123">
        <v>189.0</v>
      </c>
      <c r="O43" s="123" t="s">
        <v>163</v>
      </c>
      <c r="P43" s="123">
        <v>0.0</v>
      </c>
      <c r="Q43" s="123">
        <v>277.0</v>
      </c>
      <c r="R43" s="123">
        <v>189.0</v>
      </c>
      <c r="S43" s="123" t="s">
        <v>163</v>
      </c>
      <c r="T43" s="123">
        <v>62.0</v>
      </c>
      <c r="U43" s="123">
        <v>244.0</v>
      </c>
      <c r="V43" s="123">
        <v>0.0</v>
      </c>
      <c r="W43" s="123">
        <v>81.0</v>
      </c>
      <c r="X43" s="123">
        <v>111.0</v>
      </c>
      <c r="Y43" s="123">
        <v>265.0</v>
      </c>
      <c r="Z43" s="123">
        <v>178.0</v>
      </c>
      <c r="AA43" s="123">
        <v>360.0</v>
      </c>
      <c r="AB43" s="123">
        <v>57.0</v>
      </c>
      <c r="AC43" s="123">
        <v>362.0</v>
      </c>
      <c r="AD43" s="123">
        <v>118.0</v>
      </c>
      <c r="AE43" s="123">
        <v>123.0</v>
      </c>
      <c r="AF43" s="123">
        <v>180.0</v>
      </c>
      <c r="AG43" s="123">
        <v>78.0</v>
      </c>
      <c r="AH43" s="123">
        <v>95.0</v>
      </c>
      <c r="AI43" s="123">
        <v>114.0</v>
      </c>
      <c r="AJ43" s="123">
        <v>152.0</v>
      </c>
      <c r="AK43" s="123">
        <v>275.0</v>
      </c>
      <c r="AL43" s="123">
        <v>183.0</v>
      </c>
      <c r="AM43" s="123">
        <v>49.0</v>
      </c>
      <c r="AN43" s="123">
        <v>154.0</v>
      </c>
      <c r="AO43" s="123">
        <v>222.0</v>
      </c>
    </row>
    <row r="44">
      <c r="A44" s="214" t="s">
        <v>140</v>
      </c>
      <c r="B44" s="123">
        <v>192.0</v>
      </c>
      <c r="C44" s="123">
        <v>175.0</v>
      </c>
      <c r="D44" s="123">
        <v>170.0</v>
      </c>
      <c r="E44" s="123">
        <v>831.0</v>
      </c>
      <c r="F44" s="123">
        <v>64.0</v>
      </c>
      <c r="G44" s="123">
        <v>142.0</v>
      </c>
      <c r="H44" s="123">
        <v>326.0</v>
      </c>
      <c r="I44" s="123">
        <v>240.0</v>
      </c>
      <c r="J44" s="123">
        <v>245.0</v>
      </c>
      <c r="K44" s="123">
        <v>202.0</v>
      </c>
      <c r="L44" s="123" t="s">
        <v>163</v>
      </c>
      <c r="M44" s="123">
        <v>277.0</v>
      </c>
      <c r="N44" s="123">
        <v>189.0</v>
      </c>
      <c r="O44" s="123">
        <v>99.0</v>
      </c>
      <c r="P44" s="123">
        <v>109.0</v>
      </c>
      <c r="Q44" s="123">
        <v>359.0</v>
      </c>
      <c r="R44" s="123">
        <v>226.0</v>
      </c>
      <c r="S44" s="123">
        <v>143.0</v>
      </c>
      <c r="T44" s="123">
        <v>155.0</v>
      </c>
      <c r="U44" s="123">
        <v>109.0</v>
      </c>
      <c r="V44" s="123" t="s">
        <v>163</v>
      </c>
      <c r="W44" s="123">
        <v>85.0</v>
      </c>
      <c r="X44" s="123">
        <v>134.0</v>
      </c>
      <c r="Y44" s="123">
        <v>385.0</v>
      </c>
      <c r="Z44" s="123">
        <v>105.0</v>
      </c>
      <c r="AA44" s="123">
        <v>369.0</v>
      </c>
      <c r="AB44" s="123">
        <v>155.0</v>
      </c>
      <c r="AC44" s="123">
        <v>359.0</v>
      </c>
      <c r="AD44" s="123" t="s">
        <v>163</v>
      </c>
      <c r="AE44" s="123">
        <v>170.0</v>
      </c>
      <c r="AF44" s="123">
        <v>166.0</v>
      </c>
      <c r="AG44" s="123">
        <v>65.0</v>
      </c>
      <c r="AH44" s="123">
        <v>190.0</v>
      </c>
      <c r="AI44" s="123">
        <v>315.0</v>
      </c>
      <c r="AJ44" s="123">
        <v>236.0</v>
      </c>
      <c r="AK44" s="123">
        <v>113.0</v>
      </c>
      <c r="AL44" s="123">
        <v>262.0</v>
      </c>
      <c r="AM44" s="123">
        <v>84.0</v>
      </c>
      <c r="AN44" s="123">
        <v>166.0</v>
      </c>
      <c r="AO44" s="123">
        <v>258.0</v>
      </c>
    </row>
    <row r="45">
      <c r="A45" s="214" t="s">
        <v>141</v>
      </c>
      <c r="B45" s="123">
        <v>161.0</v>
      </c>
      <c r="C45" s="123">
        <v>319.0</v>
      </c>
      <c r="D45" s="123">
        <v>140.0</v>
      </c>
      <c r="E45" s="123">
        <v>743.0</v>
      </c>
      <c r="F45" s="123">
        <v>129.0</v>
      </c>
      <c r="G45" s="123">
        <v>289.0</v>
      </c>
      <c r="H45" s="123">
        <v>462.0</v>
      </c>
      <c r="I45" s="123">
        <v>225.0</v>
      </c>
      <c r="J45" s="123">
        <v>398.0</v>
      </c>
      <c r="K45" s="123">
        <v>282.0</v>
      </c>
      <c r="L45" s="123">
        <v>192.0</v>
      </c>
      <c r="M45" s="123">
        <v>171.0</v>
      </c>
      <c r="N45" s="123">
        <v>219.0</v>
      </c>
      <c r="O45" s="123">
        <v>197.0</v>
      </c>
      <c r="P45" s="123">
        <v>255.0</v>
      </c>
      <c r="Q45" s="123">
        <v>523.0</v>
      </c>
      <c r="R45" s="123">
        <v>240.0</v>
      </c>
      <c r="S45" s="123" t="s">
        <v>163</v>
      </c>
      <c r="T45" s="123">
        <v>137.0</v>
      </c>
      <c r="U45" s="123">
        <v>193.0</v>
      </c>
      <c r="V45" s="123" t="s">
        <v>163</v>
      </c>
      <c r="W45" s="123">
        <v>141.0</v>
      </c>
      <c r="X45" s="123">
        <v>195.0</v>
      </c>
      <c r="Y45" s="123">
        <v>360.0</v>
      </c>
      <c r="Z45" s="123">
        <v>194.0</v>
      </c>
      <c r="AA45" s="123">
        <v>450.0</v>
      </c>
      <c r="AB45" s="123">
        <v>98.0</v>
      </c>
      <c r="AC45" s="123">
        <v>483.0</v>
      </c>
      <c r="AD45" s="123">
        <v>118.0</v>
      </c>
      <c r="AE45" s="123">
        <v>245.0</v>
      </c>
      <c r="AF45" s="123">
        <v>259.0</v>
      </c>
      <c r="AG45" s="123">
        <v>104.0</v>
      </c>
      <c r="AH45" s="123">
        <v>158.0</v>
      </c>
      <c r="AI45" s="123">
        <v>362.0</v>
      </c>
      <c r="AJ45" s="123">
        <v>280.0</v>
      </c>
      <c r="AK45" s="123">
        <v>129.0</v>
      </c>
      <c r="AL45" s="123">
        <v>304.0</v>
      </c>
      <c r="AM45" s="123">
        <v>119.0</v>
      </c>
      <c r="AN45" s="123">
        <v>267.0</v>
      </c>
      <c r="AO45" s="123">
        <v>329.0</v>
      </c>
    </row>
    <row r="46">
      <c r="A46" s="214" t="s">
        <v>142</v>
      </c>
      <c r="B46" s="123">
        <v>284.0</v>
      </c>
      <c r="C46" s="123">
        <v>436.0</v>
      </c>
      <c r="D46" s="123">
        <v>219.0</v>
      </c>
      <c r="E46" s="123">
        <v>1135.0</v>
      </c>
      <c r="F46" s="123">
        <v>167.0</v>
      </c>
      <c r="G46" s="123">
        <v>431.0</v>
      </c>
      <c r="H46" s="123">
        <v>691.0</v>
      </c>
      <c r="I46" s="123">
        <v>375.0</v>
      </c>
      <c r="J46" s="123">
        <v>528.0</v>
      </c>
      <c r="K46" s="123">
        <v>424.0</v>
      </c>
      <c r="L46" s="123">
        <v>236.0</v>
      </c>
      <c r="M46" s="123">
        <v>448.0</v>
      </c>
      <c r="N46" s="123">
        <v>308.0</v>
      </c>
      <c r="O46" s="123">
        <v>222.0</v>
      </c>
      <c r="P46" s="123">
        <v>200.0</v>
      </c>
      <c r="Q46" s="123">
        <v>619.0</v>
      </c>
      <c r="R46" s="123">
        <v>481.0</v>
      </c>
      <c r="S46" s="123" t="s">
        <v>163</v>
      </c>
      <c r="T46" s="123">
        <v>143.0</v>
      </c>
      <c r="U46" s="123">
        <v>277.0</v>
      </c>
      <c r="V46" s="123" t="s">
        <v>163</v>
      </c>
      <c r="W46" s="123">
        <v>153.0</v>
      </c>
      <c r="X46" s="123">
        <v>439.0</v>
      </c>
      <c r="Y46" s="123">
        <v>604.0</v>
      </c>
      <c r="Z46" s="123">
        <v>194.0</v>
      </c>
      <c r="AA46" s="123">
        <v>655.0</v>
      </c>
      <c r="AB46" s="123">
        <v>184.0</v>
      </c>
      <c r="AC46" s="123">
        <v>699.0</v>
      </c>
      <c r="AD46" s="123">
        <v>328.0</v>
      </c>
      <c r="AE46" s="123">
        <v>236.0</v>
      </c>
      <c r="AF46" s="123">
        <v>546.0</v>
      </c>
      <c r="AG46" s="123">
        <v>211.0</v>
      </c>
      <c r="AH46" s="123">
        <v>202.0</v>
      </c>
      <c r="AI46" s="123">
        <v>372.0</v>
      </c>
      <c r="AJ46" s="123">
        <v>476.0</v>
      </c>
      <c r="AK46" s="123">
        <v>291.0</v>
      </c>
      <c r="AL46" s="123">
        <v>580.0</v>
      </c>
      <c r="AM46" s="123">
        <v>243.0</v>
      </c>
      <c r="AN46" s="123">
        <v>267.0</v>
      </c>
      <c r="AO46" s="123">
        <v>494.0</v>
      </c>
    </row>
    <row r="47">
      <c r="A47" s="214" t="s">
        <v>143</v>
      </c>
      <c r="B47" s="123">
        <v>309.0</v>
      </c>
      <c r="C47" s="123">
        <v>468.0</v>
      </c>
      <c r="D47" s="123">
        <v>346.0</v>
      </c>
      <c r="E47" s="123">
        <v>1001.0</v>
      </c>
      <c r="F47" s="123">
        <v>283.0</v>
      </c>
      <c r="G47" s="123">
        <v>590.0</v>
      </c>
      <c r="H47" s="123">
        <v>807.0</v>
      </c>
      <c r="I47" s="123">
        <v>416.0</v>
      </c>
      <c r="J47" s="123">
        <v>604.0</v>
      </c>
      <c r="K47" s="123">
        <v>497.0</v>
      </c>
      <c r="L47" s="123">
        <v>354.0</v>
      </c>
      <c r="M47" s="123">
        <v>384.0</v>
      </c>
      <c r="N47" s="123">
        <v>348.0</v>
      </c>
      <c r="O47" s="123">
        <v>370.0</v>
      </c>
      <c r="P47" s="123">
        <v>182.0</v>
      </c>
      <c r="Q47" s="123">
        <v>783.0</v>
      </c>
      <c r="R47" s="123">
        <v>499.0</v>
      </c>
      <c r="S47" s="123" t="s">
        <v>163</v>
      </c>
      <c r="T47" s="123">
        <v>155.0</v>
      </c>
      <c r="U47" s="123">
        <v>328.0</v>
      </c>
      <c r="V47" s="123" t="s">
        <v>163</v>
      </c>
      <c r="W47" s="123">
        <v>246.0</v>
      </c>
      <c r="X47" s="123">
        <v>450.0</v>
      </c>
      <c r="Y47" s="123">
        <v>693.0</v>
      </c>
      <c r="Z47" s="123">
        <v>300.0</v>
      </c>
      <c r="AA47" s="123">
        <v>701.0</v>
      </c>
      <c r="AB47" s="123">
        <v>155.0</v>
      </c>
      <c r="AC47" s="123">
        <v>801.0</v>
      </c>
      <c r="AD47" s="123">
        <v>157.0</v>
      </c>
      <c r="AE47" s="123">
        <v>396.0</v>
      </c>
      <c r="AF47" s="123">
        <v>615.0</v>
      </c>
      <c r="AG47" s="123">
        <v>172.0</v>
      </c>
      <c r="AH47" s="123">
        <v>234.0</v>
      </c>
      <c r="AI47" s="123">
        <v>324.0</v>
      </c>
      <c r="AJ47" s="123">
        <v>593.0</v>
      </c>
      <c r="AK47" s="123">
        <v>324.0</v>
      </c>
      <c r="AL47" s="123">
        <v>684.0</v>
      </c>
      <c r="AM47" s="123">
        <v>265.0</v>
      </c>
      <c r="AN47" s="123">
        <v>315.0</v>
      </c>
      <c r="AO47" s="123">
        <v>574.0</v>
      </c>
    </row>
    <row r="48">
      <c r="A48" s="214" t="s">
        <v>144</v>
      </c>
      <c r="B48" s="123">
        <v>291.0</v>
      </c>
      <c r="C48" s="123">
        <v>234.0</v>
      </c>
      <c r="D48" s="123">
        <v>529.0</v>
      </c>
      <c r="E48" s="123">
        <v>887.0</v>
      </c>
      <c r="F48" s="123">
        <v>347.0</v>
      </c>
      <c r="G48" s="123">
        <v>578.0</v>
      </c>
      <c r="H48" s="123">
        <v>632.0</v>
      </c>
      <c r="I48" s="123">
        <v>413.0</v>
      </c>
      <c r="J48" s="123">
        <v>513.0</v>
      </c>
      <c r="K48" s="123">
        <v>386.0</v>
      </c>
      <c r="L48" s="123">
        <v>369.0</v>
      </c>
      <c r="M48" s="123">
        <v>448.0</v>
      </c>
      <c r="N48" s="123">
        <v>288.0</v>
      </c>
      <c r="O48" s="123">
        <v>333.0</v>
      </c>
      <c r="P48" s="123">
        <v>200.0</v>
      </c>
      <c r="Q48" s="123">
        <v>650.0</v>
      </c>
      <c r="R48" s="123">
        <v>610.0</v>
      </c>
      <c r="S48" s="123">
        <v>143.0</v>
      </c>
      <c r="T48" s="123">
        <v>149.0</v>
      </c>
      <c r="U48" s="123">
        <v>225.0</v>
      </c>
      <c r="V48" s="123" t="s">
        <v>163</v>
      </c>
      <c r="W48" s="123">
        <v>194.0</v>
      </c>
      <c r="X48" s="123">
        <v>420.0</v>
      </c>
      <c r="Y48" s="123">
        <v>542.0</v>
      </c>
      <c r="Z48" s="123">
        <v>421.0</v>
      </c>
      <c r="AA48" s="123">
        <v>619.0</v>
      </c>
      <c r="AB48" s="123">
        <v>195.0</v>
      </c>
      <c r="AC48" s="123">
        <v>658.0</v>
      </c>
      <c r="AD48" s="123">
        <v>184.0</v>
      </c>
      <c r="AE48" s="123">
        <v>434.0</v>
      </c>
      <c r="AF48" s="123">
        <v>430.0</v>
      </c>
      <c r="AG48" s="123">
        <v>98.0</v>
      </c>
      <c r="AH48" s="123">
        <v>253.0</v>
      </c>
      <c r="AI48" s="123">
        <v>181.0</v>
      </c>
      <c r="AJ48" s="123">
        <v>535.0</v>
      </c>
      <c r="AK48" s="123">
        <v>518.0</v>
      </c>
      <c r="AL48" s="123">
        <v>494.0</v>
      </c>
      <c r="AM48" s="123">
        <v>239.0</v>
      </c>
      <c r="AN48" s="123">
        <v>395.0</v>
      </c>
      <c r="AO48" s="123">
        <v>500.0</v>
      </c>
    </row>
    <row r="49">
      <c r="A49" s="214" t="s">
        <v>145</v>
      </c>
      <c r="B49" s="123">
        <v>525.0</v>
      </c>
      <c r="C49" s="123">
        <v>400.0</v>
      </c>
      <c r="D49" s="123">
        <v>1033.0</v>
      </c>
      <c r="E49" s="123">
        <v>1114.0</v>
      </c>
      <c r="F49" s="123">
        <v>463.0</v>
      </c>
      <c r="G49" s="123">
        <v>821.0</v>
      </c>
      <c r="H49" s="123">
        <v>926.0</v>
      </c>
      <c r="I49" s="123">
        <v>756.0</v>
      </c>
      <c r="J49" s="123">
        <v>711.0</v>
      </c>
      <c r="K49" s="123">
        <v>744.0</v>
      </c>
      <c r="L49" s="123">
        <v>605.0</v>
      </c>
      <c r="M49" s="123">
        <v>661.0</v>
      </c>
      <c r="N49" s="123">
        <v>537.0</v>
      </c>
      <c r="O49" s="123">
        <v>629.0</v>
      </c>
      <c r="P49" s="123">
        <v>364.0</v>
      </c>
      <c r="Q49" s="123">
        <v>1272.0</v>
      </c>
      <c r="R49" s="123">
        <v>790.0</v>
      </c>
      <c r="S49" s="123" t="s">
        <v>163</v>
      </c>
      <c r="T49" s="123">
        <v>348.0</v>
      </c>
      <c r="U49" s="123">
        <v>354.0</v>
      </c>
      <c r="V49" s="123" t="s">
        <v>163</v>
      </c>
      <c r="W49" s="123">
        <v>307.0</v>
      </c>
      <c r="X49" s="123">
        <v>477.0</v>
      </c>
      <c r="Y49" s="123">
        <v>887.0</v>
      </c>
      <c r="Z49" s="123">
        <v>737.0</v>
      </c>
      <c r="AA49" s="123">
        <v>932.0</v>
      </c>
      <c r="AB49" s="123">
        <v>218.0</v>
      </c>
      <c r="AC49" s="123">
        <v>961.0</v>
      </c>
      <c r="AD49" s="123">
        <v>328.0</v>
      </c>
      <c r="AE49" s="123">
        <v>736.0</v>
      </c>
      <c r="AF49" s="123">
        <v>800.0</v>
      </c>
      <c r="AG49" s="123">
        <v>221.0</v>
      </c>
      <c r="AH49" s="123">
        <v>430.0</v>
      </c>
      <c r="AI49" s="123">
        <v>439.0</v>
      </c>
      <c r="AJ49" s="123">
        <v>692.0</v>
      </c>
      <c r="AK49" s="123">
        <v>518.0</v>
      </c>
      <c r="AL49" s="123">
        <v>753.0</v>
      </c>
      <c r="AM49" s="123">
        <v>354.0</v>
      </c>
      <c r="AN49" s="123">
        <v>650.0</v>
      </c>
      <c r="AO49" s="123">
        <v>774.0</v>
      </c>
    </row>
    <row r="50">
      <c r="A50" s="214" t="s">
        <v>146</v>
      </c>
      <c r="B50" s="123">
        <v>488.0</v>
      </c>
      <c r="C50" s="123">
        <v>382.0</v>
      </c>
      <c r="D50" s="123">
        <v>699.0</v>
      </c>
      <c r="E50" s="123">
        <v>743.0</v>
      </c>
      <c r="F50" s="123">
        <v>450.0</v>
      </c>
      <c r="G50" s="123">
        <v>642.0</v>
      </c>
      <c r="H50" s="123">
        <v>842.0</v>
      </c>
      <c r="I50" s="123">
        <v>811.0</v>
      </c>
      <c r="J50" s="123">
        <v>734.0</v>
      </c>
      <c r="K50" s="123">
        <v>828.0</v>
      </c>
      <c r="L50" s="123">
        <v>560.0</v>
      </c>
      <c r="M50" s="123">
        <v>597.0</v>
      </c>
      <c r="N50" s="123">
        <v>755.0</v>
      </c>
      <c r="O50" s="123">
        <v>518.0</v>
      </c>
      <c r="P50" s="123">
        <v>491.0</v>
      </c>
      <c r="Q50" s="123">
        <v>944.0</v>
      </c>
      <c r="R50" s="123">
        <v>688.0</v>
      </c>
      <c r="S50" s="123">
        <v>257.0</v>
      </c>
      <c r="T50" s="123">
        <v>348.0</v>
      </c>
      <c r="U50" s="123">
        <v>463.0</v>
      </c>
      <c r="V50" s="123">
        <v>1330.0</v>
      </c>
      <c r="W50" s="123">
        <v>404.0</v>
      </c>
      <c r="X50" s="123">
        <v>488.0</v>
      </c>
      <c r="Y50" s="123">
        <v>847.0</v>
      </c>
      <c r="Z50" s="123">
        <v>632.0</v>
      </c>
      <c r="AA50" s="123">
        <v>863.0</v>
      </c>
      <c r="AB50" s="123">
        <v>316.0</v>
      </c>
      <c r="AC50" s="123">
        <v>884.0</v>
      </c>
      <c r="AD50" s="123">
        <v>184.0</v>
      </c>
      <c r="AE50" s="123">
        <v>707.0</v>
      </c>
      <c r="AF50" s="123">
        <v>693.0</v>
      </c>
      <c r="AG50" s="123">
        <v>198.0</v>
      </c>
      <c r="AH50" s="123">
        <v>392.0</v>
      </c>
      <c r="AI50" s="123">
        <v>543.0</v>
      </c>
      <c r="AJ50" s="123">
        <v>611.0</v>
      </c>
      <c r="AK50" s="123">
        <v>486.0</v>
      </c>
      <c r="AL50" s="123">
        <v>632.0</v>
      </c>
      <c r="AM50" s="123">
        <v>442.0</v>
      </c>
      <c r="AN50" s="123">
        <v>672.0</v>
      </c>
      <c r="AO50" s="123">
        <v>720.0</v>
      </c>
    </row>
    <row r="51">
      <c r="A51" s="214" t="s">
        <v>147</v>
      </c>
      <c r="B51" s="123">
        <v>278.0</v>
      </c>
      <c r="C51" s="123">
        <v>409.0</v>
      </c>
      <c r="D51" s="123">
        <v>693.0</v>
      </c>
      <c r="E51" s="123">
        <v>578.0</v>
      </c>
      <c r="F51" s="123">
        <v>437.0</v>
      </c>
      <c r="G51" s="123">
        <v>625.0</v>
      </c>
      <c r="H51" s="123">
        <v>591.0</v>
      </c>
      <c r="I51" s="123">
        <v>560.0</v>
      </c>
      <c r="J51" s="123">
        <v>574.0</v>
      </c>
      <c r="K51" s="123">
        <v>554.0</v>
      </c>
      <c r="L51" s="123">
        <v>354.0</v>
      </c>
      <c r="M51" s="123">
        <v>299.0</v>
      </c>
      <c r="N51" s="123">
        <v>437.0</v>
      </c>
      <c r="O51" s="123">
        <v>419.0</v>
      </c>
      <c r="P51" s="123">
        <v>182.0</v>
      </c>
      <c r="Q51" s="123">
        <v>660.0</v>
      </c>
      <c r="R51" s="123">
        <v>550.0</v>
      </c>
      <c r="S51" s="123">
        <v>342.0</v>
      </c>
      <c r="T51" s="123">
        <v>429.0</v>
      </c>
      <c r="U51" s="123">
        <v>360.0</v>
      </c>
      <c r="V51" s="123" t="s">
        <v>163</v>
      </c>
      <c r="W51" s="123">
        <v>307.0</v>
      </c>
      <c r="X51" s="123">
        <v>309.0</v>
      </c>
      <c r="Y51" s="123">
        <v>465.0</v>
      </c>
      <c r="Z51" s="123">
        <v>567.0</v>
      </c>
      <c r="AA51" s="123">
        <v>577.0</v>
      </c>
      <c r="AB51" s="123">
        <v>431.0</v>
      </c>
      <c r="AC51" s="123">
        <v>582.0</v>
      </c>
      <c r="AD51" s="123">
        <v>118.0</v>
      </c>
      <c r="AE51" s="123">
        <v>406.0</v>
      </c>
      <c r="AF51" s="123">
        <v>509.0</v>
      </c>
      <c r="AG51" s="123">
        <v>137.0</v>
      </c>
      <c r="AH51" s="123">
        <v>411.0</v>
      </c>
      <c r="AI51" s="123">
        <v>734.0</v>
      </c>
      <c r="AJ51" s="123">
        <v>448.0</v>
      </c>
      <c r="AK51" s="123">
        <v>388.0</v>
      </c>
      <c r="AL51" s="123">
        <v>408.0</v>
      </c>
      <c r="AM51" s="123">
        <v>517.0</v>
      </c>
      <c r="AN51" s="123">
        <v>686.0</v>
      </c>
      <c r="AO51" s="123">
        <v>527.0</v>
      </c>
    </row>
    <row r="52">
      <c r="A52" s="214" t="s">
        <v>148</v>
      </c>
      <c r="B52" s="123">
        <v>544.0</v>
      </c>
      <c r="C52" s="123">
        <v>558.0</v>
      </c>
      <c r="D52" s="123">
        <v>462.0</v>
      </c>
      <c r="E52" s="123">
        <v>526.0</v>
      </c>
      <c r="F52" s="123">
        <v>373.0</v>
      </c>
      <c r="G52" s="123">
        <v>347.0</v>
      </c>
      <c r="H52" s="123">
        <v>464.0</v>
      </c>
      <c r="I52" s="123">
        <v>407.0</v>
      </c>
      <c r="J52" s="123">
        <v>329.0</v>
      </c>
      <c r="K52" s="123">
        <v>523.0</v>
      </c>
      <c r="L52" s="123">
        <v>280.0</v>
      </c>
      <c r="M52" s="123">
        <v>512.0</v>
      </c>
      <c r="N52" s="123">
        <v>388.0</v>
      </c>
      <c r="O52" s="123">
        <v>271.0</v>
      </c>
      <c r="P52" s="123">
        <v>237.0</v>
      </c>
      <c r="Q52" s="123">
        <v>472.0</v>
      </c>
      <c r="R52" s="123">
        <v>444.0</v>
      </c>
      <c r="S52" s="123">
        <v>257.0</v>
      </c>
      <c r="T52" s="123">
        <v>379.0</v>
      </c>
      <c r="U52" s="123">
        <v>328.0</v>
      </c>
      <c r="V52" s="123">
        <v>0.0</v>
      </c>
      <c r="W52" s="123">
        <v>262.0</v>
      </c>
      <c r="X52" s="123">
        <v>259.0</v>
      </c>
      <c r="Y52" s="123">
        <v>447.0</v>
      </c>
      <c r="Z52" s="123">
        <v>356.0</v>
      </c>
      <c r="AA52" s="123">
        <v>418.0</v>
      </c>
      <c r="AB52" s="123">
        <v>477.0</v>
      </c>
      <c r="AC52" s="123">
        <v>442.0</v>
      </c>
      <c r="AD52" s="123">
        <v>249.0</v>
      </c>
      <c r="AE52" s="123">
        <v>321.0</v>
      </c>
      <c r="AF52" s="123">
        <v>384.0</v>
      </c>
      <c r="AG52" s="123">
        <v>127.0</v>
      </c>
      <c r="AH52" s="123">
        <v>462.0</v>
      </c>
      <c r="AI52" s="123">
        <v>601.0</v>
      </c>
      <c r="AJ52" s="123">
        <v>319.0</v>
      </c>
      <c r="AK52" s="123">
        <v>324.0</v>
      </c>
      <c r="AL52" s="123">
        <v>380.0</v>
      </c>
      <c r="AM52" s="123">
        <v>314.0</v>
      </c>
      <c r="AN52" s="123">
        <v>469.0</v>
      </c>
      <c r="AO52" s="123">
        <v>431.0</v>
      </c>
    </row>
    <row r="53">
      <c r="A53" s="214" t="s">
        <v>149</v>
      </c>
      <c r="B53" s="123">
        <v>464.0</v>
      </c>
      <c r="C53" s="123">
        <v>760.0</v>
      </c>
      <c r="D53" s="123">
        <v>729.0</v>
      </c>
      <c r="E53" s="123">
        <v>779.0</v>
      </c>
      <c r="F53" s="123">
        <v>681.0</v>
      </c>
      <c r="G53" s="123">
        <v>474.0</v>
      </c>
      <c r="H53" s="123">
        <v>602.0</v>
      </c>
      <c r="I53" s="123">
        <v>670.0</v>
      </c>
      <c r="J53" s="123">
        <v>681.0</v>
      </c>
      <c r="K53" s="123">
        <v>571.0</v>
      </c>
      <c r="L53" s="123">
        <v>398.0</v>
      </c>
      <c r="M53" s="123">
        <v>576.0</v>
      </c>
      <c r="N53" s="123">
        <v>298.0</v>
      </c>
      <c r="O53" s="123">
        <v>395.0</v>
      </c>
      <c r="P53" s="123">
        <v>619.0</v>
      </c>
      <c r="Q53" s="123">
        <v>646.0</v>
      </c>
      <c r="R53" s="123">
        <v>587.0</v>
      </c>
      <c r="S53" s="123">
        <v>571.0</v>
      </c>
      <c r="T53" s="123">
        <v>554.0</v>
      </c>
      <c r="U53" s="123">
        <v>502.0</v>
      </c>
      <c r="V53" s="123" t="s">
        <v>163</v>
      </c>
      <c r="W53" s="123">
        <v>582.0</v>
      </c>
      <c r="X53" s="123">
        <v>431.0</v>
      </c>
      <c r="Y53" s="123">
        <v>462.0</v>
      </c>
      <c r="Z53" s="123">
        <v>615.0</v>
      </c>
      <c r="AA53" s="123">
        <v>595.0</v>
      </c>
      <c r="AB53" s="123">
        <v>637.0</v>
      </c>
      <c r="AC53" s="123">
        <v>566.0</v>
      </c>
      <c r="AD53" s="123">
        <v>315.0</v>
      </c>
      <c r="AE53" s="123">
        <v>453.0</v>
      </c>
      <c r="AF53" s="123">
        <v>661.0</v>
      </c>
      <c r="AG53" s="123">
        <v>267.0</v>
      </c>
      <c r="AH53" s="123">
        <v>575.0</v>
      </c>
      <c r="AI53" s="123">
        <v>1116.0</v>
      </c>
      <c r="AJ53" s="123">
        <v>503.0</v>
      </c>
      <c r="AK53" s="123">
        <v>518.0</v>
      </c>
      <c r="AL53" s="123">
        <v>563.0</v>
      </c>
      <c r="AM53" s="123">
        <v>376.0</v>
      </c>
      <c r="AN53" s="123">
        <v>624.0</v>
      </c>
      <c r="AO53" s="123">
        <v>607.0</v>
      </c>
    </row>
    <row r="54">
      <c r="A54" s="214" t="s">
        <v>150</v>
      </c>
      <c r="B54" s="123">
        <v>569.0</v>
      </c>
      <c r="C54" s="123">
        <v>850.0</v>
      </c>
      <c r="D54" s="123">
        <v>614.0</v>
      </c>
      <c r="E54" s="123">
        <v>712.0</v>
      </c>
      <c r="F54" s="123">
        <v>373.0</v>
      </c>
      <c r="G54" s="123">
        <v>593.0</v>
      </c>
      <c r="H54" s="123">
        <v>690.0</v>
      </c>
      <c r="I54" s="123">
        <v>652.0</v>
      </c>
      <c r="J54" s="123">
        <v>903.0</v>
      </c>
      <c r="K54" s="123">
        <v>662.0</v>
      </c>
      <c r="L54" s="123">
        <v>457.0</v>
      </c>
      <c r="M54" s="123">
        <v>917.0</v>
      </c>
      <c r="N54" s="123">
        <v>487.0</v>
      </c>
      <c r="O54" s="123">
        <v>296.0</v>
      </c>
      <c r="P54" s="123">
        <v>600.0</v>
      </c>
      <c r="Q54" s="123">
        <v>903.0</v>
      </c>
      <c r="R54" s="123">
        <v>758.0</v>
      </c>
      <c r="S54" s="123">
        <v>542.0</v>
      </c>
      <c r="T54" s="123">
        <v>491.0</v>
      </c>
      <c r="U54" s="123">
        <v>617.0</v>
      </c>
      <c r="V54" s="123" t="s">
        <v>163</v>
      </c>
      <c r="W54" s="123">
        <v>582.0</v>
      </c>
      <c r="X54" s="123">
        <v>496.0</v>
      </c>
      <c r="Y54" s="123">
        <v>730.0</v>
      </c>
      <c r="Z54" s="123">
        <v>591.0</v>
      </c>
      <c r="AA54" s="123">
        <v>754.0</v>
      </c>
      <c r="AB54" s="123">
        <v>810.0</v>
      </c>
      <c r="AC54" s="123">
        <v>755.0</v>
      </c>
      <c r="AD54" s="123">
        <v>354.0</v>
      </c>
      <c r="AE54" s="123">
        <v>453.0</v>
      </c>
      <c r="AF54" s="123">
        <v>620.0</v>
      </c>
      <c r="AG54" s="123">
        <v>208.0</v>
      </c>
      <c r="AH54" s="123">
        <v>544.0</v>
      </c>
      <c r="AI54" s="123">
        <v>1106.0</v>
      </c>
      <c r="AJ54" s="123">
        <v>565.0</v>
      </c>
      <c r="AK54" s="123">
        <v>761.0</v>
      </c>
      <c r="AL54" s="123">
        <v>570.0</v>
      </c>
      <c r="AM54" s="123">
        <v>526.0</v>
      </c>
      <c r="AN54" s="123">
        <v>624.0</v>
      </c>
      <c r="AO54" s="123">
        <v>694.0</v>
      </c>
    </row>
    <row r="55">
      <c r="A55" s="214" t="s">
        <v>151</v>
      </c>
      <c r="B55" s="123">
        <v>427.0</v>
      </c>
      <c r="C55" s="123">
        <v>486.0</v>
      </c>
      <c r="D55" s="123">
        <v>517.0</v>
      </c>
      <c r="E55" s="123">
        <v>578.0</v>
      </c>
      <c r="F55" s="123">
        <v>296.0</v>
      </c>
      <c r="G55" s="123">
        <v>477.0</v>
      </c>
      <c r="H55" s="123">
        <v>479.0</v>
      </c>
      <c r="I55" s="123">
        <v>557.0</v>
      </c>
      <c r="J55" s="123">
        <v>727.0</v>
      </c>
      <c r="K55" s="123">
        <v>502.0</v>
      </c>
      <c r="L55" s="123">
        <v>339.0</v>
      </c>
      <c r="M55" s="123">
        <v>704.0</v>
      </c>
      <c r="N55" s="123">
        <v>338.0</v>
      </c>
      <c r="O55" s="123">
        <v>407.0</v>
      </c>
      <c r="P55" s="123">
        <v>291.0</v>
      </c>
      <c r="Q55" s="123">
        <v>623.0</v>
      </c>
      <c r="R55" s="123">
        <v>494.0</v>
      </c>
      <c r="S55" s="123">
        <v>542.0</v>
      </c>
      <c r="T55" s="123">
        <v>398.0</v>
      </c>
      <c r="U55" s="123">
        <v>277.0</v>
      </c>
      <c r="V55" s="123">
        <v>726.0</v>
      </c>
      <c r="W55" s="123">
        <v>424.0</v>
      </c>
      <c r="X55" s="123">
        <v>298.0</v>
      </c>
      <c r="Y55" s="123">
        <v>502.0</v>
      </c>
      <c r="Z55" s="123">
        <v>518.0</v>
      </c>
      <c r="AA55" s="123">
        <v>601.0</v>
      </c>
      <c r="AB55" s="123">
        <v>632.0</v>
      </c>
      <c r="AC55" s="123">
        <v>570.0</v>
      </c>
      <c r="AD55" s="123">
        <v>197.0</v>
      </c>
      <c r="AE55" s="123">
        <v>481.0</v>
      </c>
      <c r="AF55" s="123">
        <v>546.0</v>
      </c>
      <c r="AG55" s="123">
        <v>94.0</v>
      </c>
      <c r="AH55" s="123">
        <v>493.0</v>
      </c>
      <c r="AI55" s="123">
        <v>467.0</v>
      </c>
      <c r="AJ55" s="123">
        <v>450.0</v>
      </c>
      <c r="AK55" s="123">
        <v>599.0</v>
      </c>
      <c r="AL55" s="123">
        <v>504.0</v>
      </c>
      <c r="AM55" s="123">
        <v>464.0</v>
      </c>
      <c r="AN55" s="123">
        <v>701.0</v>
      </c>
      <c r="AO55" s="123">
        <v>524.0</v>
      </c>
    </row>
    <row r="56">
      <c r="A56" s="214" t="s">
        <v>152</v>
      </c>
      <c r="B56" s="123">
        <v>383.0</v>
      </c>
      <c r="C56" s="123">
        <v>468.0</v>
      </c>
      <c r="D56" s="123">
        <v>577.0</v>
      </c>
      <c r="E56" s="123">
        <v>444.0</v>
      </c>
      <c r="F56" s="123">
        <v>257.0</v>
      </c>
      <c r="G56" s="123">
        <v>521.0</v>
      </c>
      <c r="H56" s="123">
        <v>448.0</v>
      </c>
      <c r="I56" s="123">
        <v>424.0</v>
      </c>
      <c r="J56" s="123">
        <v>604.0</v>
      </c>
      <c r="K56" s="123">
        <v>356.0</v>
      </c>
      <c r="L56" s="123">
        <v>398.0</v>
      </c>
      <c r="M56" s="123">
        <v>469.0</v>
      </c>
      <c r="N56" s="123">
        <v>308.0</v>
      </c>
      <c r="O56" s="123">
        <v>468.0</v>
      </c>
      <c r="P56" s="123">
        <v>328.0</v>
      </c>
      <c r="Q56" s="123">
        <v>404.0</v>
      </c>
      <c r="R56" s="123">
        <v>462.0</v>
      </c>
      <c r="S56" s="123" t="s">
        <v>163</v>
      </c>
      <c r="T56" s="123">
        <v>460.0</v>
      </c>
      <c r="U56" s="123">
        <v>232.0</v>
      </c>
      <c r="V56" s="123" t="s">
        <v>163</v>
      </c>
      <c r="W56" s="123">
        <v>384.0</v>
      </c>
      <c r="X56" s="123">
        <v>328.0</v>
      </c>
      <c r="Y56" s="123">
        <v>447.0</v>
      </c>
      <c r="Z56" s="123">
        <v>607.0</v>
      </c>
      <c r="AA56" s="123">
        <v>478.0</v>
      </c>
      <c r="AB56" s="123">
        <v>333.0</v>
      </c>
      <c r="AC56" s="123">
        <v>435.0</v>
      </c>
      <c r="AD56" s="123">
        <v>184.0</v>
      </c>
      <c r="AE56" s="123">
        <v>368.0</v>
      </c>
      <c r="AF56" s="123">
        <v>559.0</v>
      </c>
      <c r="AG56" s="123">
        <v>146.0</v>
      </c>
      <c r="AH56" s="123">
        <v>468.0</v>
      </c>
      <c r="AI56" s="123">
        <v>296.0</v>
      </c>
      <c r="AJ56" s="123">
        <v>391.0</v>
      </c>
      <c r="AK56" s="123">
        <v>405.0</v>
      </c>
      <c r="AL56" s="123">
        <v>466.0</v>
      </c>
      <c r="AM56" s="123">
        <v>482.0</v>
      </c>
      <c r="AN56" s="123">
        <v>626.0</v>
      </c>
      <c r="AO56" s="123">
        <v>446.0</v>
      </c>
    </row>
    <row r="57">
      <c r="A57" s="214" t="s">
        <v>153</v>
      </c>
      <c r="B57" s="123">
        <v>260.0</v>
      </c>
      <c r="C57" s="123">
        <v>391.0</v>
      </c>
      <c r="D57" s="123">
        <v>523.0</v>
      </c>
      <c r="E57" s="123">
        <v>449.0</v>
      </c>
      <c r="F57" s="123">
        <v>193.0</v>
      </c>
      <c r="G57" s="123">
        <v>327.0</v>
      </c>
      <c r="H57" s="123">
        <v>347.0</v>
      </c>
      <c r="I57" s="123">
        <v>430.0</v>
      </c>
      <c r="J57" s="123">
        <v>497.0</v>
      </c>
      <c r="K57" s="123">
        <v>352.0</v>
      </c>
      <c r="L57" s="123">
        <v>206.0</v>
      </c>
      <c r="M57" s="123">
        <v>213.0</v>
      </c>
      <c r="N57" s="123">
        <v>338.0</v>
      </c>
      <c r="O57" s="123">
        <v>284.0</v>
      </c>
      <c r="P57" s="123">
        <v>146.0</v>
      </c>
      <c r="Q57" s="123">
        <v>328.0</v>
      </c>
      <c r="R57" s="123">
        <v>370.0</v>
      </c>
      <c r="S57" s="123">
        <v>143.0</v>
      </c>
      <c r="T57" s="123">
        <v>330.0</v>
      </c>
      <c r="U57" s="123">
        <v>277.0</v>
      </c>
      <c r="V57" s="123">
        <v>0.0</v>
      </c>
      <c r="W57" s="123">
        <v>452.0</v>
      </c>
      <c r="X57" s="123">
        <v>301.0</v>
      </c>
      <c r="Y57" s="123">
        <v>287.0</v>
      </c>
      <c r="Z57" s="123">
        <v>462.0</v>
      </c>
      <c r="AA57" s="123">
        <v>369.0</v>
      </c>
      <c r="AB57" s="123">
        <v>184.0</v>
      </c>
      <c r="AC57" s="123">
        <v>343.0</v>
      </c>
      <c r="AD57" s="123">
        <v>170.0</v>
      </c>
      <c r="AE57" s="123">
        <v>245.0</v>
      </c>
      <c r="AF57" s="123">
        <v>458.0</v>
      </c>
      <c r="AG57" s="123">
        <v>218.0</v>
      </c>
      <c r="AH57" s="123">
        <v>291.0</v>
      </c>
      <c r="AI57" s="123">
        <v>296.0</v>
      </c>
      <c r="AJ57" s="123">
        <v>311.0</v>
      </c>
      <c r="AK57" s="123">
        <v>372.0</v>
      </c>
      <c r="AL57" s="123">
        <v>311.0</v>
      </c>
      <c r="AM57" s="123">
        <v>318.0</v>
      </c>
      <c r="AN57" s="123">
        <v>431.0</v>
      </c>
      <c r="AO57" s="123">
        <v>356.0</v>
      </c>
    </row>
    <row r="58">
      <c r="A58" s="214" t="s">
        <v>154</v>
      </c>
      <c r="B58" s="123">
        <v>142.0</v>
      </c>
      <c r="C58" s="123">
        <v>333.0</v>
      </c>
      <c r="D58" s="123">
        <v>383.0</v>
      </c>
      <c r="E58" s="123">
        <v>222.0</v>
      </c>
      <c r="F58" s="123">
        <v>231.0</v>
      </c>
      <c r="G58" s="123">
        <v>255.0</v>
      </c>
      <c r="H58" s="123">
        <v>282.0</v>
      </c>
      <c r="I58" s="123">
        <v>274.0</v>
      </c>
      <c r="J58" s="123">
        <v>283.0</v>
      </c>
      <c r="K58" s="123">
        <v>251.0</v>
      </c>
      <c r="L58" s="123">
        <v>192.0</v>
      </c>
      <c r="M58" s="123">
        <v>469.0</v>
      </c>
      <c r="N58" s="123">
        <v>278.0</v>
      </c>
      <c r="O58" s="123">
        <v>234.0</v>
      </c>
      <c r="P58" s="123">
        <v>109.0</v>
      </c>
      <c r="Q58" s="123">
        <v>383.0</v>
      </c>
      <c r="R58" s="123">
        <v>305.0</v>
      </c>
      <c r="S58" s="123" t="s">
        <v>163</v>
      </c>
      <c r="T58" s="123">
        <v>218.0</v>
      </c>
      <c r="U58" s="123">
        <v>296.0</v>
      </c>
      <c r="V58" s="123">
        <v>0.0</v>
      </c>
      <c r="W58" s="123">
        <v>315.0</v>
      </c>
      <c r="X58" s="123">
        <v>149.0</v>
      </c>
      <c r="Y58" s="123">
        <v>311.0</v>
      </c>
      <c r="Z58" s="123">
        <v>316.0</v>
      </c>
      <c r="AA58" s="123">
        <v>294.0</v>
      </c>
      <c r="AB58" s="123">
        <v>155.0</v>
      </c>
      <c r="AC58" s="123">
        <v>265.0</v>
      </c>
      <c r="AD58" s="123">
        <v>66.0</v>
      </c>
      <c r="AE58" s="123">
        <v>226.0</v>
      </c>
      <c r="AF58" s="123">
        <v>305.0</v>
      </c>
      <c r="AG58" s="123">
        <v>172.0</v>
      </c>
      <c r="AH58" s="123">
        <v>291.0</v>
      </c>
      <c r="AI58" s="123">
        <v>238.0</v>
      </c>
      <c r="AJ58" s="123">
        <v>217.0</v>
      </c>
      <c r="AK58" s="123">
        <v>129.0</v>
      </c>
      <c r="AL58" s="123">
        <v>252.0</v>
      </c>
      <c r="AM58" s="123">
        <v>327.0</v>
      </c>
      <c r="AN58" s="123">
        <v>274.0</v>
      </c>
      <c r="AO58" s="123">
        <v>273.0</v>
      </c>
    </row>
    <row r="59">
      <c r="A59" s="214" t="s">
        <v>155</v>
      </c>
      <c r="B59" s="123">
        <v>167.0</v>
      </c>
      <c r="C59" s="123">
        <v>166.0</v>
      </c>
      <c r="D59" s="123">
        <v>158.0</v>
      </c>
      <c r="E59" s="123">
        <v>181.0</v>
      </c>
      <c r="F59" s="123">
        <v>167.0</v>
      </c>
      <c r="G59" s="123">
        <v>211.0</v>
      </c>
      <c r="H59" s="123">
        <v>225.0</v>
      </c>
      <c r="I59" s="123">
        <v>286.0</v>
      </c>
      <c r="J59" s="123">
        <v>268.0</v>
      </c>
      <c r="K59" s="123">
        <v>169.0</v>
      </c>
      <c r="L59" s="123">
        <v>162.0</v>
      </c>
      <c r="M59" s="123">
        <v>277.0</v>
      </c>
      <c r="N59" s="123">
        <v>129.0</v>
      </c>
      <c r="O59" s="123">
        <v>271.0</v>
      </c>
      <c r="P59" s="123">
        <v>200.0</v>
      </c>
      <c r="Q59" s="123">
        <v>219.0</v>
      </c>
      <c r="R59" s="123">
        <v>185.0</v>
      </c>
      <c r="S59" s="123" t="s">
        <v>163</v>
      </c>
      <c r="T59" s="123">
        <v>168.0</v>
      </c>
      <c r="U59" s="123">
        <v>508.0</v>
      </c>
      <c r="V59" s="123">
        <v>0.0</v>
      </c>
      <c r="W59" s="123">
        <v>218.0</v>
      </c>
      <c r="X59" s="123">
        <v>122.0</v>
      </c>
      <c r="Y59" s="123">
        <v>277.0</v>
      </c>
      <c r="Z59" s="123">
        <v>227.0</v>
      </c>
      <c r="AA59" s="123">
        <v>251.0</v>
      </c>
      <c r="AB59" s="123">
        <v>115.0</v>
      </c>
      <c r="AC59" s="123">
        <v>255.0</v>
      </c>
      <c r="AD59" s="123">
        <v>79.0</v>
      </c>
      <c r="AE59" s="123">
        <v>189.0</v>
      </c>
      <c r="AF59" s="123">
        <v>227.0</v>
      </c>
      <c r="AG59" s="123">
        <v>163.0</v>
      </c>
      <c r="AH59" s="123">
        <v>190.0</v>
      </c>
      <c r="AI59" s="123">
        <v>143.0</v>
      </c>
      <c r="AJ59" s="123">
        <v>175.0</v>
      </c>
      <c r="AK59" s="123">
        <v>129.0</v>
      </c>
      <c r="AL59" s="123">
        <v>190.0</v>
      </c>
      <c r="AM59" s="123">
        <v>230.0</v>
      </c>
      <c r="AN59" s="123">
        <v>217.0</v>
      </c>
      <c r="AO59" s="123">
        <v>223.0</v>
      </c>
    </row>
    <row r="60">
      <c r="A60" s="214" t="s">
        <v>156</v>
      </c>
      <c r="B60" s="123">
        <v>136.0</v>
      </c>
      <c r="C60" s="123">
        <v>103.0</v>
      </c>
      <c r="D60" s="123">
        <v>243.0</v>
      </c>
      <c r="E60" s="123">
        <v>222.0</v>
      </c>
      <c r="F60" s="123">
        <v>180.0</v>
      </c>
      <c r="G60" s="123">
        <v>168.0</v>
      </c>
      <c r="H60" s="123">
        <v>192.0</v>
      </c>
      <c r="I60" s="123">
        <v>185.0</v>
      </c>
      <c r="J60" s="123">
        <v>260.0</v>
      </c>
      <c r="K60" s="123">
        <v>126.0</v>
      </c>
      <c r="L60" s="123">
        <v>74.0</v>
      </c>
      <c r="M60" s="123" t="s">
        <v>163</v>
      </c>
      <c r="N60" s="123">
        <v>149.0</v>
      </c>
      <c r="O60" s="123">
        <v>160.0</v>
      </c>
      <c r="P60" s="123" t="s">
        <v>163</v>
      </c>
      <c r="Q60" s="123">
        <v>239.0</v>
      </c>
      <c r="R60" s="123">
        <v>157.0</v>
      </c>
      <c r="S60" s="123">
        <v>171.0</v>
      </c>
      <c r="T60" s="123">
        <v>68.0</v>
      </c>
      <c r="U60" s="123">
        <v>322.0</v>
      </c>
      <c r="V60" s="123" t="s">
        <v>163</v>
      </c>
      <c r="W60" s="123">
        <v>166.0</v>
      </c>
      <c r="X60" s="123">
        <v>145.0</v>
      </c>
      <c r="Y60" s="123">
        <v>243.0</v>
      </c>
      <c r="Z60" s="123">
        <v>146.0</v>
      </c>
      <c r="AA60" s="123">
        <v>212.0</v>
      </c>
      <c r="AB60" s="123">
        <v>52.0</v>
      </c>
      <c r="AC60" s="123">
        <v>228.0</v>
      </c>
      <c r="AD60" s="123">
        <v>131.0</v>
      </c>
      <c r="AE60" s="123">
        <v>57.0</v>
      </c>
      <c r="AF60" s="123">
        <v>453.0</v>
      </c>
      <c r="AG60" s="123">
        <v>211.0</v>
      </c>
      <c r="AH60" s="123">
        <v>240.0</v>
      </c>
      <c r="AI60" s="123">
        <v>181.0</v>
      </c>
      <c r="AJ60" s="123">
        <v>142.0</v>
      </c>
      <c r="AK60" s="123">
        <v>129.0</v>
      </c>
      <c r="AL60" s="123">
        <v>190.0</v>
      </c>
      <c r="AM60" s="123">
        <v>199.0</v>
      </c>
      <c r="AN60" s="123">
        <v>154.0</v>
      </c>
      <c r="AO60" s="123">
        <v>197.0</v>
      </c>
    </row>
    <row r="61">
      <c r="A61" s="214" t="s">
        <v>157</v>
      </c>
      <c r="B61" s="123">
        <v>167.0</v>
      </c>
      <c r="C61" s="123">
        <v>144.0</v>
      </c>
      <c r="D61" s="123">
        <v>219.0</v>
      </c>
      <c r="E61" s="123">
        <v>217.0</v>
      </c>
      <c r="F61" s="123">
        <v>193.0</v>
      </c>
      <c r="G61" s="123">
        <v>142.0</v>
      </c>
      <c r="H61" s="123">
        <v>198.0</v>
      </c>
      <c r="I61" s="123">
        <v>216.0</v>
      </c>
      <c r="J61" s="123">
        <v>298.0</v>
      </c>
      <c r="K61" s="123">
        <v>175.0</v>
      </c>
      <c r="L61" s="123">
        <v>177.0</v>
      </c>
      <c r="M61" s="123">
        <v>149.0</v>
      </c>
      <c r="N61" s="123" t="s">
        <v>163</v>
      </c>
      <c r="O61" s="123">
        <v>173.0</v>
      </c>
      <c r="P61" s="123" t="s">
        <v>163</v>
      </c>
      <c r="Q61" s="123">
        <v>222.0</v>
      </c>
      <c r="R61" s="123">
        <v>134.0</v>
      </c>
      <c r="S61" s="123">
        <v>0.0</v>
      </c>
      <c r="T61" s="123">
        <v>100.0</v>
      </c>
      <c r="U61" s="123">
        <v>315.0</v>
      </c>
      <c r="V61" s="123">
        <v>0.0</v>
      </c>
      <c r="W61" s="123">
        <v>133.0</v>
      </c>
      <c r="X61" s="123">
        <v>156.0</v>
      </c>
      <c r="Y61" s="123">
        <v>336.0</v>
      </c>
      <c r="Z61" s="123">
        <v>202.0</v>
      </c>
      <c r="AA61" s="123">
        <v>215.0</v>
      </c>
      <c r="AB61" s="123">
        <v>144.0</v>
      </c>
      <c r="AC61" s="123">
        <v>234.0</v>
      </c>
      <c r="AD61" s="123">
        <v>66.0</v>
      </c>
      <c r="AE61" s="123">
        <v>94.0</v>
      </c>
      <c r="AF61" s="123">
        <v>786.0</v>
      </c>
      <c r="AG61" s="123">
        <v>231.0</v>
      </c>
      <c r="AH61" s="123">
        <v>120.0</v>
      </c>
      <c r="AI61" s="123">
        <v>95.0</v>
      </c>
      <c r="AJ61" s="123">
        <v>187.0</v>
      </c>
      <c r="AK61" s="123">
        <v>162.0</v>
      </c>
      <c r="AL61" s="123">
        <v>152.0</v>
      </c>
      <c r="AM61" s="123">
        <v>168.0</v>
      </c>
      <c r="AN61" s="123">
        <v>149.0</v>
      </c>
      <c r="AO61" s="123">
        <v>219.0</v>
      </c>
    </row>
    <row r="62">
      <c r="A62" s="214" t="s">
        <v>158</v>
      </c>
      <c r="B62" s="123">
        <v>142.0</v>
      </c>
      <c r="C62" s="123">
        <v>189.0</v>
      </c>
      <c r="D62" s="123">
        <v>170.0</v>
      </c>
      <c r="E62" s="123">
        <v>108.0</v>
      </c>
      <c r="F62" s="123">
        <v>167.0</v>
      </c>
      <c r="G62" s="123">
        <v>162.0</v>
      </c>
      <c r="H62" s="123">
        <v>233.0</v>
      </c>
      <c r="I62" s="123">
        <v>173.0</v>
      </c>
      <c r="J62" s="123">
        <v>161.0</v>
      </c>
      <c r="K62" s="123">
        <v>143.0</v>
      </c>
      <c r="L62" s="123">
        <v>133.0</v>
      </c>
      <c r="M62" s="123">
        <v>277.0</v>
      </c>
      <c r="N62" s="123">
        <v>139.0</v>
      </c>
      <c r="O62" s="123">
        <v>197.0</v>
      </c>
      <c r="P62" s="123">
        <v>91.0</v>
      </c>
      <c r="Q62" s="123">
        <v>215.0</v>
      </c>
      <c r="R62" s="123">
        <v>129.0</v>
      </c>
      <c r="S62" s="123" t="s">
        <v>163</v>
      </c>
      <c r="T62" s="123">
        <v>81.0</v>
      </c>
      <c r="U62" s="123">
        <v>277.0</v>
      </c>
      <c r="V62" s="123" t="s">
        <v>163</v>
      </c>
      <c r="W62" s="123">
        <v>234.0</v>
      </c>
      <c r="X62" s="123">
        <v>164.0</v>
      </c>
      <c r="Y62" s="123">
        <v>206.0</v>
      </c>
      <c r="Z62" s="123">
        <v>105.0</v>
      </c>
      <c r="AA62" s="123">
        <v>194.0</v>
      </c>
      <c r="AB62" s="123">
        <v>172.0</v>
      </c>
      <c r="AC62" s="123">
        <v>205.0</v>
      </c>
      <c r="AD62" s="123" t="s">
        <v>163</v>
      </c>
      <c r="AE62" s="123">
        <v>104.0</v>
      </c>
      <c r="AF62" s="123">
        <v>462.0</v>
      </c>
      <c r="AG62" s="123">
        <v>189.0</v>
      </c>
      <c r="AH62" s="123">
        <v>120.0</v>
      </c>
      <c r="AI62" s="123">
        <v>67.0</v>
      </c>
      <c r="AJ62" s="123">
        <v>137.0</v>
      </c>
      <c r="AK62" s="123">
        <v>210.0</v>
      </c>
      <c r="AL62" s="123">
        <v>124.0</v>
      </c>
      <c r="AM62" s="123">
        <v>172.0</v>
      </c>
      <c r="AN62" s="123">
        <v>267.0</v>
      </c>
      <c r="AO62" s="123">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315</v>
      </c>
      <c r="B1" s="215"/>
      <c r="C1" s="215"/>
      <c r="D1" s="215"/>
      <c r="E1" s="215"/>
      <c r="F1" s="215"/>
      <c r="G1" s="215"/>
      <c r="H1" s="215"/>
      <c r="I1" s="215"/>
      <c r="J1" s="215"/>
      <c r="K1" s="215"/>
      <c r="L1" s="215"/>
      <c r="M1" s="215"/>
      <c r="N1" s="216"/>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c r="A2" s="106" t="s">
        <v>316</v>
      </c>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row>
    <row r="3">
      <c r="A3" s="106" t="s">
        <v>317</v>
      </c>
      <c r="I3" s="217"/>
      <c r="J3" s="217"/>
      <c r="K3" s="217"/>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row>
    <row r="4">
      <c r="A4" s="106" t="s">
        <v>0</v>
      </c>
      <c r="B4" s="218">
        <v>44216.0</v>
      </c>
      <c r="C4" s="219" t="s">
        <v>318</v>
      </c>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row>
    <row r="5">
      <c r="A5" s="109"/>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row>
    <row r="6">
      <c r="A6" s="197" t="s">
        <v>319</v>
      </c>
      <c r="B6" s="111"/>
      <c r="C6" s="111"/>
      <c r="D6" s="111"/>
      <c r="E6" s="111"/>
      <c r="F6" s="111"/>
      <c r="G6" s="111"/>
      <c r="H6" s="111"/>
      <c r="I6" s="111"/>
      <c r="J6" s="111"/>
      <c r="K6" s="41"/>
      <c r="L6" s="220"/>
      <c r="M6" s="220"/>
      <c r="N6" s="220"/>
      <c r="O6" s="220"/>
      <c r="P6" s="220"/>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row>
    <row r="7">
      <c r="A7" s="104"/>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row>
    <row r="8">
      <c r="A8" s="221" t="s">
        <v>103</v>
      </c>
      <c r="B8" s="222" t="s">
        <v>272</v>
      </c>
      <c r="C8" s="222" t="s">
        <v>273</v>
      </c>
      <c r="D8" s="222" t="s">
        <v>274</v>
      </c>
      <c r="E8" s="222" t="s">
        <v>275</v>
      </c>
      <c r="F8" s="222" t="s">
        <v>276</v>
      </c>
      <c r="G8" s="222" t="s">
        <v>277</v>
      </c>
      <c r="H8" s="222" t="s">
        <v>278</v>
      </c>
      <c r="I8" s="222" t="s">
        <v>279</v>
      </c>
      <c r="J8" s="222" t="s">
        <v>280</v>
      </c>
      <c r="K8" s="222" t="s">
        <v>281</v>
      </c>
      <c r="L8" s="222" t="s">
        <v>282</v>
      </c>
      <c r="M8" s="222" t="s">
        <v>283</v>
      </c>
      <c r="N8" s="222" t="s">
        <v>284</v>
      </c>
      <c r="O8" s="222" t="s">
        <v>285</v>
      </c>
      <c r="P8" s="222" t="s">
        <v>286</v>
      </c>
      <c r="Q8" s="222" t="s">
        <v>287</v>
      </c>
      <c r="R8" s="222" t="s">
        <v>288</v>
      </c>
      <c r="S8" s="222" t="s">
        <v>289</v>
      </c>
      <c r="T8" s="222" t="s">
        <v>290</v>
      </c>
      <c r="U8" s="222" t="s">
        <v>291</v>
      </c>
      <c r="V8" s="222" t="s">
        <v>292</v>
      </c>
      <c r="W8" s="222" t="s">
        <v>293</v>
      </c>
      <c r="X8" s="222" t="s">
        <v>294</v>
      </c>
      <c r="Y8" s="222" t="s">
        <v>295</v>
      </c>
      <c r="Z8" s="222" t="s">
        <v>296</v>
      </c>
      <c r="AA8" s="222" t="s">
        <v>297</v>
      </c>
      <c r="AB8" s="222" t="s">
        <v>298</v>
      </c>
      <c r="AC8" s="222" t="s">
        <v>299</v>
      </c>
      <c r="AD8" s="222" t="s">
        <v>300</v>
      </c>
      <c r="AE8" s="222" t="s">
        <v>301</v>
      </c>
      <c r="AF8" s="222" t="s">
        <v>302</v>
      </c>
      <c r="AG8" s="222" t="s">
        <v>303</v>
      </c>
      <c r="AH8" s="222" t="s">
        <v>304</v>
      </c>
      <c r="AI8" s="222" t="s">
        <v>305</v>
      </c>
      <c r="AJ8" s="222" t="s">
        <v>306</v>
      </c>
      <c r="AK8" s="222" t="s">
        <v>307</v>
      </c>
      <c r="AL8" s="222" t="s">
        <v>308</v>
      </c>
      <c r="AM8" s="222" t="s">
        <v>309</v>
      </c>
      <c r="AN8" s="222" t="s">
        <v>310</v>
      </c>
      <c r="AO8" s="222" t="s">
        <v>311</v>
      </c>
      <c r="AP8" s="222" t="s">
        <v>266</v>
      </c>
    </row>
    <row r="9">
      <c r="A9" s="223" t="s">
        <v>106</v>
      </c>
      <c r="B9" s="224" t="s">
        <v>38</v>
      </c>
      <c r="C9" s="224" t="s">
        <v>38</v>
      </c>
      <c r="D9" s="224" t="s">
        <v>38</v>
      </c>
      <c r="E9" s="224" t="s">
        <v>38</v>
      </c>
      <c r="F9" s="224" t="s">
        <v>38</v>
      </c>
      <c r="G9" s="224" t="s">
        <v>38</v>
      </c>
      <c r="H9" s="224" t="s">
        <v>38</v>
      </c>
      <c r="I9" s="224" t="s">
        <v>38</v>
      </c>
      <c r="J9" s="224" t="s">
        <v>38</v>
      </c>
      <c r="K9" s="224" t="s">
        <v>38</v>
      </c>
      <c r="L9" s="224" t="s">
        <v>38</v>
      </c>
      <c r="M9" s="224" t="s">
        <v>38</v>
      </c>
      <c r="N9" s="224" t="s">
        <v>38</v>
      </c>
      <c r="O9" s="224" t="s">
        <v>38</v>
      </c>
      <c r="P9" s="224" t="s">
        <v>38</v>
      </c>
      <c r="Q9" s="224" t="s">
        <v>38</v>
      </c>
      <c r="R9" s="224" t="s">
        <v>38</v>
      </c>
      <c r="S9" s="224" t="s">
        <v>38</v>
      </c>
      <c r="T9" s="224" t="s">
        <v>38</v>
      </c>
      <c r="U9" s="224" t="s">
        <v>38</v>
      </c>
      <c r="V9" s="224" t="s">
        <v>38</v>
      </c>
      <c r="W9" s="224" t="s">
        <v>38</v>
      </c>
      <c r="X9" s="224" t="s">
        <v>38</v>
      </c>
      <c r="Y9" s="224" t="s">
        <v>38</v>
      </c>
      <c r="Z9" s="224" t="s">
        <v>38</v>
      </c>
      <c r="AA9" s="224" t="s">
        <v>38</v>
      </c>
      <c r="AB9" s="224" t="s">
        <v>38</v>
      </c>
      <c r="AC9" s="224" t="s">
        <v>38</v>
      </c>
      <c r="AD9" s="224" t="s">
        <v>38</v>
      </c>
      <c r="AE9" s="224" t="s">
        <v>38</v>
      </c>
      <c r="AF9" s="224" t="s">
        <v>38</v>
      </c>
      <c r="AG9" s="224" t="s">
        <v>38</v>
      </c>
      <c r="AH9" s="224" t="s">
        <v>38</v>
      </c>
      <c r="AI9" s="224" t="s">
        <v>38</v>
      </c>
      <c r="AJ9" s="224" t="s">
        <v>38</v>
      </c>
      <c r="AK9" s="224" t="s">
        <v>38</v>
      </c>
      <c r="AL9" s="224" t="s">
        <v>38</v>
      </c>
      <c r="AM9" s="224" t="s">
        <v>38</v>
      </c>
      <c r="AN9" s="224" t="s">
        <v>38</v>
      </c>
      <c r="AO9" s="224" t="s">
        <v>38</v>
      </c>
      <c r="AP9" s="224" t="s">
        <v>38</v>
      </c>
    </row>
    <row r="10">
      <c r="A10" s="223" t="s">
        <v>107</v>
      </c>
      <c r="B10" s="224" t="s">
        <v>38</v>
      </c>
      <c r="C10" s="224" t="s">
        <v>38</v>
      </c>
      <c r="D10" s="224" t="s">
        <v>38</v>
      </c>
      <c r="E10" s="224" t="s">
        <v>38</v>
      </c>
      <c r="F10" s="224" t="s">
        <v>38</v>
      </c>
      <c r="G10" s="224" t="s">
        <v>38</v>
      </c>
      <c r="H10" s="224" t="s">
        <v>38</v>
      </c>
      <c r="I10" s="224" t="s">
        <v>38</v>
      </c>
      <c r="J10" s="224" t="s">
        <v>38</v>
      </c>
      <c r="K10" s="224" t="s">
        <v>38</v>
      </c>
      <c r="L10" s="224" t="s">
        <v>38</v>
      </c>
      <c r="M10" s="224" t="s">
        <v>38</v>
      </c>
      <c r="N10" s="224" t="s">
        <v>38</v>
      </c>
      <c r="O10" s="224" t="s">
        <v>38</v>
      </c>
      <c r="P10" s="224" t="s">
        <v>38</v>
      </c>
      <c r="Q10" s="224" t="s">
        <v>38</v>
      </c>
      <c r="R10" s="224" t="s">
        <v>38</v>
      </c>
      <c r="S10" s="224" t="s">
        <v>38</v>
      </c>
      <c r="T10" s="224" t="s">
        <v>38</v>
      </c>
      <c r="U10" s="224" t="s">
        <v>38</v>
      </c>
      <c r="V10" s="224" t="s">
        <v>38</v>
      </c>
      <c r="W10" s="224" t="s">
        <v>38</v>
      </c>
      <c r="X10" s="224" t="s">
        <v>38</v>
      </c>
      <c r="Y10" s="224" t="s">
        <v>38</v>
      </c>
      <c r="Z10" s="224" t="s">
        <v>38</v>
      </c>
      <c r="AA10" s="224" t="s">
        <v>38</v>
      </c>
      <c r="AB10" s="224" t="s">
        <v>38</v>
      </c>
      <c r="AC10" s="224" t="s">
        <v>38</v>
      </c>
      <c r="AD10" s="224" t="s">
        <v>38</v>
      </c>
      <c r="AE10" s="224" t="s">
        <v>38</v>
      </c>
      <c r="AF10" s="224" t="s">
        <v>38</v>
      </c>
      <c r="AG10" s="224" t="s">
        <v>38</v>
      </c>
      <c r="AH10" s="224" t="s">
        <v>38</v>
      </c>
      <c r="AI10" s="224" t="s">
        <v>38</v>
      </c>
      <c r="AJ10" s="224" t="s">
        <v>38</v>
      </c>
      <c r="AK10" s="224" t="s">
        <v>38</v>
      </c>
      <c r="AL10" s="224" t="s">
        <v>38</v>
      </c>
      <c r="AM10" s="224" t="s">
        <v>38</v>
      </c>
      <c r="AN10" s="224" t="s">
        <v>38</v>
      </c>
      <c r="AO10" s="224" t="s">
        <v>38</v>
      </c>
      <c r="AP10" s="224" t="s">
        <v>38</v>
      </c>
    </row>
    <row r="11">
      <c r="A11" s="223" t="s">
        <v>108</v>
      </c>
      <c r="B11" s="224" t="s">
        <v>38</v>
      </c>
      <c r="C11" s="224" t="s">
        <v>38</v>
      </c>
      <c r="D11" s="224" t="s">
        <v>38</v>
      </c>
      <c r="E11" s="224" t="s">
        <v>38</v>
      </c>
      <c r="F11" s="224" t="s">
        <v>38</v>
      </c>
      <c r="G11" s="224" t="s">
        <v>38</v>
      </c>
      <c r="H11" s="224" t="s">
        <v>38</v>
      </c>
      <c r="I11" s="224" t="s">
        <v>38</v>
      </c>
      <c r="J11" s="224" t="s">
        <v>38</v>
      </c>
      <c r="K11" s="224" t="s">
        <v>38</v>
      </c>
      <c r="L11" s="224" t="s">
        <v>38</v>
      </c>
      <c r="M11" s="224" t="s">
        <v>38</v>
      </c>
      <c r="N11" s="224" t="s">
        <v>38</v>
      </c>
      <c r="O11" s="224" t="s">
        <v>38</v>
      </c>
      <c r="P11" s="224" t="s">
        <v>38</v>
      </c>
      <c r="Q11" s="224" t="s">
        <v>38</v>
      </c>
      <c r="R11" s="224" t="s">
        <v>38</v>
      </c>
      <c r="S11" s="224" t="s">
        <v>38</v>
      </c>
      <c r="T11" s="224" t="s">
        <v>38</v>
      </c>
      <c r="U11" s="224" t="s">
        <v>38</v>
      </c>
      <c r="V11" s="224" t="s">
        <v>38</v>
      </c>
      <c r="W11" s="224" t="s">
        <v>38</v>
      </c>
      <c r="X11" s="224" t="s">
        <v>38</v>
      </c>
      <c r="Y11" s="224" t="s">
        <v>38</v>
      </c>
      <c r="Z11" s="224" t="s">
        <v>38</v>
      </c>
      <c r="AA11" s="224" t="s">
        <v>38</v>
      </c>
      <c r="AB11" s="224" t="s">
        <v>38</v>
      </c>
      <c r="AC11" s="224" t="s">
        <v>38</v>
      </c>
      <c r="AD11" s="224" t="s">
        <v>38</v>
      </c>
      <c r="AE11" s="224" t="s">
        <v>38</v>
      </c>
      <c r="AF11" s="224" t="s">
        <v>38</v>
      </c>
      <c r="AG11" s="224" t="s">
        <v>38</v>
      </c>
      <c r="AH11" s="224" t="s">
        <v>38</v>
      </c>
      <c r="AI11" s="224" t="s">
        <v>38</v>
      </c>
      <c r="AJ11" s="224" t="s">
        <v>38</v>
      </c>
      <c r="AK11" s="224" t="s">
        <v>38</v>
      </c>
      <c r="AL11" s="224" t="s">
        <v>38</v>
      </c>
      <c r="AM11" s="224" t="s">
        <v>38</v>
      </c>
      <c r="AN11" s="224" t="s">
        <v>38</v>
      </c>
      <c r="AO11" s="224" t="s">
        <v>38</v>
      </c>
      <c r="AP11" s="224" t="s">
        <v>38</v>
      </c>
    </row>
    <row r="12">
      <c r="A12" s="223" t="s">
        <v>109</v>
      </c>
      <c r="B12" s="224" t="s">
        <v>38</v>
      </c>
      <c r="C12" s="224" t="s">
        <v>38</v>
      </c>
      <c r="D12" s="224" t="s">
        <v>38</v>
      </c>
      <c r="E12" s="224" t="s">
        <v>38</v>
      </c>
      <c r="F12" s="224" t="s">
        <v>38</v>
      </c>
      <c r="G12" s="224" t="s">
        <v>38</v>
      </c>
      <c r="H12" s="224" t="s">
        <v>38</v>
      </c>
      <c r="I12" s="224" t="s">
        <v>38</v>
      </c>
      <c r="J12" s="224" t="s">
        <v>38</v>
      </c>
      <c r="K12" s="224" t="s">
        <v>38</v>
      </c>
      <c r="L12" s="224" t="s">
        <v>38</v>
      </c>
      <c r="M12" s="224" t="s">
        <v>38</v>
      </c>
      <c r="N12" s="224" t="s">
        <v>38</v>
      </c>
      <c r="O12" s="224" t="s">
        <v>38</v>
      </c>
      <c r="P12" s="224" t="s">
        <v>38</v>
      </c>
      <c r="Q12" s="224" t="s">
        <v>38</v>
      </c>
      <c r="R12" s="224" t="s">
        <v>38</v>
      </c>
      <c r="S12" s="224" t="s">
        <v>38</v>
      </c>
      <c r="T12" s="224" t="s">
        <v>38</v>
      </c>
      <c r="U12" s="224" t="s">
        <v>38</v>
      </c>
      <c r="V12" s="224" t="s">
        <v>38</v>
      </c>
      <c r="W12" s="224" t="s">
        <v>38</v>
      </c>
      <c r="X12" s="224" t="s">
        <v>38</v>
      </c>
      <c r="Y12" s="224" t="s">
        <v>38</v>
      </c>
      <c r="Z12" s="224" t="s">
        <v>38</v>
      </c>
      <c r="AA12" s="224" t="s">
        <v>38</v>
      </c>
      <c r="AB12" s="224" t="s">
        <v>38</v>
      </c>
      <c r="AC12" s="224" t="s">
        <v>38</v>
      </c>
      <c r="AD12" s="224" t="s">
        <v>38</v>
      </c>
      <c r="AE12" s="224" t="s">
        <v>38</v>
      </c>
      <c r="AF12" s="224" t="s">
        <v>38</v>
      </c>
      <c r="AG12" s="224" t="s">
        <v>38</v>
      </c>
      <c r="AH12" s="224" t="s">
        <v>38</v>
      </c>
      <c r="AI12" s="224" t="s">
        <v>38</v>
      </c>
      <c r="AJ12" s="224" t="s">
        <v>38</v>
      </c>
      <c r="AK12" s="224" t="s">
        <v>38</v>
      </c>
      <c r="AL12" s="224" t="s">
        <v>38</v>
      </c>
      <c r="AM12" s="224" t="s">
        <v>38</v>
      </c>
      <c r="AN12" s="224" t="s">
        <v>38</v>
      </c>
      <c r="AO12" s="224" t="s">
        <v>38</v>
      </c>
      <c r="AP12" s="224" t="s">
        <v>38</v>
      </c>
    </row>
    <row r="13">
      <c r="A13" s="223" t="s">
        <v>110</v>
      </c>
      <c r="B13" s="224" t="s">
        <v>38</v>
      </c>
      <c r="C13" s="224" t="s">
        <v>38</v>
      </c>
      <c r="D13" s="224" t="s">
        <v>38</v>
      </c>
      <c r="E13" s="224" t="s">
        <v>38</v>
      </c>
      <c r="F13" s="224" t="s">
        <v>38</v>
      </c>
      <c r="G13" s="224" t="s">
        <v>38</v>
      </c>
      <c r="H13" s="224" t="s">
        <v>38</v>
      </c>
      <c r="I13" s="224" t="s">
        <v>38</v>
      </c>
      <c r="J13" s="224" t="s">
        <v>38</v>
      </c>
      <c r="K13" s="224" t="s">
        <v>38</v>
      </c>
      <c r="L13" s="224" t="s">
        <v>38</v>
      </c>
      <c r="M13" s="224" t="s">
        <v>38</v>
      </c>
      <c r="N13" s="224" t="s">
        <v>38</v>
      </c>
      <c r="O13" s="224" t="s">
        <v>38</v>
      </c>
      <c r="P13" s="224" t="s">
        <v>38</v>
      </c>
      <c r="Q13" s="224" t="s">
        <v>38</v>
      </c>
      <c r="R13" s="224" t="s">
        <v>38</v>
      </c>
      <c r="S13" s="224" t="s">
        <v>38</v>
      </c>
      <c r="T13" s="224" t="s">
        <v>38</v>
      </c>
      <c r="U13" s="224" t="s">
        <v>38</v>
      </c>
      <c r="V13" s="224" t="s">
        <v>38</v>
      </c>
      <c r="W13" s="224" t="s">
        <v>38</v>
      </c>
      <c r="X13" s="224" t="s">
        <v>38</v>
      </c>
      <c r="Y13" s="224" t="s">
        <v>38</v>
      </c>
      <c r="Z13" s="224" t="s">
        <v>38</v>
      </c>
      <c r="AA13" s="224" t="s">
        <v>38</v>
      </c>
      <c r="AB13" s="224" t="s">
        <v>38</v>
      </c>
      <c r="AC13" s="224" t="s">
        <v>38</v>
      </c>
      <c r="AD13" s="224" t="s">
        <v>38</v>
      </c>
      <c r="AE13" s="224" t="s">
        <v>38</v>
      </c>
      <c r="AF13" s="224" t="s">
        <v>38</v>
      </c>
      <c r="AG13" s="224" t="s">
        <v>38</v>
      </c>
      <c r="AH13" s="224" t="s">
        <v>38</v>
      </c>
      <c r="AI13" s="224" t="s">
        <v>38</v>
      </c>
      <c r="AJ13" s="224" t="s">
        <v>38</v>
      </c>
      <c r="AK13" s="224" t="s">
        <v>38</v>
      </c>
      <c r="AL13" s="224" t="s">
        <v>38</v>
      </c>
      <c r="AM13" s="224" t="s">
        <v>38</v>
      </c>
      <c r="AN13" s="224" t="s">
        <v>38</v>
      </c>
      <c r="AO13" s="224" t="s">
        <v>38</v>
      </c>
      <c r="AP13" s="224" t="s">
        <v>38</v>
      </c>
    </row>
    <row r="14">
      <c r="A14" s="223" t="s">
        <v>111</v>
      </c>
      <c r="B14" s="224" t="s">
        <v>38</v>
      </c>
      <c r="C14" s="224" t="s">
        <v>38</v>
      </c>
      <c r="D14" s="224" t="s">
        <v>38</v>
      </c>
      <c r="E14" s="224" t="s">
        <v>38</v>
      </c>
      <c r="F14" s="224" t="s">
        <v>38</v>
      </c>
      <c r="G14" s="224" t="s">
        <v>38</v>
      </c>
      <c r="H14" s="224" t="s">
        <v>38</v>
      </c>
      <c r="I14" s="224" t="s">
        <v>38</v>
      </c>
      <c r="J14" s="224" t="s">
        <v>38</v>
      </c>
      <c r="K14" s="224" t="s">
        <v>38</v>
      </c>
      <c r="L14" s="224" t="s">
        <v>38</v>
      </c>
      <c r="M14" s="224" t="s">
        <v>38</v>
      </c>
      <c r="N14" s="224" t="s">
        <v>38</v>
      </c>
      <c r="O14" s="224" t="s">
        <v>38</v>
      </c>
      <c r="P14" s="224" t="s">
        <v>38</v>
      </c>
      <c r="Q14" s="224" t="s">
        <v>38</v>
      </c>
      <c r="R14" s="224" t="s">
        <v>38</v>
      </c>
      <c r="S14" s="224" t="s">
        <v>38</v>
      </c>
      <c r="T14" s="224" t="s">
        <v>38</v>
      </c>
      <c r="U14" s="224" t="s">
        <v>38</v>
      </c>
      <c r="V14" s="224" t="s">
        <v>38</v>
      </c>
      <c r="W14" s="224" t="s">
        <v>38</v>
      </c>
      <c r="X14" s="224" t="s">
        <v>38</v>
      </c>
      <c r="Y14" s="224" t="s">
        <v>38</v>
      </c>
      <c r="Z14" s="224" t="s">
        <v>38</v>
      </c>
      <c r="AA14" s="224" t="s">
        <v>38</v>
      </c>
      <c r="AB14" s="224" t="s">
        <v>38</v>
      </c>
      <c r="AC14" s="224" t="s">
        <v>38</v>
      </c>
      <c r="AD14" s="224" t="s">
        <v>38</v>
      </c>
      <c r="AE14" s="224" t="s">
        <v>38</v>
      </c>
      <c r="AF14" s="224" t="s">
        <v>38</v>
      </c>
      <c r="AG14" s="224" t="s">
        <v>38</v>
      </c>
      <c r="AH14" s="224" t="s">
        <v>38</v>
      </c>
      <c r="AI14" s="224" t="s">
        <v>38</v>
      </c>
      <c r="AJ14" s="224" t="s">
        <v>38</v>
      </c>
      <c r="AK14" s="224" t="s">
        <v>38</v>
      </c>
      <c r="AL14" s="224" t="s">
        <v>38</v>
      </c>
      <c r="AM14" s="224" t="s">
        <v>38</v>
      </c>
      <c r="AN14" s="224" t="s">
        <v>38</v>
      </c>
      <c r="AO14" s="224" t="s">
        <v>38</v>
      </c>
      <c r="AP14" s="224" t="s">
        <v>38</v>
      </c>
    </row>
    <row r="15">
      <c r="A15" s="223" t="s">
        <v>112</v>
      </c>
      <c r="B15" s="224" t="s">
        <v>38</v>
      </c>
      <c r="C15" s="224" t="s">
        <v>38</v>
      </c>
      <c r="D15" s="224" t="s">
        <v>38</v>
      </c>
      <c r="E15" s="224" t="s">
        <v>38</v>
      </c>
      <c r="F15" s="224" t="s">
        <v>38</v>
      </c>
      <c r="G15" s="224" t="s">
        <v>38</v>
      </c>
      <c r="H15" s="224" t="s">
        <v>38</v>
      </c>
      <c r="I15" s="224" t="s">
        <v>38</v>
      </c>
      <c r="J15" s="224" t="s">
        <v>38</v>
      </c>
      <c r="K15" s="224" t="s">
        <v>38</v>
      </c>
      <c r="L15" s="224" t="s">
        <v>38</v>
      </c>
      <c r="M15" s="224" t="s">
        <v>38</v>
      </c>
      <c r="N15" s="224" t="s">
        <v>38</v>
      </c>
      <c r="O15" s="224" t="s">
        <v>38</v>
      </c>
      <c r="P15" s="224" t="s">
        <v>38</v>
      </c>
      <c r="Q15" s="224" t="s">
        <v>38</v>
      </c>
      <c r="R15" s="224" t="s">
        <v>38</v>
      </c>
      <c r="S15" s="224" t="s">
        <v>38</v>
      </c>
      <c r="T15" s="224" t="s">
        <v>38</v>
      </c>
      <c r="U15" s="224" t="s">
        <v>38</v>
      </c>
      <c r="V15" s="224" t="s">
        <v>38</v>
      </c>
      <c r="W15" s="224" t="s">
        <v>38</v>
      </c>
      <c r="X15" s="224" t="s">
        <v>38</v>
      </c>
      <c r="Y15" s="224" t="s">
        <v>38</v>
      </c>
      <c r="Z15" s="224" t="s">
        <v>38</v>
      </c>
      <c r="AA15" s="224" t="s">
        <v>38</v>
      </c>
      <c r="AB15" s="224" t="s">
        <v>38</v>
      </c>
      <c r="AC15" s="224" t="s">
        <v>38</v>
      </c>
      <c r="AD15" s="224" t="s">
        <v>38</v>
      </c>
      <c r="AE15" s="224" t="s">
        <v>38</v>
      </c>
      <c r="AF15" s="224" t="s">
        <v>38</v>
      </c>
      <c r="AG15" s="224" t="s">
        <v>38</v>
      </c>
      <c r="AH15" s="224" t="s">
        <v>38</v>
      </c>
      <c r="AI15" s="224" t="s">
        <v>38</v>
      </c>
      <c r="AJ15" s="224" t="s">
        <v>38</v>
      </c>
      <c r="AK15" s="224" t="s">
        <v>38</v>
      </c>
      <c r="AL15" s="224" t="s">
        <v>38</v>
      </c>
      <c r="AM15" s="224" t="s">
        <v>38</v>
      </c>
      <c r="AN15" s="224" t="s">
        <v>38</v>
      </c>
      <c r="AO15" s="224" t="s">
        <v>38</v>
      </c>
      <c r="AP15" s="224" t="s">
        <v>38</v>
      </c>
    </row>
    <row r="16">
      <c r="A16" s="223" t="s">
        <v>113</v>
      </c>
      <c r="B16" s="224" t="s">
        <v>38</v>
      </c>
      <c r="C16" s="224" t="s">
        <v>38</v>
      </c>
      <c r="D16" s="224" t="s">
        <v>38</v>
      </c>
      <c r="E16" s="224" t="s">
        <v>38</v>
      </c>
      <c r="F16" s="224" t="s">
        <v>38</v>
      </c>
      <c r="G16" s="224" t="s">
        <v>38</v>
      </c>
      <c r="H16" s="224" t="s">
        <v>38</v>
      </c>
      <c r="I16" s="224" t="s">
        <v>38</v>
      </c>
      <c r="J16" s="224" t="s">
        <v>38</v>
      </c>
      <c r="K16" s="224" t="s">
        <v>38</v>
      </c>
      <c r="L16" s="224" t="s">
        <v>38</v>
      </c>
      <c r="M16" s="224" t="s">
        <v>38</v>
      </c>
      <c r="N16" s="224" t="s">
        <v>38</v>
      </c>
      <c r="O16" s="224" t="s">
        <v>38</v>
      </c>
      <c r="P16" s="224" t="s">
        <v>38</v>
      </c>
      <c r="Q16" s="224" t="s">
        <v>38</v>
      </c>
      <c r="R16" s="224" t="s">
        <v>38</v>
      </c>
      <c r="S16" s="224" t="s">
        <v>38</v>
      </c>
      <c r="T16" s="224" t="s">
        <v>38</v>
      </c>
      <c r="U16" s="224" t="s">
        <v>38</v>
      </c>
      <c r="V16" s="224" t="s">
        <v>38</v>
      </c>
      <c r="W16" s="224" t="s">
        <v>38</v>
      </c>
      <c r="X16" s="224" t="s">
        <v>38</v>
      </c>
      <c r="Y16" s="224" t="s">
        <v>38</v>
      </c>
      <c r="Z16" s="224" t="s">
        <v>38</v>
      </c>
      <c r="AA16" s="224" t="s">
        <v>38</v>
      </c>
      <c r="AB16" s="224" t="s">
        <v>38</v>
      </c>
      <c r="AC16" s="224" t="s">
        <v>38</v>
      </c>
      <c r="AD16" s="224" t="s">
        <v>38</v>
      </c>
      <c r="AE16" s="224" t="s">
        <v>38</v>
      </c>
      <c r="AF16" s="224" t="s">
        <v>38</v>
      </c>
      <c r="AG16" s="224" t="s">
        <v>38</v>
      </c>
      <c r="AH16" s="224" t="s">
        <v>38</v>
      </c>
      <c r="AI16" s="224" t="s">
        <v>38</v>
      </c>
      <c r="AJ16" s="224" t="s">
        <v>38</v>
      </c>
      <c r="AK16" s="224" t="s">
        <v>38</v>
      </c>
      <c r="AL16" s="224" t="s">
        <v>38</v>
      </c>
      <c r="AM16" s="224" t="s">
        <v>38</v>
      </c>
      <c r="AN16" s="224" t="s">
        <v>38</v>
      </c>
      <c r="AO16" s="224" t="s">
        <v>38</v>
      </c>
      <c r="AP16" s="224" t="s">
        <v>38</v>
      </c>
    </row>
    <row r="17">
      <c r="A17" s="223" t="s">
        <v>114</v>
      </c>
      <c r="B17" s="225">
        <v>128.0</v>
      </c>
      <c r="C17" s="225">
        <v>198.0</v>
      </c>
      <c r="D17" s="225">
        <v>191.0</v>
      </c>
      <c r="E17" s="225">
        <v>590.0</v>
      </c>
      <c r="F17" s="225">
        <v>48.0</v>
      </c>
      <c r="G17" s="225">
        <v>275.0</v>
      </c>
      <c r="H17" s="226">
        <v>1063.0</v>
      </c>
      <c r="I17" s="225">
        <v>426.0</v>
      </c>
      <c r="J17" s="225">
        <v>219.0</v>
      </c>
      <c r="K17" s="225">
        <v>725.0</v>
      </c>
      <c r="L17" s="225">
        <v>56.0</v>
      </c>
      <c r="M17" s="225">
        <v>39.0</v>
      </c>
      <c r="N17" s="225">
        <v>72.0</v>
      </c>
      <c r="O17" s="225">
        <v>56.0</v>
      </c>
      <c r="P17" s="225">
        <v>35.0</v>
      </c>
      <c r="Q17" s="225">
        <v>352.0</v>
      </c>
      <c r="R17" s="225">
        <v>259.0</v>
      </c>
      <c r="S17" s="225">
        <v>17.0</v>
      </c>
      <c r="T17" s="225">
        <v>170.0</v>
      </c>
      <c r="U17" s="225">
        <v>93.0</v>
      </c>
      <c r="V17" s="225">
        <v>5.0</v>
      </c>
      <c r="W17" s="225">
        <v>214.0</v>
      </c>
      <c r="X17" s="225">
        <v>239.0</v>
      </c>
      <c r="Y17" s="225">
        <v>581.0</v>
      </c>
      <c r="Z17" s="225">
        <v>144.0</v>
      </c>
      <c r="AA17" s="226">
        <v>1300.0</v>
      </c>
      <c r="AB17" s="225">
        <v>127.0</v>
      </c>
      <c r="AC17" s="226">
        <v>3316.0</v>
      </c>
      <c r="AD17" s="225">
        <v>43.0</v>
      </c>
      <c r="AE17" s="225">
        <v>114.0</v>
      </c>
      <c r="AF17" s="225">
        <v>142.0</v>
      </c>
      <c r="AG17" s="225">
        <v>169.0</v>
      </c>
      <c r="AH17" s="225">
        <v>142.0</v>
      </c>
      <c r="AI17" s="225">
        <v>114.0</v>
      </c>
      <c r="AJ17" s="225">
        <v>767.0</v>
      </c>
      <c r="AK17" s="225">
        <v>28.0</v>
      </c>
      <c r="AL17" s="225">
        <v>292.0</v>
      </c>
      <c r="AM17" s="225">
        <v>95.0</v>
      </c>
      <c r="AN17" s="225">
        <v>507.0</v>
      </c>
      <c r="AO17" s="226">
        <v>1034.0</v>
      </c>
      <c r="AP17" s="227">
        <v>14385.0</v>
      </c>
    </row>
    <row r="18">
      <c r="A18" s="223" t="s">
        <v>115</v>
      </c>
      <c r="B18" s="225">
        <v>109.0</v>
      </c>
      <c r="C18" s="225">
        <v>233.0</v>
      </c>
      <c r="D18" s="225">
        <v>139.0</v>
      </c>
      <c r="E18" s="225">
        <v>653.0</v>
      </c>
      <c r="F18" s="225">
        <v>63.0</v>
      </c>
      <c r="G18" s="225">
        <v>323.0</v>
      </c>
      <c r="H18" s="226">
        <v>1156.0</v>
      </c>
      <c r="I18" s="225">
        <v>343.0</v>
      </c>
      <c r="J18" s="225">
        <v>218.0</v>
      </c>
      <c r="K18" s="225">
        <v>715.0</v>
      </c>
      <c r="L18" s="225">
        <v>40.0</v>
      </c>
      <c r="M18" s="225">
        <v>25.0</v>
      </c>
      <c r="N18" s="225">
        <v>76.0</v>
      </c>
      <c r="O18" s="225">
        <v>55.0</v>
      </c>
      <c r="P18" s="225">
        <v>49.0</v>
      </c>
      <c r="Q18" s="225">
        <v>431.0</v>
      </c>
      <c r="R18" s="225">
        <v>302.0</v>
      </c>
      <c r="S18" s="225">
        <v>22.0</v>
      </c>
      <c r="T18" s="225">
        <v>162.0</v>
      </c>
      <c r="U18" s="225">
        <v>78.0</v>
      </c>
      <c r="V18" s="225">
        <v>7.0</v>
      </c>
      <c r="W18" s="225">
        <v>225.0</v>
      </c>
      <c r="X18" s="225">
        <v>228.0</v>
      </c>
      <c r="Y18" s="225">
        <v>571.0</v>
      </c>
      <c r="Z18" s="225">
        <v>104.0</v>
      </c>
      <c r="AA18" s="226">
        <v>1500.0</v>
      </c>
      <c r="AB18" s="225">
        <v>123.0</v>
      </c>
      <c r="AC18" s="226">
        <v>3465.0</v>
      </c>
      <c r="AD18" s="225">
        <v>51.0</v>
      </c>
      <c r="AE18" s="225">
        <v>116.0</v>
      </c>
      <c r="AF18" s="225">
        <v>138.0</v>
      </c>
      <c r="AG18" s="225">
        <v>238.0</v>
      </c>
      <c r="AH18" s="225">
        <v>174.0</v>
      </c>
      <c r="AI18" s="225">
        <v>152.0</v>
      </c>
      <c r="AJ18" s="225">
        <v>913.0</v>
      </c>
      <c r="AK18" s="225">
        <v>38.0</v>
      </c>
      <c r="AL18" s="225">
        <v>331.0</v>
      </c>
      <c r="AM18" s="225">
        <v>188.0</v>
      </c>
      <c r="AN18" s="225">
        <v>497.0</v>
      </c>
      <c r="AO18" s="226">
        <v>1290.0</v>
      </c>
      <c r="AP18" s="227">
        <v>15541.0</v>
      </c>
    </row>
    <row r="19">
      <c r="A19" s="223" t="s">
        <v>116</v>
      </c>
      <c r="B19" s="225">
        <v>121.0</v>
      </c>
      <c r="C19" s="225">
        <v>215.0</v>
      </c>
      <c r="D19" s="225">
        <v>249.0</v>
      </c>
      <c r="E19" s="225">
        <v>608.0</v>
      </c>
      <c r="F19" s="225">
        <v>106.0</v>
      </c>
      <c r="G19" s="225">
        <v>473.0</v>
      </c>
      <c r="H19" s="226">
        <v>1153.0</v>
      </c>
      <c r="I19" s="225">
        <v>379.0</v>
      </c>
      <c r="J19" s="225">
        <v>268.0</v>
      </c>
      <c r="K19" s="225">
        <v>745.0</v>
      </c>
      <c r="L19" s="225">
        <v>49.0</v>
      </c>
      <c r="M19" s="225">
        <v>48.0</v>
      </c>
      <c r="N19" s="225">
        <v>103.0</v>
      </c>
      <c r="O19" s="225">
        <v>131.0</v>
      </c>
      <c r="P19" s="225">
        <v>45.0</v>
      </c>
      <c r="Q19" s="225">
        <v>434.0</v>
      </c>
      <c r="R19" s="225">
        <v>306.0</v>
      </c>
      <c r="S19" s="225">
        <v>28.0</v>
      </c>
      <c r="T19" s="225">
        <v>295.0</v>
      </c>
      <c r="U19" s="225">
        <v>131.0</v>
      </c>
      <c r="V19" s="225" t="s">
        <v>55</v>
      </c>
      <c r="W19" s="225">
        <v>281.0</v>
      </c>
      <c r="X19" s="225">
        <v>311.0</v>
      </c>
      <c r="Y19" s="225">
        <v>635.0</v>
      </c>
      <c r="Z19" s="225">
        <v>293.0</v>
      </c>
      <c r="AA19" s="226">
        <v>1424.0</v>
      </c>
      <c r="AB19" s="225">
        <v>154.0</v>
      </c>
      <c r="AC19" s="226">
        <v>3676.0</v>
      </c>
      <c r="AD19" s="225">
        <v>65.0</v>
      </c>
      <c r="AE19" s="225">
        <v>137.0</v>
      </c>
      <c r="AF19" s="225">
        <v>174.0</v>
      </c>
      <c r="AG19" s="225">
        <v>276.0</v>
      </c>
      <c r="AH19" s="225">
        <v>138.0</v>
      </c>
      <c r="AI19" s="225">
        <v>169.0</v>
      </c>
      <c r="AJ19" s="225">
        <v>990.0</v>
      </c>
      <c r="AK19" s="225">
        <v>44.0</v>
      </c>
      <c r="AL19" s="225">
        <v>341.0</v>
      </c>
      <c r="AM19" s="225">
        <v>378.0</v>
      </c>
      <c r="AN19" s="225">
        <v>530.0</v>
      </c>
      <c r="AO19" s="226">
        <v>1130.0</v>
      </c>
      <c r="AP19" s="227">
        <v>17037.0</v>
      </c>
    </row>
    <row r="20">
      <c r="A20" s="223" t="s">
        <v>117</v>
      </c>
      <c r="B20" s="225">
        <v>134.0</v>
      </c>
      <c r="C20" s="225">
        <v>281.0</v>
      </c>
      <c r="D20" s="225">
        <v>227.0</v>
      </c>
      <c r="E20" s="225">
        <v>525.0</v>
      </c>
      <c r="F20" s="225">
        <v>74.0</v>
      </c>
      <c r="G20" s="225">
        <v>406.0</v>
      </c>
      <c r="H20" s="226">
        <v>1281.0</v>
      </c>
      <c r="I20" s="225">
        <v>433.0</v>
      </c>
      <c r="J20" s="225">
        <v>343.0</v>
      </c>
      <c r="K20" s="225">
        <v>710.0</v>
      </c>
      <c r="L20" s="225">
        <v>53.0</v>
      </c>
      <c r="M20" s="225">
        <v>72.0</v>
      </c>
      <c r="N20" s="225">
        <v>133.0</v>
      </c>
      <c r="O20" s="225">
        <v>68.0</v>
      </c>
      <c r="P20" s="225">
        <v>80.0</v>
      </c>
      <c r="Q20" s="225">
        <v>418.0</v>
      </c>
      <c r="R20" s="225">
        <v>314.0</v>
      </c>
      <c r="S20" s="225">
        <v>34.0</v>
      </c>
      <c r="T20" s="225">
        <v>271.0</v>
      </c>
      <c r="U20" s="225">
        <v>117.0</v>
      </c>
      <c r="V20" s="225">
        <v>6.0</v>
      </c>
      <c r="W20" s="225">
        <v>383.0</v>
      </c>
      <c r="X20" s="225">
        <v>290.0</v>
      </c>
      <c r="Y20" s="225">
        <v>583.0</v>
      </c>
      <c r="Z20" s="225">
        <v>170.0</v>
      </c>
      <c r="AA20" s="226">
        <v>1567.0</v>
      </c>
      <c r="AB20" s="225">
        <v>150.0</v>
      </c>
      <c r="AC20" s="226">
        <v>3771.0</v>
      </c>
      <c r="AD20" s="225">
        <v>57.0</v>
      </c>
      <c r="AE20" s="225">
        <v>125.0</v>
      </c>
      <c r="AF20" s="225">
        <v>130.0</v>
      </c>
      <c r="AG20" s="225">
        <v>281.0</v>
      </c>
      <c r="AH20" s="225">
        <v>171.0</v>
      </c>
      <c r="AI20" s="225">
        <v>176.0</v>
      </c>
      <c r="AJ20" s="225">
        <v>944.0</v>
      </c>
      <c r="AK20" s="225">
        <v>51.0</v>
      </c>
      <c r="AL20" s="225">
        <v>348.0</v>
      </c>
      <c r="AM20" s="225">
        <v>145.0</v>
      </c>
      <c r="AN20" s="225">
        <v>603.0</v>
      </c>
      <c r="AO20" s="225">
        <v>723.0</v>
      </c>
      <c r="AP20" s="227">
        <v>16648.0</v>
      </c>
    </row>
    <row r="21">
      <c r="A21" s="223" t="s">
        <v>118</v>
      </c>
      <c r="B21" s="225">
        <v>96.0</v>
      </c>
      <c r="C21" s="225">
        <v>311.0</v>
      </c>
      <c r="D21" s="225">
        <v>197.0</v>
      </c>
      <c r="E21" s="225">
        <v>352.0</v>
      </c>
      <c r="F21" s="225">
        <v>94.0</v>
      </c>
      <c r="G21" s="225">
        <v>455.0</v>
      </c>
      <c r="H21" s="226">
        <v>1032.0</v>
      </c>
      <c r="I21" s="225">
        <v>320.0</v>
      </c>
      <c r="J21" s="225">
        <v>228.0</v>
      </c>
      <c r="K21" s="225">
        <v>625.0</v>
      </c>
      <c r="L21" s="225">
        <v>65.0</v>
      </c>
      <c r="M21" s="225">
        <v>56.0</v>
      </c>
      <c r="N21" s="225">
        <v>84.0</v>
      </c>
      <c r="O21" s="225">
        <v>103.0</v>
      </c>
      <c r="P21" s="225">
        <v>47.0</v>
      </c>
      <c r="Q21" s="225">
        <v>364.0</v>
      </c>
      <c r="R21" s="225">
        <v>215.0</v>
      </c>
      <c r="S21" s="225">
        <v>26.0</v>
      </c>
      <c r="T21" s="225">
        <v>200.0</v>
      </c>
      <c r="U21" s="225">
        <v>127.0</v>
      </c>
      <c r="V21" s="225">
        <v>30.0</v>
      </c>
      <c r="W21" s="225">
        <v>218.0</v>
      </c>
      <c r="X21" s="225">
        <v>318.0</v>
      </c>
      <c r="Y21" s="225">
        <v>444.0</v>
      </c>
      <c r="Z21" s="225">
        <v>160.0</v>
      </c>
      <c r="AA21" s="226">
        <v>1075.0</v>
      </c>
      <c r="AB21" s="225">
        <v>145.0</v>
      </c>
      <c r="AC21" s="226">
        <v>2855.0</v>
      </c>
      <c r="AD21" s="225">
        <v>71.0</v>
      </c>
      <c r="AE21" s="225">
        <v>132.0</v>
      </c>
      <c r="AF21" s="225">
        <v>150.0</v>
      </c>
      <c r="AG21" s="225">
        <v>268.0</v>
      </c>
      <c r="AH21" s="225">
        <v>153.0</v>
      </c>
      <c r="AI21" s="225">
        <v>192.0</v>
      </c>
      <c r="AJ21" s="226">
        <v>1003.0</v>
      </c>
      <c r="AK21" s="225">
        <v>50.0</v>
      </c>
      <c r="AL21" s="225">
        <v>352.0</v>
      </c>
      <c r="AM21" s="225">
        <v>238.0</v>
      </c>
      <c r="AN21" s="225">
        <v>555.0</v>
      </c>
      <c r="AO21" s="225">
        <v>456.0</v>
      </c>
      <c r="AP21" s="227">
        <v>13862.0</v>
      </c>
    </row>
    <row r="22">
      <c r="A22" s="223" t="s">
        <v>119</v>
      </c>
      <c r="B22" s="225">
        <v>135.0</v>
      </c>
      <c r="C22" s="225">
        <v>237.0</v>
      </c>
      <c r="D22" s="225">
        <v>221.0</v>
      </c>
      <c r="E22" s="225">
        <v>339.0</v>
      </c>
      <c r="F22" s="225">
        <v>95.0</v>
      </c>
      <c r="G22" s="225">
        <v>540.0</v>
      </c>
      <c r="H22" s="226">
        <v>1125.0</v>
      </c>
      <c r="I22" s="225">
        <v>371.0</v>
      </c>
      <c r="J22" s="225">
        <v>324.0</v>
      </c>
      <c r="K22" s="225">
        <v>842.0</v>
      </c>
      <c r="L22" s="225">
        <v>97.0</v>
      </c>
      <c r="M22" s="225">
        <v>59.0</v>
      </c>
      <c r="N22" s="225">
        <v>101.0</v>
      </c>
      <c r="O22" s="225">
        <v>78.0</v>
      </c>
      <c r="P22" s="225">
        <v>71.0</v>
      </c>
      <c r="Q22" s="225">
        <v>428.0</v>
      </c>
      <c r="R22" s="225">
        <v>326.0</v>
      </c>
      <c r="S22" s="225">
        <v>32.0</v>
      </c>
      <c r="T22" s="225">
        <v>305.0</v>
      </c>
      <c r="U22" s="225">
        <v>137.0</v>
      </c>
      <c r="V22" s="225">
        <v>11.0</v>
      </c>
      <c r="W22" s="225">
        <v>359.0</v>
      </c>
      <c r="X22" s="225">
        <v>364.0</v>
      </c>
      <c r="Y22" s="225">
        <v>560.0</v>
      </c>
      <c r="Z22" s="225">
        <v>165.0</v>
      </c>
      <c r="AA22" s="226">
        <v>1242.0</v>
      </c>
      <c r="AB22" s="225">
        <v>188.0</v>
      </c>
      <c r="AC22" s="226">
        <v>3289.0</v>
      </c>
      <c r="AD22" s="225">
        <v>85.0</v>
      </c>
      <c r="AE22" s="225">
        <v>138.0</v>
      </c>
      <c r="AF22" s="225">
        <v>172.0</v>
      </c>
      <c r="AG22" s="225">
        <v>332.0</v>
      </c>
      <c r="AH22" s="225">
        <v>165.0</v>
      </c>
      <c r="AI22" s="225">
        <v>147.0</v>
      </c>
      <c r="AJ22" s="226">
        <v>1130.0</v>
      </c>
      <c r="AK22" s="225">
        <v>45.0</v>
      </c>
      <c r="AL22" s="225">
        <v>443.0</v>
      </c>
      <c r="AM22" s="225">
        <v>168.0</v>
      </c>
      <c r="AN22" s="225">
        <v>587.0</v>
      </c>
      <c r="AO22" s="225">
        <v>430.0</v>
      </c>
      <c r="AP22" s="227">
        <v>15883.0</v>
      </c>
    </row>
    <row r="23">
      <c r="A23" s="223" t="s">
        <v>120</v>
      </c>
      <c r="B23" s="225">
        <v>159.0</v>
      </c>
      <c r="C23" s="225">
        <v>289.0</v>
      </c>
      <c r="D23" s="225">
        <v>139.0</v>
      </c>
      <c r="E23" s="225">
        <v>273.0</v>
      </c>
      <c r="F23" s="225">
        <v>74.0</v>
      </c>
      <c r="G23" s="225">
        <v>363.0</v>
      </c>
      <c r="H23" s="225">
        <v>987.0</v>
      </c>
      <c r="I23" s="225">
        <v>449.0</v>
      </c>
      <c r="J23" s="225">
        <v>286.0</v>
      </c>
      <c r="K23" s="225">
        <v>616.0</v>
      </c>
      <c r="L23" s="225">
        <v>55.0</v>
      </c>
      <c r="M23" s="225">
        <v>53.0</v>
      </c>
      <c r="N23" s="225">
        <v>82.0</v>
      </c>
      <c r="O23" s="225">
        <v>44.0</v>
      </c>
      <c r="P23" s="225">
        <v>82.0</v>
      </c>
      <c r="Q23" s="225">
        <v>408.0</v>
      </c>
      <c r="R23" s="225">
        <v>335.0</v>
      </c>
      <c r="S23" s="225">
        <v>35.0</v>
      </c>
      <c r="T23" s="225">
        <v>253.0</v>
      </c>
      <c r="U23" s="225">
        <v>115.0</v>
      </c>
      <c r="V23" s="225">
        <v>6.0</v>
      </c>
      <c r="W23" s="225">
        <v>426.0</v>
      </c>
      <c r="X23" s="225">
        <v>259.0</v>
      </c>
      <c r="Y23" s="225">
        <v>495.0</v>
      </c>
      <c r="Z23" s="225">
        <v>140.0</v>
      </c>
      <c r="AA23" s="226">
        <v>1105.0</v>
      </c>
      <c r="AB23" s="225">
        <v>187.0</v>
      </c>
      <c r="AC23" s="226">
        <v>3005.0</v>
      </c>
      <c r="AD23" s="225">
        <v>35.0</v>
      </c>
      <c r="AE23" s="225">
        <v>112.0</v>
      </c>
      <c r="AF23" s="225">
        <v>203.0</v>
      </c>
      <c r="AG23" s="225">
        <v>264.0</v>
      </c>
      <c r="AH23" s="225">
        <v>169.0</v>
      </c>
      <c r="AI23" s="225">
        <v>147.0</v>
      </c>
      <c r="AJ23" s="225">
        <v>936.0</v>
      </c>
      <c r="AK23" s="225">
        <v>44.0</v>
      </c>
      <c r="AL23" s="225">
        <v>294.0</v>
      </c>
      <c r="AM23" s="225">
        <v>115.0</v>
      </c>
      <c r="AN23" s="225">
        <v>512.0</v>
      </c>
      <c r="AO23" s="225">
        <v>589.0</v>
      </c>
      <c r="AP23" s="227">
        <v>14140.0</v>
      </c>
    </row>
    <row r="24">
      <c r="A24" s="223" t="s">
        <v>121</v>
      </c>
      <c r="B24" s="225">
        <v>182.0</v>
      </c>
      <c r="C24" s="225">
        <v>231.0</v>
      </c>
      <c r="D24" s="225">
        <v>149.0</v>
      </c>
      <c r="E24" s="225">
        <v>285.0</v>
      </c>
      <c r="F24" s="225">
        <v>93.0</v>
      </c>
      <c r="G24" s="225">
        <v>362.0</v>
      </c>
      <c r="H24" s="225">
        <v>926.0</v>
      </c>
      <c r="I24" s="225">
        <v>320.0</v>
      </c>
      <c r="J24" s="225">
        <v>323.0</v>
      </c>
      <c r="K24" s="225">
        <v>565.0</v>
      </c>
      <c r="L24" s="225">
        <v>61.0</v>
      </c>
      <c r="M24" s="225">
        <v>54.0</v>
      </c>
      <c r="N24" s="225">
        <v>84.0</v>
      </c>
      <c r="O24" s="225">
        <v>77.0</v>
      </c>
      <c r="P24" s="225">
        <v>71.0</v>
      </c>
      <c r="Q24" s="225">
        <v>399.0</v>
      </c>
      <c r="R24" s="225">
        <v>207.0</v>
      </c>
      <c r="S24" s="225">
        <v>27.0</v>
      </c>
      <c r="T24" s="225">
        <v>306.0</v>
      </c>
      <c r="U24" s="225">
        <v>158.0</v>
      </c>
      <c r="V24" s="225">
        <v>8.0</v>
      </c>
      <c r="W24" s="225">
        <v>435.0</v>
      </c>
      <c r="X24" s="225">
        <v>416.0</v>
      </c>
      <c r="Y24" s="225">
        <v>456.0</v>
      </c>
      <c r="Z24" s="225">
        <v>141.0</v>
      </c>
      <c r="AA24" s="225">
        <v>813.0</v>
      </c>
      <c r="AB24" s="225">
        <v>219.0</v>
      </c>
      <c r="AC24" s="226">
        <v>3001.0</v>
      </c>
      <c r="AD24" s="225">
        <v>62.0</v>
      </c>
      <c r="AE24" s="225">
        <v>133.0</v>
      </c>
      <c r="AF24" s="225">
        <v>163.0</v>
      </c>
      <c r="AG24" s="225">
        <v>410.0</v>
      </c>
      <c r="AH24" s="225">
        <v>110.0</v>
      </c>
      <c r="AI24" s="225">
        <v>156.0</v>
      </c>
      <c r="AJ24" s="225">
        <v>857.0</v>
      </c>
      <c r="AK24" s="225">
        <v>47.0</v>
      </c>
      <c r="AL24" s="225">
        <v>375.0</v>
      </c>
      <c r="AM24" s="225">
        <v>241.0</v>
      </c>
      <c r="AN24" s="225">
        <v>442.0</v>
      </c>
      <c r="AO24" s="225">
        <v>427.0</v>
      </c>
      <c r="AP24" s="227">
        <v>13792.0</v>
      </c>
    </row>
    <row r="25">
      <c r="A25" s="223" t="s">
        <v>122</v>
      </c>
      <c r="B25" s="225">
        <v>193.0</v>
      </c>
      <c r="C25" s="225">
        <v>257.0</v>
      </c>
      <c r="D25" s="225">
        <v>172.0</v>
      </c>
      <c r="E25" s="225">
        <v>274.0</v>
      </c>
      <c r="F25" s="225">
        <v>129.0</v>
      </c>
      <c r="G25" s="225">
        <v>486.0</v>
      </c>
      <c r="H25" s="226">
        <v>1071.0</v>
      </c>
      <c r="I25" s="225">
        <v>457.0</v>
      </c>
      <c r="J25" s="225">
        <v>403.0</v>
      </c>
      <c r="K25" s="225">
        <v>735.0</v>
      </c>
      <c r="L25" s="225">
        <v>60.0</v>
      </c>
      <c r="M25" s="225">
        <v>51.0</v>
      </c>
      <c r="N25" s="225">
        <v>96.0</v>
      </c>
      <c r="O25" s="225">
        <v>82.0</v>
      </c>
      <c r="P25" s="225">
        <v>87.0</v>
      </c>
      <c r="Q25" s="225">
        <v>430.0</v>
      </c>
      <c r="R25" s="225">
        <v>308.0</v>
      </c>
      <c r="S25" s="225">
        <v>28.0</v>
      </c>
      <c r="T25" s="225">
        <v>241.0</v>
      </c>
      <c r="U25" s="225">
        <v>173.0</v>
      </c>
      <c r="V25" s="225">
        <v>19.0</v>
      </c>
      <c r="W25" s="225">
        <v>414.0</v>
      </c>
      <c r="X25" s="225">
        <v>404.0</v>
      </c>
      <c r="Y25" s="225">
        <v>535.0</v>
      </c>
      <c r="Z25" s="225">
        <v>155.0</v>
      </c>
      <c r="AA25" s="226">
        <v>1058.0</v>
      </c>
      <c r="AB25" s="225">
        <v>189.0</v>
      </c>
      <c r="AC25" s="226">
        <v>3187.0</v>
      </c>
      <c r="AD25" s="225">
        <v>55.0</v>
      </c>
      <c r="AE25" s="225">
        <v>187.0</v>
      </c>
      <c r="AF25" s="225">
        <v>220.0</v>
      </c>
      <c r="AG25" s="225">
        <v>481.0</v>
      </c>
      <c r="AH25" s="225">
        <v>149.0</v>
      </c>
      <c r="AI25" s="225">
        <v>137.0</v>
      </c>
      <c r="AJ25" s="226">
        <v>1120.0</v>
      </c>
      <c r="AK25" s="225">
        <v>92.0</v>
      </c>
      <c r="AL25" s="225">
        <v>373.0</v>
      </c>
      <c r="AM25" s="225">
        <v>319.0</v>
      </c>
      <c r="AN25" s="225">
        <v>616.0</v>
      </c>
      <c r="AO25" s="225">
        <v>571.0</v>
      </c>
      <c r="AP25" s="227">
        <v>16014.0</v>
      </c>
    </row>
    <row r="26">
      <c r="A26" s="223" t="s">
        <v>123</v>
      </c>
      <c r="B26" s="225">
        <v>207.0</v>
      </c>
      <c r="C26" s="225">
        <v>323.0</v>
      </c>
      <c r="D26" s="225">
        <v>163.0</v>
      </c>
      <c r="E26" s="225">
        <v>250.0</v>
      </c>
      <c r="F26" s="225">
        <v>106.0</v>
      </c>
      <c r="G26" s="225">
        <v>431.0</v>
      </c>
      <c r="H26" s="225">
        <v>873.0</v>
      </c>
      <c r="I26" s="225">
        <v>307.0</v>
      </c>
      <c r="J26" s="225">
        <v>409.0</v>
      </c>
      <c r="K26" s="225">
        <v>628.0</v>
      </c>
      <c r="L26" s="225">
        <v>59.0</v>
      </c>
      <c r="M26" s="225">
        <v>44.0</v>
      </c>
      <c r="N26" s="225">
        <v>84.0</v>
      </c>
      <c r="O26" s="225">
        <v>80.0</v>
      </c>
      <c r="P26" s="225">
        <v>86.0</v>
      </c>
      <c r="Q26" s="225">
        <v>308.0</v>
      </c>
      <c r="R26" s="225">
        <v>202.0</v>
      </c>
      <c r="S26" s="225">
        <v>22.0</v>
      </c>
      <c r="T26" s="225">
        <v>260.0</v>
      </c>
      <c r="U26" s="225">
        <v>191.0</v>
      </c>
      <c r="V26" s="225">
        <v>21.0</v>
      </c>
      <c r="W26" s="225">
        <v>462.0</v>
      </c>
      <c r="X26" s="225">
        <v>369.0</v>
      </c>
      <c r="Y26" s="225">
        <v>384.0</v>
      </c>
      <c r="Z26" s="225">
        <v>180.0</v>
      </c>
      <c r="AA26" s="225">
        <v>854.0</v>
      </c>
      <c r="AB26" s="225">
        <v>158.0</v>
      </c>
      <c r="AC26" s="226">
        <v>2574.0</v>
      </c>
      <c r="AD26" s="225">
        <v>49.0</v>
      </c>
      <c r="AE26" s="225">
        <v>149.0</v>
      </c>
      <c r="AF26" s="225">
        <v>178.0</v>
      </c>
      <c r="AG26" s="225">
        <v>367.0</v>
      </c>
      <c r="AH26" s="225">
        <v>86.0</v>
      </c>
      <c r="AI26" s="225">
        <v>143.0</v>
      </c>
      <c r="AJ26" s="225">
        <v>966.0</v>
      </c>
      <c r="AK26" s="225">
        <v>63.0</v>
      </c>
      <c r="AL26" s="225">
        <v>395.0</v>
      </c>
      <c r="AM26" s="225">
        <v>285.0</v>
      </c>
      <c r="AN26" s="225">
        <v>512.0</v>
      </c>
      <c r="AO26" s="225">
        <v>548.0</v>
      </c>
      <c r="AP26" s="227">
        <v>13776.0</v>
      </c>
    </row>
    <row r="27">
      <c r="A27" s="223" t="s">
        <v>124</v>
      </c>
      <c r="B27" s="225">
        <v>263.0</v>
      </c>
      <c r="C27" s="225">
        <v>411.0</v>
      </c>
      <c r="D27" s="225">
        <v>184.0</v>
      </c>
      <c r="E27" s="225">
        <v>301.0</v>
      </c>
      <c r="F27" s="225">
        <v>156.0</v>
      </c>
      <c r="G27" s="225">
        <v>600.0</v>
      </c>
      <c r="H27" s="226">
        <v>1273.0</v>
      </c>
      <c r="I27" s="225">
        <v>487.0</v>
      </c>
      <c r="J27" s="225">
        <v>472.0</v>
      </c>
      <c r="K27" s="225">
        <v>910.0</v>
      </c>
      <c r="L27" s="225">
        <v>78.0</v>
      </c>
      <c r="M27" s="225">
        <v>77.0</v>
      </c>
      <c r="N27" s="225">
        <v>108.0</v>
      </c>
      <c r="O27" s="225">
        <v>105.0</v>
      </c>
      <c r="P27" s="225">
        <v>119.0</v>
      </c>
      <c r="Q27" s="225">
        <v>433.0</v>
      </c>
      <c r="R27" s="225">
        <v>310.0</v>
      </c>
      <c r="S27" s="225">
        <v>43.0</v>
      </c>
      <c r="T27" s="225">
        <v>374.0</v>
      </c>
      <c r="U27" s="225">
        <v>236.0</v>
      </c>
      <c r="V27" s="225">
        <v>31.0</v>
      </c>
      <c r="W27" s="225">
        <v>634.0</v>
      </c>
      <c r="X27" s="225">
        <v>484.0</v>
      </c>
      <c r="Y27" s="225">
        <v>576.0</v>
      </c>
      <c r="Z27" s="225">
        <v>146.0</v>
      </c>
      <c r="AA27" s="226">
        <v>1151.0</v>
      </c>
      <c r="AB27" s="225">
        <v>267.0</v>
      </c>
      <c r="AC27" s="226">
        <v>3416.0</v>
      </c>
      <c r="AD27" s="225">
        <v>59.0</v>
      </c>
      <c r="AE27" s="225">
        <v>191.0</v>
      </c>
      <c r="AF27" s="225">
        <v>308.0</v>
      </c>
      <c r="AG27" s="225">
        <v>599.0</v>
      </c>
      <c r="AH27" s="225">
        <v>134.0</v>
      </c>
      <c r="AI27" s="225">
        <v>174.0</v>
      </c>
      <c r="AJ27" s="226">
        <v>1202.0</v>
      </c>
      <c r="AK27" s="225">
        <v>102.0</v>
      </c>
      <c r="AL27" s="225">
        <v>493.0</v>
      </c>
      <c r="AM27" s="225">
        <v>274.0</v>
      </c>
      <c r="AN27" s="225">
        <v>581.0</v>
      </c>
      <c r="AO27" s="225">
        <v>904.0</v>
      </c>
      <c r="AP27" s="227">
        <v>18666.0</v>
      </c>
    </row>
    <row r="28">
      <c r="A28" s="223" t="s">
        <v>125</v>
      </c>
      <c r="B28" s="225">
        <v>277.0</v>
      </c>
      <c r="C28" s="225">
        <v>354.0</v>
      </c>
      <c r="D28" s="225">
        <v>176.0</v>
      </c>
      <c r="E28" s="225">
        <v>340.0</v>
      </c>
      <c r="F28" s="225">
        <v>171.0</v>
      </c>
      <c r="G28" s="225">
        <v>569.0</v>
      </c>
      <c r="H28" s="226">
        <v>1133.0</v>
      </c>
      <c r="I28" s="225">
        <v>477.0</v>
      </c>
      <c r="J28" s="225">
        <v>462.0</v>
      </c>
      <c r="K28" s="225">
        <v>742.0</v>
      </c>
      <c r="L28" s="225">
        <v>78.0</v>
      </c>
      <c r="M28" s="225">
        <v>75.0</v>
      </c>
      <c r="N28" s="225">
        <v>99.0</v>
      </c>
      <c r="O28" s="225">
        <v>94.0</v>
      </c>
      <c r="P28" s="225">
        <v>108.0</v>
      </c>
      <c r="Q28" s="225">
        <v>398.0</v>
      </c>
      <c r="R28" s="225">
        <v>292.0</v>
      </c>
      <c r="S28" s="225">
        <v>50.0</v>
      </c>
      <c r="T28" s="225">
        <v>341.0</v>
      </c>
      <c r="U28" s="225">
        <v>186.0</v>
      </c>
      <c r="V28" s="225">
        <v>41.0</v>
      </c>
      <c r="W28" s="225">
        <v>432.0</v>
      </c>
      <c r="X28" s="225">
        <v>464.0</v>
      </c>
      <c r="Y28" s="225">
        <v>531.0</v>
      </c>
      <c r="Z28" s="225">
        <v>134.0</v>
      </c>
      <c r="AA28" s="226">
        <v>1287.0</v>
      </c>
      <c r="AB28" s="225">
        <v>217.0</v>
      </c>
      <c r="AC28" s="226">
        <v>3170.0</v>
      </c>
      <c r="AD28" s="225">
        <v>74.0</v>
      </c>
      <c r="AE28" s="225">
        <v>175.0</v>
      </c>
      <c r="AF28" s="225">
        <v>258.0</v>
      </c>
      <c r="AG28" s="225">
        <v>526.0</v>
      </c>
      <c r="AH28" s="225">
        <v>154.0</v>
      </c>
      <c r="AI28" s="225">
        <v>178.0</v>
      </c>
      <c r="AJ28" s="226">
        <v>1160.0</v>
      </c>
      <c r="AK28" s="225">
        <v>80.0</v>
      </c>
      <c r="AL28" s="225">
        <v>469.0</v>
      </c>
      <c r="AM28" s="225">
        <v>305.0</v>
      </c>
      <c r="AN28" s="225">
        <v>553.0</v>
      </c>
      <c r="AO28" s="225">
        <v>866.0</v>
      </c>
      <c r="AP28" s="227">
        <v>17496.0</v>
      </c>
    </row>
    <row r="29">
      <c r="A29" s="228" t="s">
        <v>126</v>
      </c>
      <c r="B29" s="225">
        <v>269.0</v>
      </c>
      <c r="C29" s="225">
        <v>461.0</v>
      </c>
      <c r="D29" s="225">
        <v>197.0</v>
      </c>
      <c r="E29" s="225">
        <v>440.0</v>
      </c>
      <c r="F29" s="225">
        <v>151.0</v>
      </c>
      <c r="G29" s="225">
        <v>846.0</v>
      </c>
      <c r="H29" s="226">
        <v>1498.0</v>
      </c>
      <c r="I29" s="225">
        <v>489.0</v>
      </c>
      <c r="J29" s="225">
        <v>646.0</v>
      </c>
      <c r="K29" s="226">
        <v>1038.0</v>
      </c>
      <c r="L29" s="225">
        <v>106.0</v>
      </c>
      <c r="M29" s="225">
        <v>88.0</v>
      </c>
      <c r="N29" s="225">
        <v>129.0</v>
      </c>
      <c r="O29" s="225">
        <v>116.0</v>
      </c>
      <c r="P29" s="225">
        <v>113.0</v>
      </c>
      <c r="Q29" s="225">
        <v>522.0</v>
      </c>
      <c r="R29" s="225">
        <v>331.0</v>
      </c>
      <c r="S29" s="225">
        <v>52.0</v>
      </c>
      <c r="T29" s="225">
        <v>392.0</v>
      </c>
      <c r="U29" s="225">
        <v>269.0</v>
      </c>
      <c r="V29" s="225">
        <v>49.0</v>
      </c>
      <c r="W29" s="225">
        <v>637.0</v>
      </c>
      <c r="X29" s="225">
        <v>590.0</v>
      </c>
      <c r="Y29" s="225">
        <v>647.0</v>
      </c>
      <c r="Z29" s="225">
        <v>153.0</v>
      </c>
      <c r="AA29" s="226">
        <v>1611.0</v>
      </c>
      <c r="AB29" s="225">
        <v>208.0</v>
      </c>
      <c r="AC29" s="226">
        <v>3892.0</v>
      </c>
      <c r="AD29" s="225">
        <v>68.0</v>
      </c>
      <c r="AE29" s="225">
        <v>219.0</v>
      </c>
      <c r="AF29" s="225">
        <v>267.0</v>
      </c>
      <c r="AG29" s="225">
        <v>672.0</v>
      </c>
      <c r="AH29" s="225">
        <v>175.0</v>
      </c>
      <c r="AI29" s="225">
        <v>234.0</v>
      </c>
      <c r="AJ29" s="226">
        <v>1498.0</v>
      </c>
      <c r="AK29" s="225">
        <v>127.0</v>
      </c>
      <c r="AL29" s="225">
        <v>599.0</v>
      </c>
      <c r="AM29" s="225">
        <v>394.0</v>
      </c>
      <c r="AN29" s="225">
        <v>736.0</v>
      </c>
      <c r="AO29" s="226">
        <v>1682.0</v>
      </c>
      <c r="AP29" s="227">
        <v>22611.0</v>
      </c>
    </row>
    <row r="30">
      <c r="A30" s="229" t="s">
        <v>127</v>
      </c>
      <c r="B30" s="225">
        <v>334.0</v>
      </c>
      <c r="C30" s="225">
        <v>434.0</v>
      </c>
      <c r="D30" s="225">
        <v>201.0</v>
      </c>
      <c r="E30" s="225">
        <v>494.0</v>
      </c>
      <c r="F30" s="225">
        <v>145.0</v>
      </c>
      <c r="G30" s="225">
        <v>872.0</v>
      </c>
      <c r="H30" s="226">
        <v>1437.0</v>
      </c>
      <c r="I30" s="225">
        <v>592.0</v>
      </c>
      <c r="J30" s="225">
        <v>374.0</v>
      </c>
      <c r="K30" s="226">
        <v>1110.0</v>
      </c>
      <c r="L30" s="225">
        <v>84.0</v>
      </c>
      <c r="M30" s="225">
        <v>68.0</v>
      </c>
      <c r="N30" s="225">
        <v>88.0</v>
      </c>
      <c r="O30" s="225">
        <v>121.0</v>
      </c>
      <c r="P30" s="225">
        <v>94.0</v>
      </c>
      <c r="Q30" s="225">
        <v>429.0</v>
      </c>
      <c r="R30" s="225">
        <v>316.0</v>
      </c>
      <c r="S30" s="225">
        <v>41.0</v>
      </c>
      <c r="T30" s="225">
        <v>325.0</v>
      </c>
      <c r="U30" s="225">
        <v>217.0</v>
      </c>
      <c r="V30" s="225">
        <v>39.0</v>
      </c>
      <c r="W30" s="225">
        <v>533.0</v>
      </c>
      <c r="X30" s="225">
        <v>451.0</v>
      </c>
      <c r="Y30" s="225">
        <v>625.0</v>
      </c>
      <c r="Z30" s="225">
        <v>163.0</v>
      </c>
      <c r="AA30" s="226">
        <v>1786.0</v>
      </c>
      <c r="AB30" s="225">
        <v>243.0</v>
      </c>
      <c r="AC30" s="226">
        <v>3947.0</v>
      </c>
      <c r="AD30" s="225">
        <v>94.0</v>
      </c>
      <c r="AE30" s="225">
        <v>224.0</v>
      </c>
      <c r="AF30" s="225">
        <v>271.0</v>
      </c>
      <c r="AG30" s="225">
        <v>540.0</v>
      </c>
      <c r="AH30" s="225">
        <v>187.0</v>
      </c>
      <c r="AI30" s="225">
        <v>230.0</v>
      </c>
      <c r="AJ30" s="226">
        <v>1713.0</v>
      </c>
      <c r="AK30" s="225">
        <v>126.0</v>
      </c>
      <c r="AL30" s="225">
        <v>615.0</v>
      </c>
      <c r="AM30" s="225">
        <v>348.0</v>
      </c>
      <c r="AN30" s="225">
        <v>888.0</v>
      </c>
      <c r="AO30" s="226">
        <v>2444.0</v>
      </c>
      <c r="AP30" s="227">
        <v>23243.0</v>
      </c>
    </row>
    <row r="31">
      <c r="A31" s="202" t="s">
        <v>128</v>
      </c>
      <c r="B31" s="225">
        <v>380.0</v>
      </c>
      <c r="C31" s="226">
        <v>1070.0</v>
      </c>
      <c r="D31" s="225">
        <v>227.0</v>
      </c>
      <c r="E31" s="225">
        <v>521.0</v>
      </c>
      <c r="F31" s="225">
        <v>158.0</v>
      </c>
      <c r="G31" s="225">
        <v>755.0</v>
      </c>
      <c r="H31" s="226">
        <v>1555.0</v>
      </c>
      <c r="I31" s="225">
        <v>623.0</v>
      </c>
      <c r="J31" s="225">
        <v>380.0</v>
      </c>
      <c r="K31" s="226">
        <v>1100.0</v>
      </c>
      <c r="L31" s="225">
        <v>82.0</v>
      </c>
      <c r="M31" s="225">
        <v>83.0</v>
      </c>
      <c r="N31" s="225">
        <v>112.0</v>
      </c>
      <c r="O31" s="225">
        <v>98.0</v>
      </c>
      <c r="P31" s="225">
        <v>96.0</v>
      </c>
      <c r="Q31" s="225">
        <v>512.0</v>
      </c>
      <c r="R31" s="225">
        <v>391.0</v>
      </c>
      <c r="S31" s="225">
        <v>54.0</v>
      </c>
      <c r="T31" s="225">
        <v>518.0</v>
      </c>
      <c r="U31" s="225">
        <v>220.0</v>
      </c>
      <c r="V31" s="225">
        <v>32.0</v>
      </c>
      <c r="W31" s="225">
        <v>651.0</v>
      </c>
      <c r="X31" s="225">
        <v>478.0</v>
      </c>
      <c r="Y31" s="225">
        <v>641.0</v>
      </c>
      <c r="Z31" s="225">
        <v>171.0</v>
      </c>
      <c r="AA31" s="226">
        <v>1611.0</v>
      </c>
      <c r="AB31" s="225">
        <v>260.0</v>
      </c>
      <c r="AC31" s="226">
        <v>4356.0</v>
      </c>
      <c r="AD31" s="225">
        <v>75.0</v>
      </c>
      <c r="AE31" s="225">
        <v>208.0</v>
      </c>
      <c r="AF31" s="225">
        <v>266.0</v>
      </c>
      <c r="AG31" s="225">
        <v>555.0</v>
      </c>
      <c r="AH31" s="225">
        <v>249.0</v>
      </c>
      <c r="AI31" s="225">
        <v>224.0</v>
      </c>
      <c r="AJ31" s="226">
        <v>1444.0</v>
      </c>
      <c r="AK31" s="225">
        <v>88.0</v>
      </c>
      <c r="AL31" s="225">
        <v>525.0</v>
      </c>
      <c r="AM31" s="225">
        <v>396.0</v>
      </c>
      <c r="AN31" s="225">
        <v>774.0</v>
      </c>
      <c r="AO31" s="226">
        <v>3249.0</v>
      </c>
      <c r="AP31" s="227">
        <v>25188.0</v>
      </c>
    </row>
    <row r="32">
      <c r="A32" s="202" t="s">
        <v>129</v>
      </c>
      <c r="B32" s="225">
        <v>402.0</v>
      </c>
      <c r="C32" s="225">
        <v>712.0</v>
      </c>
      <c r="D32" s="225">
        <v>302.0</v>
      </c>
      <c r="E32" s="225">
        <v>504.0</v>
      </c>
      <c r="F32" s="225">
        <v>146.0</v>
      </c>
      <c r="G32" s="225">
        <v>554.0</v>
      </c>
      <c r="H32" s="226">
        <v>1420.0</v>
      </c>
      <c r="I32" s="225">
        <v>739.0</v>
      </c>
      <c r="J32" s="225">
        <v>441.0</v>
      </c>
      <c r="K32" s="226">
        <v>1009.0</v>
      </c>
      <c r="L32" s="225">
        <v>78.0</v>
      </c>
      <c r="M32" s="225">
        <v>68.0</v>
      </c>
      <c r="N32" s="225">
        <v>114.0</v>
      </c>
      <c r="O32" s="225">
        <v>127.0</v>
      </c>
      <c r="P32" s="225">
        <v>121.0</v>
      </c>
      <c r="Q32" s="225">
        <v>482.0</v>
      </c>
      <c r="R32" s="225">
        <v>403.0</v>
      </c>
      <c r="S32" s="225">
        <v>58.0</v>
      </c>
      <c r="T32" s="225">
        <v>369.0</v>
      </c>
      <c r="U32" s="225">
        <v>256.0</v>
      </c>
      <c r="V32" s="225">
        <v>56.0</v>
      </c>
      <c r="W32" s="225">
        <v>549.0</v>
      </c>
      <c r="X32" s="225">
        <v>471.0</v>
      </c>
      <c r="Y32" s="225">
        <v>675.0</v>
      </c>
      <c r="Z32" s="225">
        <v>180.0</v>
      </c>
      <c r="AA32" s="226">
        <v>1622.0</v>
      </c>
      <c r="AB32" s="225">
        <v>302.0</v>
      </c>
      <c r="AC32" s="226">
        <v>4054.0</v>
      </c>
      <c r="AD32" s="225">
        <v>78.0</v>
      </c>
      <c r="AE32" s="225">
        <v>177.0</v>
      </c>
      <c r="AF32" s="225">
        <v>327.0</v>
      </c>
      <c r="AG32" s="225">
        <v>521.0</v>
      </c>
      <c r="AH32" s="225">
        <v>189.0</v>
      </c>
      <c r="AI32" s="225">
        <v>217.0</v>
      </c>
      <c r="AJ32" s="226">
        <v>1396.0</v>
      </c>
      <c r="AK32" s="225">
        <v>86.0</v>
      </c>
      <c r="AL32" s="225">
        <v>526.0</v>
      </c>
      <c r="AM32" s="225">
        <v>355.0</v>
      </c>
      <c r="AN32" s="225">
        <v>927.0</v>
      </c>
      <c r="AO32" s="226">
        <v>2940.0</v>
      </c>
      <c r="AP32" s="227">
        <v>23953.0</v>
      </c>
    </row>
    <row r="33">
      <c r="A33" s="202" t="s">
        <v>130</v>
      </c>
      <c r="B33" s="225">
        <v>439.0</v>
      </c>
      <c r="C33" s="226">
        <v>3649.0</v>
      </c>
      <c r="D33" s="225">
        <v>366.0</v>
      </c>
      <c r="E33" s="225">
        <v>414.0</v>
      </c>
      <c r="F33" s="225">
        <v>144.0</v>
      </c>
      <c r="G33" s="225">
        <v>568.0</v>
      </c>
      <c r="H33" s="226">
        <v>1403.0</v>
      </c>
      <c r="I33" s="225">
        <v>823.0</v>
      </c>
      <c r="J33" s="225">
        <v>520.0</v>
      </c>
      <c r="K33" s="226">
        <v>990.0</v>
      </c>
      <c r="L33" s="225">
        <v>99.0</v>
      </c>
      <c r="M33" s="225">
        <v>85.0</v>
      </c>
      <c r="N33" s="225">
        <v>174.0</v>
      </c>
      <c r="O33" s="225">
        <v>123.0</v>
      </c>
      <c r="P33" s="225">
        <v>119.0</v>
      </c>
      <c r="Q33" s="225">
        <v>466.0</v>
      </c>
      <c r="R33" s="225">
        <v>436.0</v>
      </c>
      <c r="S33" s="225">
        <v>78.0</v>
      </c>
      <c r="T33" s="225">
        <v>393.0</v>
      </c>
      <c r="U33" s="225">
        <v>323.0</v>
      </c>
      <c r="V33" s="225">
        <v>47.0</v>
      </c>
      <c r="W33" s="225">
        <v>526.0</v>
      </c>
      <c r="X33" s="225">
        <v>722.0</v>
      </c>
      <c r="Y33" s="225">
        <v>595.0</v>
      </c>
      <c r="Z33" s="225">
        <v>216.0</v>
      </c>
      <c r="AA33" s="226">
        <v>1565.0</v>
      </c>
      <c r="AB33" s="225">
        <v>285.0</v>
      </c>
      <c r="AC33" s="226">
        <v>4942.0</v>
      </c>
      <c r="AD33" s="225">
        <v>71.0</v>
      </c>
      <c r="AE33" s="225">
        <v>207.0</v>
      </c>
      <c r="AF33" s="226">
        <v>1982.0</v>
      </c>
      <c r="AG33" s="225">
        <v>518.0</v>
      </c>
      <c r="AH33" s="225">
        <v>246.0</v>
      </c>
      <c r="AI33" s="225">
        <v>234.0</v>
      </c>
      <c r="AJ33" s="226">
        <v>1485.0</v>
      </c>
      <c r="AK33" s="225">
        <v>84.0</v>
      </c>
      <c r="AL33" s="225">
        <v>509.0</v>
      </c>
      <c r="AM33" s="225">
        <v>397.0</v>
      </c>
      <c r="AN33" s="225">
        <v>786.0</v>
      </c>
      <c r="AO33" s="226">
        <v>2659.0</v>
      </c>
      <c r="AP33" s="227">
        <v>29688.0</v>
      </c>
    </row>
    <row r="34">
      <c r="A34" s="202" t="s">
        <v>131</v>
      </c>
      <c r="B34" s="225">
        <v>457.0</v>
      </c>
      <c r="C34" s="226">
        <v>6357.0</v>
      </c>
      <c r="D34" s="225">
        <v>260.0</v>
      </c>
      <c r="E34" s="225">
        <v>451.0</v>
      </c>
      <c r="F34" s="225">
        <v>179.0</v>
      </c>
      <c r="G34" s="225">
        <v>690.0</v>
      </c>
      <c r="H34" s="226">
        <v>1536.0</v>
      </c>
      <c r="I34" s="225">
        <v>777.0</v>
      </c>
      <c r="J34" s="225">
        <v>584.0</v>
      </c>
      <c r="K34" s="226">
        <v>1002.0</v>
      </c>
      <c r="L34" s="225">
        <v>84.0</v>
      </c>
      <c r="M34" s="225">
        <v>110.0</v>
      </c>
      <c r="N34" s="225">
        <v>141.0</v>
      </c>
      <c r="O34" s="225">
        <v>129.0</v>
      </c>
      <c r="P34" s="225">
        <v>134.0</v>
      </c>
      <c r="Q34" s="225">
        <v>515.0</v>
      </c>
      <c r="R34" s="225">
        <v>473.0</v>
      </c>
      <c r="S34" s="225">
        <v>55.0</v>
      </c>
      <c r="T34" s="225">
        <v>288.0</v>
      </c>
      <c r="U34" s="225">
        <v>287.0</v>
      </c>
      <c r="V34" s="225">
        <v>44.0</v>
      </c>
      <c r="W34" s="225">
        <v>790.0</v>
      </c>
      <c r="X34" s="225">
        <v>614.0</v>
      </c>
      <c r="Y34" s="225">
        <v>627.0</v>
      </c>
      <c r="Z34" s="225">
        <v>331.0</v>
      </c>
      <c r="AA34" s="226">
        <v>1495.0</v>
      </c>
      <c r="AB34" s="225">
        <v>252.0</v>
      </c>
      <c r="AC34" s="226">
        <v>6807.0</v>
      </c>
      <c r="AD34" s="225">
        <v>68.0</v>
      </c>
      <c r="AE34" s="225">
        <v>239.0</v>
      </c>
      <c r="AF34" s="226">
        <v>4166.0</v>
      </c>
      <c r="AG34" s="225">
        <v>649.0</v>
      </c>
      <c r="AH34" s="225">
        <v>219.0</v>
      </c>
      <c r="AI34" s="225">
        <v>195.0</v>
      </c>
      <c r="AJ34" s="226">
        <v>1535.0</v>
      </c>
      <c r="AK34" s="225">
        <v>102.0</v>
      </c>
      <c r="AL34" s="225">
        <v>539.0</v>
      </c>
      <c r="AM34" s="225">
        <v>376.0</v>
      </c>
      <c r="AN34" s="225">
        <v>862.0</v>
      </c>
      <c r="AO34" s="226">
        <v>2299.0</v>
      </c>
      <c r="AP34" s="227">
        <v>36718.0</v>
      </c>
    </row>
    <row r="35">
      <c r="A35" s="202" t="s">
        <v>132</v>
      </c>
      <c r="B35" s="225">
        <v>576.0</v>
      </c>
      <c r="C35" s="226">
        <v>6991.0</v>
      </c>
      <c r="D35" s="225">
        <v>393.0</v>
      </c>
      <c r="E35" s="225">
        <v>345.0</v>
      </c>
      <c r="F35" s="225">
        <v>165.0</v>
      </c>
      <c r="G35" s="225">
        <v>672.0</v>
      </c>
      <c r="H35" s="226">
        <v>1738.0</v>
      </c>
      <c r="I35" s="225">
        <v>936.0</v>
      </c>
      <c r="J35" s="225">
        <v>611.0</v>
      </c>
      <c r="K35" s="226">
        <v>1115.0</v>
      </c>
      <c r="L35" s="225">
        <v>105.0</v>
      </c>
      <c r="M35" s="225">
        <v>126.0</v>
      </c>
      <c r="N35" s="225">
        <v>166.0</v>
      </c>
      <c r="O35" s="225">
        <v>134.0</v>
      </c>
      <c r="P35" s="225">
        <v>162.0</v>
      </c>
      <c r="Q35" s="225">
        <v>598.0</v>
      </c>
      <c r="R35" s="225">
        <v>551.0</v>
      </c>
      <c r="S35" s="225">
        <v>72.0</v>
      </c>
      <c r="T35" s="225">
        <v>406.0</v>
      </c>
      <c r="U35" s="225">
        <v>307.0</v>
      </c>
      <c r="V35" s="225">
        <v>28.0</v>
      </c>
      <c r="W35" s="226">
        <v>1227.0</v>
      </c>
      <c r="X35" s="225">
        <v>680.0</v>
      </c>
      <c r="Y35" s="225">
        <v>702.0</v>
      </c>
      <c r="Z35" s="225">
        <v>407.0</v>
      </c>
      <c r="AA35" s="226">
        <v>1773.0</v>
      </c>
      <c r="AB35" s="225">
        <v>360.0</v>
      </c>
      <c r="AC35" s="226">
        <v>11781.0</v>
      </c>
      <c r="AD35" s="225">
        <v>80.0</v>
      </c>
      <c r="AE35" s="225">
        <v>279.0</v>
      </c>
      <c r="AF35" s="226">
        <v>3327.0</v>
      </c>
      <c r="AG35" s="225">
        <v>640.0</v>
      </c>
      <c r="AH35" s="225">
        <v>266.0</v>
      </c>
      <c r="AI35" s="225">
        <v>257.0</v>
      </c>
      <c r="AJ35" s="226">
        <v>1534.0</v>
      </c>
      <c r="AK35" s="225">
        <v>130.0</v>
      </c>
      <c r="AL35" s="225">
        <v>479.0</v>
      </c>
      <c r="AM35" s="225">
        <v>361.0</v>
      </c>
      <c r="AN35" s="226">
        <v>1071.0</v>
      </c>
      <c r="AO35" s="226">
        <v>1322.0</v>
      </c>
      <c r="AP35" s="227">
        <v>42873.0</v>
      </c>
    </row>
    <row r="36">
      <c r="A36" s="202" t="s">
        <v>133</v>
      </c>
      <c r="B36" s="225">
        <v>515.0</v>
      </c>
      <c r="C36" s="226">
        <v>7512.0</v>
      </c>
      <c r="D36" s="225">
        <v>262.0</v>
      </c>
      <c r="E36" s="225">
        <v>349.0</v>
      </c>
      <c r="F36" s="225">
        <v>144.0</v>
      </c>
      <c r="G36" s="225">
        <v>618.0</v>
      </c>
      <c r="H36" s="226">
        <v>1475.0</v>
      </c>
      <c r="I36" s="225">
        <v>729.0</v>
      </c>
      <c r="J36" s="225">
        <v>458.0</v>
      </c>
      <c r="K36" s="226">
        <v>1068.0</v>
      </c>
      <c r="L36" s="225">
        <v>78.0</v>
      </c>
      <c r="M36" s="225">
        <v>93.0</v>
      </c>
      <c r="N36" s="225">
        <v>171.0</v>
      </c>
      <c r="O36" s="225">
        <v>119.0</v>
      </c>
      <c r="P36" s="225">
        <v>126.0</v>
      </c>
      <c r="Q36" s="225">
        <v>472.0</v>
      </c>
      <c r="R36" s="225">
        <v>464.0</v>
      </c>
      <c r="S36" s="225">
        <v>50.0</v>
      </c>
      <c r="T36" s="225">
        <v>491.0</v>
      </c>
      <c r="U36" s="225">
        <v>266.0</v>
      </c>
      <c r="V36" s="225">
        <v>61.0</v>
      </c>
      <c r="W36" s="226">
        <v>1680.0</v>
      </c>
      <c r="X36" s="225">
        <v>555.0</v>
      </c>
      <c r="Y36" s="225">
        <v>582.0</v>
      </c>
      <c r="Z36" s="225">
        <v>271.0</v>
      </c>
      <c r="AA36" s="226">
        <v>1611.0</v>
      </c>
      <c r="AB36" s="225">
        <v>274.0</v>
      </c>
      <c r="AC36" s="226">
        <v>9971.0</v>
      </c>
      <c r="AD36" s="225">
        <v>68.0</v>
      </c>
      <c r="AE36" s="225">
        <v>229.0</v>
      </c>
      <c r="AF36" s="226">
        <v>3618.0</v>
      </c>
      <c r="AG36" s="225">
        <v>531.0</v>
      </c>
      <c r="AH36" s="225">
        <v>261.0</v>
      </c>
      <c r="AI36" s="225">
        <v>215.0</v>
      </c>
      <c r="AJ36" s="226">
        <v>1380.0</v>
      </c>
      <c r="AK36" s="225">
        <v>100.0</v>
      </c>
      <c r="AL36" s="225">
        <v>445.0</v>
      </c>
      <c r="AM36" s="225">
        <v>330.0</v>
      </c>
      <c r="AN36" s="225">
        <v>677.0</v>
      </c>
      <c r="AO36" s="226">
        <v>1355.0</v>
      </c>
      <c r="AP36" s="227">
        <v>39674.0</v>
      </c>
    </row>
    <row r="37">
      <c r="A37" s="202" t="s">
        <v>134</v>
      </c>
      <c r="B37" s="225">
        <v>560.0</v>
      </c>
      <c r="C37" s="226">
        <v>8135.0</v>
      </c>
      <c r="D37" s="225">
        <v>308.0</v>
      </c>
      <c r="E37" s="225">
        <v>404.0</v>
      </c>
      <c r="F37" s="225">
        <v>184.0</v>
      </c>
      <c r="G37" s="225">
        <v>749.0</v>
      </c>
      <c r="H37" s="226">
        <v>1744.0</v>
      </c>
      <c r="I37" s="225">
        <v>800.0</v>
      </c>
      <c r="J37" s="225">
        <v>551.0</v>
      </c>
      <c r="K37" s="226">
        <v>1156.0</v>
      </c>
      <c r="L37" s="225">
        <v>128.0</v>
      </c>
      <c r="M37" s="225">
        <v>131.0</v>
      </c>
      <c r="N37" s="225">
        <v>194.0</v>
      </c>
      <c r="O37" s="225">
        <v>161.0</v>
      </c>
      <c r="P37" s="225">
        <v>175.0</v>
      </c>
      <c r="Q37" s="225">
        <v>676.0</v>
      </c>
      <c r="R37" s="225">
        <v>598.0</v>
      </c>
      <c r="S37" s="225">
        <v>54.0</v>
      </c>
      <c r="T37" s="225">
        <v>308.0</v>
      </c>
      <c r="U37" s="225">
        <v>352.0</v>
      </c>
      <c r="V37" s="225">
        <v>40.0</v>
      </c>
      <c r="W37" s="225">
        <v>786.0</v>
      </c>
      <c r="X37" s="225">
        <v>743.0</v>
      </c>
      <c r="Y37" s="225">
        <v>746.0</v>
      </c>
      <c r="Z37" s="225">
        <v>336.0</v>
      </c>
      <c r="AA37" s="226">
        <v>1737.0</v>
      </c>
      <c r="AB37" s="225">
        <v>350.0</v>
      </c>
      <c r="AC37" s="226">
        <v>12114.0</v>
      </c>
      <c r="AD37" s="225">
        <v>74.0</v>
      </c>
      <c r="AE37" s="225">
        <v>299.0</v>
      </c>
      <c r="AF37" s="226">
        <v>3685.0</v>
      </c>
      <c r="AG37" s="225">
        <v>681.0</v>
      </c>
      <c r="AH37" s="225">
        <v>272.0</v>
      </c>
      <c r="AI37" s="225">
        <v>255.0</v>
      </c>
      <c r="AJ37" s="226">
        <v>1624.0</v>
      </c>
      <c r="AK37" s="225">
        <v>138.0</v>
      </c>
      <c r="AL37" s="225">
        <v>590.0</v>
      </c>
      <c r="AM37" s="225">
        <v>427.0</v>
      </c>
      <c r="AN37" s="225">
        <v>882.0</v>
      </c>
      <c r="AO37" s="226">
        <v>1358.0</v>
      </c>
      <c r="AP37" s="227">
        <v>44505.0</v>
      </c>
    </row>
    <row r="38">
      <c r="A38" s="202" t="s">
        <v>135</v>
      </c>
      <c r="B38" s="225">
        <v>692.0</v>
      </c>
      <c r="C38" s="226">
        <v>7832.0</v>
      </c>
      <c r="D38" s="225">
        <v>382.0</v>
      </c>
      <c r="E38" s="225">
        <v>489.0</v>
      </c>
      <c r="F38" s="225">
        <v>231.0</v>
      </c>
      <c r="G38" s="225">
        <v>815.0</v>
      </c>
      <c r="H38" s="226">
        <v>1893.0</v>
      </c>
      <c r="I38" s="226">
        <v>1025.0</v>
      </c>
      <c r="J38" s="225">
        <v>687.0</v>
      </c>
      <c r="K38" s="226">
        <v>1373.0</v>
      </c>
      <c r="L38" s="225">
        <v>140.0</v>
      </c>
      <c r="M38" s="225">
        <v>158.0</v>
      </c>
      <c r="N38" s="225">
        <v>231.0</v>
      </c>
      <c r="O38" s="225">
        <v>186.0</v>
      </c>
      <c r="P38" s="225">
        <v>177.0</v>
      </c>
      <c r="Q38" s="225">
        <v>743.0</v>
      </c>
      <c r="R38" s="225">
        <v>667.0</v>
      </c>
      <c r="S38" s="225">
        <v>67.0</v>
      </c>
      <c r="T38" s="225">
        <v>384.0</v>
      </c>
      <c r="U38" s="225">
        <v>371.0</v>
      </c>
      <c r="V38" s="225">
        <v>36.0</v>
      </c>
      <c r="W38" s="225">
        <v>944.0</v>
      </c>
      <c r="X38" s="225">
        <v>802.0</v>
      </c>
      <c r="Y38" s="225">
        <v>815.0</v>
      </c>
      <c r="Z38" s="225">
        <v>411.0</v>
      </c>
      <c r="AA38" s="226">
        <v>1968.0</v>
      </c>
      <c r="AB38" s="225">
        <v>353.0</v>
      </c>
      <c r="AC38" s="226">
        <v>13433.0</v>
      </c>
      <c r="AD38" s="225">
        <v>90.0</v>
      </c>
      <c r="AE38" s="225">
        <v>345.0</v>
      </c>
      <c r="AF38" s="226">
        <v>3722.0</v>
      </c>
      <c r="AG38" s="225">
        <v>728.0</v>
      </c>
      <c r="AH38" s="225">
        <v>314.0</v>
      </c>
      <c r="AI38" s="225">
        <v>277.0</v>
      </c>
      <c r="AJ38" s="226">
        <v>1790.0</v>
      </c>
      <c r="AK38" s="225">
        <v>155.0</v>
      </c>
      <c r="AL38" s="225">
        <v>605.0</v>
      </c>
      <c r="AM38" s="225">
        <v>537.0</v>
      </c>
      <c r="AN38" s="225">
        <v>894.0</v>
      </c>
      <c r="AO38" s="226">
        <v>2057.0</v>
      </c>
      <c r="AP38" s="227">
        <v>48819.0</v>
      </c>
    </row>
    <row r="39">
      <c r="A39" s="202" t="s">
        <v>136</v>
      </c>
      <c r="B39" s="225">
        <v>700.0</v>
      </c>
      <c r="C39" s="226">
        <v>7524.0</v>
      </c>
      <c r="D39" s="225">
        <v>483.0</v>
      </c>
      <c r="E39" s="225">
        <v>559.0</v>
      </c>
      <c r="F39" s="225">
        <v>246.0</v>
      </c>
      <c r="G39" s="225">
        <v>909.0</v>
      </c>
      <c r="H39" s="226">
        <v>2000.0</v>
      </c>
      <c r="I39" s="226">
        <v>1039.0</v>
      </c>
      <c r="J39" s="225">
        <v>691.0</v>
      </c>
      <c r="K39" s="226">
        <v>1476.0</v>
      </c>
      <c r="L39" s="225">
        <v>147.0</v>
      </c>
      <c r="M39" s="225">
        <v>138.0</v>
      </c>
      <c r="N39" s="225">
        <v>226.0</v>
      </c>
      <c r="O39" s="225">
        <v>222.0</v>
      </c>
      <c r="P39" s="225">
        <v>173.0</v>
      </c>
      <c r="Q39" s="225">
        <v>829.0</v>
      </c>
      <c r="R39" s="225">
        <v>718.0</v>
      </c>
      <c r="S39" s="225">
        <v>89.0</v>
      </c>
      <c r="T39" s="225">
        <v>405.0</v>
      </c>
      <c r="U39" s="225">
        <v>431.0</v>
      </c>
      <c r="V39" s="225">
        <v>27.0</v>
      </c>
      <c r="W39" s="225">
        <v>796.0</v>
      </c>
      <c r="X39" s="226">
        <v>1007.0</v>
      </c>
      <c r="Y39" s="225">
        <v>887.0</v>
      </c>
      <c r="Z39" s="225">
        <v>407.0</v>
      </c>
      <c r="AA39" s="226">
        <v>2348.0</v>
      </c>
      <c r="AB39" s="225">
        <v>343.0</v>
      </c>
      <c r="AC39" s="226">
        <v>14131.0</v>
      </c>
      <c r="AD39" s="225">
        <v>131.0</v>
      </c>
      <c r="AE39" s="225">
        <v>345.0</v>
      </c>
      <c r="AF39" s="226">
        <v>3698.0</v>
      </c>
      <c r="AG39" s="225">
        <v>869.0</v>
      </c>
      <c r="AH39" s="225">
        <v>301.0</v>
      </c>
      <c r="AI39" s="225">
        <v>271.0</v>
      </c>
      <c r="AJ39" s="226">
        <v>1854.0</v>
      </c>
      <c r="AK39" s="225">
        <v>170.0</v>
      </c>
      <c r="AL39" s="225">
        <v>631.0</v>
      </c>
      <c r="AM39" s="225">
        <v>556.0</v>
      </c>
      <c r="AN39" s="225">
        <v>948.0</v>
      </c>
      <c r="AO39" s="226">
        <v>2064.0</v>
      </c>
      <c r="AP39" s="227">
        <v>50789.0</v>
      </c>
    </row>
    <row r="40">
      <c r="A40" s="202" t="s">
        <v>137</v>
      </c>
      <c r="B40" s="225">
        <v>850.0</v>
      </c>
      <c r="C40" s="226">
        <v>7226.0</v>
      </c>
      <c r="D40" s="225">
        <v>492.0</v>
      </c>
      <c r="E40" s="225">
        <v>568.0</v>
      </c>
      <c r="F40" s="225">
        <v>282.0</v>
      </c>
      <c r="G40" s="225">
        <v>991.0</v>
      </c>
      <c r="H40" s="226">
        <v>2275.0</v>
      </c>
      <c r="I40" s="226">
        <v>1230.0</v>
      </c>
      <c r="J40" s="225">
        <v>954.0</v>
      </c>
      <c r="K40" s="226">
        <v>1440.0</v>
      </c>
      <c r="L40" s="225">
        <v>221.0</v>
      </c>
      <c r="M40" s="225">
        <v>189.0</v>
      </c>
      <c r="N40" s="225">
        <v>276.0</v>
      </c>
      <c r="O40" s="225">
        <v>333.0</v>
      </c>
      <c r="P40" s="225">
        <v>245.0</v>
      </c>
      <c r="Q40" s="225">
        <v>889.0</v>
      </c>
      <c r="R40" s="225">
        <v>796.0</v>
      </c>
      <c r="S40" s="225">
        <v>90.0</v>
      </c>
      <c r="T40" s="225">
        <v>486.0</v>
      </c>
      <c r="U40" s="225">
        <v>496.0</v>
      </c>
      <c r="V40" s="225">
        <v>29.0</v>
      </c>
      <c r="W40" s="225">
        <v>955.0</v>
      </c>
      <c r="X40" s="226">
        <v>1187.0</v>
      </c>
      <c r="Y40" s="226">
        <v>985.0</v>
      </c>
      <c r="Z40" s="225">
        <v>422.0</v>
      </c>
      <c r="AA40" s="226">
        <v>2417.0</v>
      </c>
      <c r="AB40" s="225">
        <v>488.0</v>
      </c>
      <c r="AC40" s="226">
        <v>15071.0</v>
      </c>
      <c r="AD40" s="225">
        <v>162.0</v>
      </c>
      <c r="AE40" s="225">
        <v>422.0</v>
      </c>
      <c r="AF40" s="226">
        <v>3842.0</v>
      </c>
      <c r="AG40" s="226">
        <v>1386.0</v>
      </c>
      <c r="AH40" s="225">
        <v>406.0</v>
      </c>
      <c r="AI40" s="225">
        <v>317.0</v>
      </c>
      <c r="AJ40" s="226">
        <v>2160.0</v>
      </c>
      <c r="AK40" s="225">
        <v>237.0</v>
      </c>
      <c r="AL40" s="225">
        <v>704.0</v>
      </c>
      <c r="AM40" s="225">
        <v>716.0</v>
      </c>
      <c r="AN40" s="225">
        <v>963.0</v>
      </c>
      <c r="AO40" s="226">
        <v>4331.0</v>
      </c>
      <c r="AP40" s="227">
        <v>57529.0</v>
      </c>
    </row>
    <row r="41">
      <c r="A41" s="202" t="s">
        <v>138</v>
      </c>
      <c r="B41" s="225">
        <v>765.0</v>
      </c>
      <c r="C41" s="226">
        <v>7077.0</v>
      </c>
      <c r="D41" s="225">
        <v>570.0</v>
      </c>
      <c r="E41" s="225">
        <v>622.0</v>
      </c>
      <c r="F41" s="225">
        <v>326.0</v>
      </c>
      <c r="G41" s="226">
        <v>1182.0</v>
      </c>
      <c r="H41" s="226">
        <v>2403.0</v>
      </c>
      <c r="I41" s="226">
        <v>1177.0</v>
      </c>
      <c r="J41" s="225">
        <v>818.0</v>
      </c>
      <c r="K41" s="226">
        <v>1508.0</v>
      </c>
      <c r="L41" s="225">
        <v>189.0</v>
      </c>
      <c r="M41" s="225">
        <v>204.0</v>
      </c>
      <c r="N41" s="225">
        <v>301.0</v>
      </c>
      <c r="O41" s="225">
        <v>275.0</v>
      </c>
      <c r="P41" s="225">
        <v>192.0</v>
      </c>
      <c r="Q41" s="225">
        <v>999.0</v>
      </c>
      <c r="R41" s="225">
        <v>757.0</v>
      </c>
      <c r="S41" s="225">
        <v>106.0</v>
      </c>
      <c r="T41" s="225">
        <v>502.0</v>
      </c>
      <c r="U41" s="225">
        <v>465.0</v>
      </c>
      <c r="V41" s="225">
        <v>43.0</v>
      </c>
      <c r="W41" s="226">
        <v>1033.0</v>
      </c>
      <c r="X41" s="226">
        <v>1149.0</v>
      </c>
      <c r="Y41" s="226">
        <v>1015.0</v>
      </c>
      <c r="Z41" s="225">
        <v>498.0</v>
      </c>
      <c r="AA41" s="226">
        <v>2388.0</v>
      </c>
      <c r="AB41" s="225">
        <v>503.0</v>
      </c>
      <c r="AC41" s="226">
        <v>14365.0</v>
      </c>
      <c r="AD41" s="225">
        <v>159.0</v>
      </c>
      <c r="AE41" s="225">
        <v>439.0</v>
      </c>
      <c r="AF41" s="226">
        <v>3862.0</v>
      </c>
      <c r="AG41" s="226">
        <v>1281.0</v>
      </c>
      <c r="AH41" s="225">
        <v>435.0</v>
      </c>
      <c r="AI41" s="225">
        <v>326.0</v>
      </c>
      <c r="AJ41" s="226">
        <v>2377.0</v>
      </c>
      <c r="AK41" s="225">
        <v>245.0</v>
      </c>
      <c r="AL41" s="225">
        <v>847.0</v>
      </c>
      <c r="AM41" s="225">
        <v>741.0</v>
      </c>
      <c r="AN41" s="226">
        <v>1104.0</v>
      </c>
      <c r="AO41" s="226">
        <v>4533.0</v>
      </c>
      <c r="AP41" s="227">
        <v>57781.0</v>
      </c>
    </row>
    <row r="42">
      <c r="A42" s="202" t="s">
        <v>139</v>
      </c>
      <c r="B42" s="225">
        <v>818.0</v>
      </c>
      <c r="C42" s="226">
        <v>6859.0</v>
      </c>
      <c r="D42" s="225">
        <v>550.0</v>
      </c>
      <c r="E42" s="225">
        <v>821.0</v>
      </c>
      <c r="F42" s="225">
        <v>272.0</v>
      </c>
      <c r="G42" s="226">
        <v>1269.0</v>
      </c>
      <c r="H42" s="226">
        <v>3005.0</v>
      </c>
      <c r="I42" s="226">
        <v>1318.0</v>
      </c>
      <c r="J42" s="226">
        <v>1136.0</v>
      </c>
      <c r="K42" s="226">
        <v>1875.0</v>
      </c>
      <c r="L42" s="225">
        <v>142.0</v>
      </c>
      <c r="M42" s="225">
        <v>183.0</v>
      </c>
      <c r="N42" s="225">
        <v>332.0</v>
      </c>
      <c r="O42" s="225">
        <v>246.0</v>
      </c>
      <c r="P42" s="225">
        <v>193.0</v>
      </c>
      <c r="Q42" s="226">
        <v>1205.0</v>
      </c>
      <c r="R42" s="225">
        <v>881.0</v>
      </c>
      <c r="S42" s="225">
        <v>127.0</v>
      </c>
      <c r="T42" s="225">
        <v>703.0</v>
      </c>
      <c r="U42" s="225">
        <v>446.0</v>
      </c>
      <c r="V42" s="225">
        <v>52.0</v>
      </c>
      <c r="W42" s="226">
        <v>1417.0</v>
      </c>
      <c r="X42" s="226">
        <v>1204.0</v>
      </c>
      <c r="Y42" s="226">
        <v>1220.0</v>
      </c>
      <c r="Z42" s="225">
        <v>451.0</v>
      </c>
      <c r="AA42" s="226">
        <v>2979.0</v>
      </c>
      <c r="AB42" s="225">
        <v>562.0</v>
      </c>
      <c r="AC42" s="226">
        <v>16374.0</v>
      </c>
      <c r="AD42" s="225">
        <v>185.0</v>
      </c>
      <c r="AE42" s="225">
        <v>529.0</v>
      </c>
      <c r="AF42" s="226">
        <v>3788.0</v>
      </c>
      <c r="AG42" s="226">
        <v>1108.0</v>
      </c>
      <c r="AH42" s="225">
        <v>496.0</v>
      </c>
      <c r="AI42" s="225">
        <v>392.0</v>
      </c>
      <c r="AJ42" s="226">
        <v>2531.0</v>
      </c>
      <c r="AK42" s="225">
        <v>213.0</v>
      </c>
      <c r="AL42" s="225">
        <v>904.0</v>
      </c>
      <c r="AM42" s="225">
        <v>675.0</v>
      </c>
      <c r="AN42" s="226">
        <v>1249.0</v>
      </c>
      <c r="AO42" s="226">
        <v>5686.0</v>
      </c>
      <c r="AP42" s="227">
        <v>64396.0</v>
      </c>
    </row>
    <row r="43">
      <c r="A43" s="202" t="s">
        <v>140</v>
      </c>
      <c r="B43" s="226">
        <v>994.0</v>
      </c>
      <c r="C43" s="226">
        <v>6846.0</v>
      </c>
      <c r="D43" s="225">
        <v>625.0</v>
      </c>
      <c r="E43" s="225">
        <v>941.0</v>
      </c>
      <c r="F43" s="225">
        <v>244.0</v>
      </c>
      <c r="G43" s="226">
        <v>1264.0</v>
      </c>
      <c r="H43" s="226">
        <v>3151.0</v>
      </c>
      <c r="I43" s="226">
        <v>1514.0</v>
      </c>
      <c r="J43" s="226">
        <v>1188.0</v>
      </c>
      <c r="K43" s="226">
        <v>2038.0</v>
      </c>
      <c r="L43" s="225">
        <v>173.0</v>
      </c>
      <c r="M43" s="225">
        <v>216.0</v>
      </c>
      <c r="N43" s="225">
        <v>371.0</v>
      </c>
      <c r="O43" s="225">
        <v>316.0</v>
      </c>
      <c r="P43" s="225">
        <v>213.0</v>
      </c>
      <c r="Q43" s="226">
        <v>1166.0</v>
      </c>
      <c r="R43" s="226">
        <v>1024.0</v>
      </c>
      <c r="S43" s="225">
        <v>141.0</v>
      </c>
      <c r="T43" s="225">
        <v>822.0</v>
      </c>
      <c r="U43" s="225">
        <v>458.0</v>
      </c>
      <c r="V43" s="225">
        <v>62.0</v>
      </c>
      <c r="W43" s="226">
        <v>1205.0</v>
      </c>
      <c r="X43" s="226">
        <v>1310.0</v>
      </c>
      <c r="Y43" s="226">
        <v>1301.0</v>
      </c>
      <c r="Z43" s="225">
        <v>536.0</v>
      </c>
      <c r="AA43" s="226">
        <v>2990.0</v>
      </c>
      <c r="AB43" s="225">
        <v>683.0</v>
      </c>
      <c r="AC43" s="226">
        <v>15968.0</v>
      </c>
      <c r="AD43" s="225">
        <v>185.0</v>
      </c>
      <c r="AE43" s="225">
        <v>540.0</v>
      </c>
      <c r="AF43" s="226">
        <v>3851.0</v>
      </c>
      <c r="AG43" s="226">
        <v>1123.0</v>
      </c>
      <c r="AH43" s="225">
        <v>579.0</v>
      </c>
      <c r="AI43" s="225">
        <v>470.0</v>
      </c>
      <c r="AJ43" s="226">
        <v>2859.0</v>
      </c>
      <c r="AK43" s="225">
        <v>213.0</v>
      </c>
      <c r="AL43" s="226">
        <v>1000.0</v>
      </c>
      <c r="AM43" s="225">
        <v>728.0</v>
      </c>
      <c r="AN43" s="226">
        <v>1369.0</v>
      </c>
      <c r="AO43" s="226">
        <v>4776.0</v>
      </c>
      <c r="AP43" s="227">
        <v>65453.0</v>
      </c>
    </row>
    <row r="44">
      <c r="A44" s="202" t="s">
        <v>141</v>
      </c>
      <c r="B44" s="225">
        <v>964.0</v>
      </c>
      <c r="C44" s="226">
        <v>6806.0</v>
      </c>
      <c r="D44" s="225">
        <v>620.0</v>
      </c>
      <c r="E44" s="225">
        <v>926.0</v>
      </c>
      <c r="F44" s="225">
        <v>292.0</v>
      </c>
      <c r="G44" s="226">
        <v>1425.0</v>
      </c>
      <c r="H44" s="226">
        <v>3301.0</v>
      </c>
      <c r="I44" s="226">
        <v>1475.0</v>
      </c>
      <c r="J44" s="226">
        <v>1319.0</v>
      </c>
      <c r="K44" s="226">
        <v>2031.0</v>
      </c>
      <c r="L44" s="225">
        <v>185.0</v>
      </c>
      <c r="M44" s="225">
        <v>209.0</v>
      </c>
      <c r="N44" s="225">
        <v>392.0</v>
      </c>
      <c r="O44" s="225">
        <v>339.0</v>
      </c>
      <c r="P44" s="225">
        <v>238.0</v>
      </c>
      <c r="Q44" s="226">
        <v>1220.0</v>
      </c>
      <c r="R44" s="226">
        <v>1006.0</v>
      </c>
      <c r="S44" s="225">
        <v>126.0</v>
      </c>
      <c r="T44" s="225">
        <v>852.0</v>
      </c>
      <c r="U44" s="225">
        <v>443.0</v>
      </c>
      <c r="V44" s="225">
        <v>84.0</v>
      </c>
      <c r="W44" s="226">
        <v>1316.0</v>
      </c>
      <c r="X44" s="226">
        <v>1294.0</v>
      </c>
      <c r="Y44" s="226">
        <v>1282.0</v>
      </c>
      <c r="Z44" s="225">
        <v>611.0</v>
      </c>
      <c r="AA44" s="226">
        <v>3336.0</v>
      </c>
      <c r="AB44" s="225">
        <v>672.0</v>
      </c>
      <c r="AC44" s="226">
        <v>16564.0</v>
      </c>
      <c r="AD44" s="225">
        <v>221.0</v>
      </c>
      <c r="AE44" s="225">
        <v>547.0</v>
      </c>
      <c r="AF44" s="226">
        <v>3827.0</v>
      </c>
      <c r="AG44" s="226">
        <v>1257.0</v>
      </c>
      <c r="AH44" s="225">
        <v>559.0</v>
      </c>
      <c r="AI44" s="225">
        <v>494.0</v>
      </c>
      <c r="AJ44" s="226">
        <v>3083.0</v>
      </c>
      <c r="AK44" s="225">
        <v>249.0</v>
      </c>
      <c r="AL44" s="226">
        <v>1098.0</v>
      </c>
      <c r="AM44" s="225">
        <v>752.0</v>
      </c>
      <c r="AN44" s="226">
        <v>1419.0</v>
      </c>
      <c r="AO44" s="226">
        <v>4997.0</v>
      </c>
      <c r="AP44" s="227">
        <v>67831.0</v>
      </c>
    </row>
    <row r="45">
      <c r="A45" s="202" t="s">
        <v>142</v>
      </c>
      <c r="B45" s="225">
        <v>881.0</v>
      </c>
      <c r="C45" s="226">
        <v>6631.0</v>
      </c>
      <c r="D45" s="225">
        <v>616.0</v>
      </c>
      <c r="E45" s="225">
        <v>944.0</v>
      </c>
      <c r="F45" s="225">
        <v>331.0</v>
      </c>
      <c r="G45" s="226">
        <v>1445.0</v>
      </c>
      <c r="H45" s="226">
        <v>3486.0</v>
      </c>
      <c r="I45" s="226">
        <v>1464.0</v>
      </c>
      <c r="J45" s="226">
        <v>1294.0</v>
      </c>
      <c r="K45" s="226">
        <v>2145.0</v>
      </c>
      <c r="L45" s="225">
        <v>216.0</v>
      </c>
      <c r="M45" s="225">
        <v>205.0</v>
      </c>
      <c r="N45" s="225">
        <v>316.0</v>
      </c>
      <c r="O45" s="225">
        <v>355.0</v>
      </c>
      <c r="P45" s="225">
        <v>255.0</v>
      </c>
      <c r="Q45" s="226">
        <v>1306.0</v>
      </c>
      <c r="R45" s="226">
        <v>947.0</v>
      </c>
      <c r="S45" s="225">
        <v>98.0</v>
      </c>
      <c r="T45" s="225">
        <v>781.0</v>
      </c>
      <c r="U45" s="225">
        <v>497.0</v>
      </c>
      <c r="V45" s="225">
        <v>108.0</v>
      </c>
      <c r="W45" s="226">
        <v>1360.0</v>
      </c>
      <c r="X45" s="226">
        <v>1442.0</v>
      </c>
      <c r="Y45" s="226">
        <v>1276.0</v>
      </c>
      <c r="Z45" s="225">
        <v>489.0</v>
      </c>
      <c r="AA45" s="226">
        <v>3325.0</v>
      </c>
      <c r="AB45" s="225">
        <v>692.0</v>
      </c>
      <c r="AC45" s="226">
        <v>17156.0</v>
      </c>
      <c r="AD45" s="225">
        <v>221.0</v>
      </c>
      <c r="AE45" s="225">
        <v>530.0</v>
      </c>
      <c r="AF45" s="226">
        <v>3985.0</v>
      </c>
      <c r="AG45" s="226">
        <v>1436.0</v>
      </c>
      <c r="AH45" s="225">
        <v>537.0</v>
      </c>
      <c r="AI45" s="225">
        <v>508.0</v>
      </c>
      <c r="AJ45" s="226">
        <v>3132.0</v>
      </c>
      <c r="AK45" s="225">
        <v>224.0</v>
      </c>
      <c r="AL45" s="226">
        <v>1163.0</v>
      </c>
      <c r="AM45" s="225">
        <v>779.0</v>
      </c>
      <c r="AN45" s="226">
        <v>1321.0</v>
      </c>
      <c r="AO45" s="226">
        <v>4815.0</v>
      </c>
      <c r="AP45" s="227">
        <v>68712.0</v>
      </c>
    </row>
    <row r="46">
      <c r="A46" s="202" t="s">
        <v>143</v>
      </c>
      <c r="B46" s="226">
        <v>1158.0</v>
      </c>
      <c r="C46" s="226">
        <v>6235.0</v>
      </c>
      <c r="D46" s="225">
        <v>816.0</v>
      </c>
      <c r="E46" s="226">
        <v>997.0</v>
      </c>
      <c r="F46" s="225">
        <v>488.0</v>
      </c>
      <c r="G46" s="226">
        <v>2133.0</v>
      </c>
      <c r="H46" s="226">
        <v>4328.0</v>
      </c>
      <c r="I46" s="226">
        <v>1846.0</v>
      </c>
      <c r="J46" s="226">
        <v>1616.0</v>
      </c>
      <c r="K46" s="226">
        <v>2586.0</v>
      </c>
      <c r="L46" s="225">
        <v>281.0</v>
      </c>
      <c r="M46" s="225">
        <v>204.0</v>
      </c>
      <c r="N46" s="225">
        <v>409.0</v>
      </c>
      <c r="O46" s="225">
        <v>437.0</v>
      </c>
      <c r="P46" s="225">
        <v>297.0</v>
      </c>
      <c r="Q46" s="226">
        <v>1674.0</v>
      </c>
      <c r="R46" s="226">
        <v>1150.0</v>
      </c>
      <c r="S46" s="225">
        <v>136.0</v>
      </c>
      <c r="T46" s="225">
        <v>918.0</v>
      </c>
      <c r="U46" s="225">
        <v>701.0</v>
      </c>
      <c r="V46" s="225">
        <v>153.0</v>
      </c>
      <c r="W46" s="226">
        <v>1834.0</v>
      </c>
      <c r="X46" s="226">
        <v>2027.0</v>
      </c>
      <c r="Y46" s="226">
        <v>1714.0</v>
      </c>
      <c r="Z46" s="225">
        <v>787.0</v>
      </c>
      <c r="AA46" s="226">
        <v>3994.0</v>
      </c>
      <c r="AB46" s="225">
        <v>767.0</v>
      </c>
      <c r="AC46" s="226">
        <v>18308.0</v>
      </c>
      <c r="AD46" s="225">
        <v>263.0</v>
      </c>
      <c r="AE46" s="225">
        <v>626.0</v>
      </c>
      <c r="AF46" s="226">
        <v>2686.0</v>
      </c>
      <c r="AG46" s="226">
        <v>1775.0</v>
      </c>
      <c r="AH46" s="225">
        <v>564.0</v>
      </c>
      <c r="AI46" s="225">
        <v>519.0</v>
      </c>
      <c r="AJ46" s="226">
        <v>4268.0</v>
      </c>
      <c r="AK46" s="225">
        <v>324.0</v>
      </c>
      <c r="AL46" s="226">
        <v>1535.0</v>
      </c>
      <c r="AM46" s="226">
        <v>1198.0</v>
      </c>
      <c r="AN46" s="226">
        <v>1631.0</v>
      </c>
      <c r="AO46" s="226">
        <v>4978.0</v>
      </c>
      <c r="AP46" s="227">
        <v>78361.0</v>
      </c>
    </row>
    <row r="47">
      <c r="A47" s="202" t="s">
        <v>144</v>
      </c>
      <c r="B47" s="226">
        <v>1063.0</v>
      </c>
      <c r="C47" s="226">
        <v>2258.0</v>
      </c>
      <c r="D47" s="225">
        <v>675.0</v>
      </c>
      <c r="E47" s="225">
        <v>846.0</v>
      </c>
      <c r="F47" s="225">
        <v>432.0</v>
      </c>
      <c r="G47" s="226">
        <v>1601.0</v>
      </c>
      <c r="H47" s="226">
        <v>3426.0</v>
      </c>
      <c r="I47" s="226">
        <v>1543.0</v>
      </c>
      <c r="J47" s="226">
        <v>1419.0</v>
      </c>
      <c r="K47" s="226">
        <v>2070.0</v>
      </c>
      <c r="L47" s="225">
        <v>244.0</v>
      </c>
      <c r="M47" s="225">
        <v>189.0</v>
      </c>
      <c r="N47" s="225">
        <v>342.0</v>
      </c>
      <c r="O47" s="225">
        <v>381.0</v>
      </c>
      <c r="P47" s="225">
        <v>303.0</v>
      </c>
      <c r="Q47" s="226">
        <v>1435.0</v>
      </c>
      <c r="R47" s="226">
        <v>1036.0</v>
      </c>
      <c r="S47" s="225">
        <v>131.0</v>
      </c>
      <c r="T47" s="225">
        <v>554.0</v>
      </c>
      <c r="U47" s="225">
        <v>671.0</v>
      </c>
      <c r="V47" s="225">
        <v>49.0</v>
      </c>
      <c r="W47" s="226">
        <v>1550.0</v>
      </c>
      <c r="X47" s="226">
        <v>1650.0</v>
      </c>
      <c r="Y47" s="226">
        <v>1405.0</v>
      </c>
      <c r="Z47" s="225">
        <v>468.0</v>
      </c>
      <c r="AA47" s="226">
        <v>3289.0</v>
      </c>
      <c r="AB47" s="225">
        <v>668.0</v>
      </c>
      <c r="AC47" s="226">
        <v>15751.0</v>
      </c>
      <c r="AD47" s="225">
        <v>230.0</v>
      </c>
      <c r="AE47" s="225">
        <v>545.0</v>
      </c>
      <c r="AF47" s="226">
        <v>1108.0</v>
      </c>
      <c r="AG47" s="226">
        <v>1561.0</v>
      </c>
      <c r="AH47" s="225">
        <v>467.0</v>
      </c>
      <c r="AI47" s="225">
        <v>406.0</v>
      </c>
      <c r="AJ47" s="226">
        <v>3530.0</v>
      </c>
      <c r="AK47" s="225">
        <v>267.0</v>
      </c>
      <c r="AL47" s="226">
        <v>1173.0</v>
      </c>
      <c r="AM47" s="226">
        <v>1103.0</v>
      </c>
      <c r="AN47" s="226">
        <v>1299.0</v>
      </c>
      <c r="AO47" s="226">
        <v>4861.0</v>
      </c>
      <c r="AP47" s="227">
        <v>61999.0</v>
      </c>
    </row>
    <row r="48">
      <c r="A48" s="202" t="s">
        <v>145</v>
      </c>
      <c r="B48" s="226">
        <v>1069.0</v>
      </c>
      <c r="C48" s="226">
        <v>1005.0</v>
      </c>
      <c r="D48" s="226">
        <v>1027.0</v>
      </c>
      <c r="E48" s="226">
        <v>1053.0</v>
      </c>
      <c r="F48" s="225">
        <v>522.0</v>
      </c>
      <c r="G48" s="226">
        <v>1872.0</v>
      </c>
      <c r="H48" s="226">
        <v>4678.0</v>
      </c>
      <c r="I48" s="226">
        <v>2054.0</v>
      </c>
      <c r="J48" s="226">
        <v>1487.0</v>
      </c>
      <c r="K48" s="226">
        <v>2735.0</v>
      </c>
      <c r="L48" s="225">
        <v>356.0</v>
      </c>
      <c r="M48" s="225">
        <v>240.0</v>
      </c>
      <c r="N48" s="225">
        <v>452.0</v>
      </c>
      <c r="O48" s="225">
        <v>482.0</v>
      </c>
      <c r="P48" s="225">
        <v>346.0</v>
      </c>
      <c r="Q48" s="226">
        <v>1798.0</v>
      </c>
      <c r="R48" s="226">
        <v>1319.0</v>
      </c>
      <c r="S48" s="225">
        <v>116.0</v>
      </c>
      <c r="T48" s="225">
        <v>762.0</v>
      </c>
      <c r="U48" s="225">
        <v>635.0</v>
      </c>
      <c r="V48" s="225">
        <v>62.0</v>
      </c>
      <c r="W48" s="226">
        <v>1469.0</v>
      </c>
      <c r="X48" s="226">
        <v>1950.0</v>
      </c>
      <c r="Y48" s="226">
        <v>1732.0</v>
      </c>
      <c r="Z48" s="225">
        <v>812.0</v>
      </c>
      <c r="AA48" s="226">
        <v>4341.0</v>
      </c>
      <c r="AB48" s="225">
        <v>747.0</v>
      </c>
      <c r="AC48" s="226">
        <v>17589.0</v>
      </c>
      <c r="AD48" s="225">
        <v>385.0</v>
      </c>
      <c r="AE48" s="225">
        <v>692.0</v>
      </c>
      <c r="AF48" s="226">
        <v>933.0</v>
      </c>
      <c r="AG48" s="226">
        <v>1826.0</v>
      </c>
      <c r="AH48" s="225">
        <v>611.0</v>
      </c>
      <c r="AI48" s="225">
        <v>513.0</v>
      </c>
      <c r="AJ48" s="226">
        <v>4243.0</v>
      </c>
      <c r="AK48" s="225">
        <v>330.0</v>
      </c>
      <c r="AL48" s="226">
        <v>1420.0</v>
      </c>
      <c r="AM48" s="226">
        <v>1298.0</v>
      </c>
      <c r="AN48" s="226">
        <v>1772.0</v>
      </c>
      <c r="AO48" s="226">
        <v>6901.0</v>
      </c>
      <c r="AP48" s="227">
        <v>73634.0</v>
      </c>
    </row>
    <row r="49">
      <c r="A49" s="202" t="s">
        <v>146</v>
      </c>
      <c r="B49" s="226">
        <v>1182.0</v>
      </c>
      <c r="C49" s="226">
        <v>1156.0</v>
      </c>
      <c r="D49" s="226">
        <v>1005.0</v>
      </c>
      <c r="E49" s="226">
        <v>878.0</v>
      </c>
      <c r="F49" s="225">
        <v>536.0</v>
      </c>
      <c r="G49" s="226">
        <v>1984.0</v>
      </c>
      <c r="H49" s="226">
        <v>4537.0</v>
      </c>
      <c r="I49" s="226">
        <v>2275.0</v>
      </c>
      <c r="J49" s="226">
        <v>1686.0</v>
      </c>
      <c r="K49" s="226">
        <v>2911.0</v>
      </c>
      <c r="L49" s="225">
        <v>373.0</v>
      </c>
      <c r="M49" s="225">
        <v>259.0</v>
      </c>
      <c r="N49" s="225">
        <v>530.0</v>
      </c>
      <c r="O49" s="225">
        <v>474.0</v>
      </c>
      <c r="P49" s="225">
        <v>355.0</v>
      </c>
      <c r="Q49" s="226">
        <v>1856.0</v>
      </c>
      <c r="R49" s="226">
        <v>1437.0</v>
      </c>
      <c r="S49" s="225">
        <v>146.0</v>
      </c>
      <c r="T49" s="225">
        <v>777.0</v>
      </c>
      <c r="U49" s="225">
        <v>836.0</v>
      </c>
      <c r="V49" s="225">
        <v>86.0</v>
      </c>
      <c r="W49" s="226">
        <v>1528.0</v>
      </c>
      <c r="X49" s="226">
        <v>2040.0</v>
      </c>
      <c r="Y49" s="226">
        <v>1888.0</v>
      </c>
      <c r="Z49" s="225">
        <v>702.0</v>
      </c>
      <c r="AA49" s="226">
        <v>4508.0</v>
      </c>
      <c r="AB49" s="225">
        <v>775.0</v>
      </c>
      <c r="AC49" s="226">
        <v>17899.0</v>
      </c>
      <c r="AD49" s="225">
        <v>357.0</v>
      </c>
      <c r="AE49" s="225">
        <v>795.0</v>
      </c>
      <c r="AF49" s="226">
        <v>1015.0</v>
      </c>
      <c r="AG49" s="226">
        <v>1894.0</v>
      </c>
      <c r="AH49" s="225">
        <v>645.0</v>
      </c>
      <c r="AI49" s="225">
        <v>554.0</v>
      </c>
      <c r="AJ49" s="226">
        <v>4559.0</v>
      </c>
      <c r="AK49" s="225">
        <v>352.0</v>
      </c>
      <c r="AL49" s="226">
        <v>1576.0</v>
      </c>
      <c r="AM49" s="226">
        <v>1439.0</v>
      </c>
      <c r="AN49" s="226">
        <v>1980.0</v>
      </c>
      <c r="AO49" s="226">
        <v>8500.0</v>
      </c>
      <c r="AP49" s="227">
        <v>78285.0</v>
      </c>
    </row>
    <row r="50">
      <c r="A50" s="202" t="s">
        <v>147</v>
      </c>
      <c r="B50" s="226">
        <v>1230.0</v>
      </c>
      <c r="C50" s="226">
        <v>1199.0</v>
      </c>
      <c r="D50" s="226">
        <v>812.0</v>
      </c>
      <c r="E50" s="226">
        <v>647.0</v>
      </c>
      <c r="F50" s="225">
        <v>523.0</v>
      </c>
      <c r="G50" s="226">
        <v>2384.0</v>
      </c>
      <c r="H50" s="226">
        <v>3880.0</v>
      </c>
      <c r="I50" s="226">
        <v>2050.0</v>
      </c>
      <c r="J50" s="226">
        <v>1783.0</v>
      </c>
      <c r="K50" s="226">
        <v>2543.0</v>
      </c>
      <c r="L50" s="225">
        <v>309.0</v>
      </c>
      <c r="M50" s="225">
        <v>201.0</v>
      </c>
      <c r="N50" s="225">
        <v>425.0</v>
      </c>
      <c r="O50" s="225">
        <v>449.0</v>
      </c>
      <c r="P50" s="225">
        <v>382.0</v>
      </c>
      <c r="Q50" s="226">
        <v>1362.0</v>
      </c>
      <c r="R50" s="226">
        <v>1383.0</v>
      </c>
      <c r="S50" s="225">
        <v>163.0</v>
      </c>
      <c r="T50" s="225">
        <v>921.0</v>
      </c>
      <c r="U50" s="225">
        <v>835.0</v>
      </c>
      <c r="V50" s="225">
        <v>78.0</v>
      </c>
      <c r="W50" s="226">
        <v>1879.0</v>
      </c>
      <c r="X50" s="226">
        <v>2069.0</v>
      </c>
      <c r="Y50" s="226">
        <v>1562.0</v>
      </c>
      <c r="Z50" s="225">
        <v>696.0</v>
      </c>
      <c r="AA50" s="226">
        <v>3682.0</v>
      </c>
      <c r="AB50" s="225">
        <v>880.0</v>
      </c>
      <c r="AC50" s="226">
        <v>15038.0</v>
      </c>
      <c r="AD50" s="225">
        <v>361.0</v>
      </c>
      <c r="AE50" s="225">
        <v>650.0</v>
      </c>
      <c r="AF50" s="226">
        <v>796.0</v>
      </c>
      <c r="AG50" s="226">
        <v>1835.0</v>
      </c>
      <c r="AH50" s="225">
        <v>665.0</v>
      </c>
      <c r="AI50" s="225">
        <v>586.0</v>
      </c>
      <c r="AJ50" s="226">
        <v>3942.0</v>
      </c>
      <c r="AK50" s="225">
        <v>320.0</v>
      </c>
      <c r="AL50" s="226">
        <v>1279.0</v>
      </c>
      <c r="AM50" s="226">
        <v>1586.0</v>
      </c>
      <c r="AN50" s="226">
        <v>1856.0</v>
      </c>
      <c r="AO50" s="226">
        <v>7050.0</v>
      </c>
      <c r="AP50" s="227">
        <v>70291.0</v>
      </c>
    </row>
    <row r="51">
      <c r="A51" s="202" t="s">
        <v>148</v>
      </c>
      <c r="B51" s="226">
        <v>1291.0</v>
      </c>
      <c r="C51" s="226">
        <v>1250.0</v>
      </c>
      <c r="D51" s="226">
        <v>719.0</v>
      </c>
      <c r="E51" s="226">
        <v>561.0</v>
      </c>
      <c r="F51" s="225">
        <v>499.0</v>
      </c>
      <c r="G51" s="226">
        <v>1463.0</v>
      </c>
      <c r="H51" s="226">
        <v>3500.0</v>
      </c>
      <c r="I51" s="226">
        <v>2002.0</v>
      </c>
      <c r="J51" s="226">
        <v>1669.0</v>
      </c>
      <c r="K51" s="226">
        <v>2301.0</v>
      </c>
      <c r="L51" s="225">
        <v>311.0</v>
      </c>
      <c r="M51" s="225">
        <v>212.0</v>
      </c>
      <c r="N51" s="225">
        <v>379.0</v>
      </c>
      <c r="O51" s="225">
        <v>360.0</v>
      </c>
      <c r="P51" s="225">
        <v>390.0</v>
      </c>
      <c r="Q51" s="226">
        <v>1438.0</v>
      </c>
      <c r="R51" s="226">
        <v>1287.0</v>
      </c>
      <c r="S51" s="225">
        <v>197.0</v>
      </c>
      <c r="T51" s="226">
        <v>1012.0</v>
      </c>
      <c r="U51" s="225">
        <v>894.0</v>
      </c>
      <c r="V51" s="225">
        <v>59.0</v>
      </c>
      <c r="W51" s="226">
        <v>1544.0</v>
      </c>
      <c r="X51" s="226">
        <v>2196.0</v>
      </c>
      <c r="Y51" s="226">
        <v>1772.0</v>
      </c>
      <c r="Z51" s="225">
        <v>702.0</v>
      </c>
      <c r="AA51" s="226">
        <v>3312.0</v>
      </c>
      <c r="AB51" s="226">
        <v>1064.0</v>
      </c>
      <c r="AC51" s="226">
        <v>11984.0</v>
      </c>
      <c r="AD51" s="225">
        <v>293.0</v>
      </c>
      <c r="AE51" s="225">
        <v>639.0</v>
      </c>
      <c r="AF51" s="226">
        <v>811.0</v>
      </c>
      <c r="AG51" s="226">
        <v>2057.0</v>
      </c>
      <c r="AH51" s="225">
        <v>608.0</v>
      </c>
      <c r="AI51" s="225">
        <v>670.0</v>
      </c>
      <c r="AJ51" s="226">
        <v>3810.0</v>
      </c>
      <c r="AK51" s="225">
        <v>322.0</v>
      </c>
      <c r="AL51" s="226">
        <v>1084.0</v>
      </c>
      <c r="AM51" s="226">
        <v>1434.0</v>
      </c>
      <c r="AN51" s="226">
        <v>1607.0</v>
      </c>
      <c r="AO51" s="226">
        <v>9127.0</v>
      </c>
      <c r="AP51" s="227">
        <v>66830.0</v>
      </c>
    </row>
    <row r="52">
      <c r="A52" s="202" t="s">
        <v>149</v>
      </c>
      <c r="B52" s="226">
        <v>1496.0</v>
      </c>
      <c r="C52" s="226">
        <v>1229.0</v>
      </c>
      <c r="D52" s="226">
        <v>790.0</v>
      </c>
      <c r="E52" s="226">
        <v>639.0</v>
      </c>
      <c r="F52" s="225">
        <v>581.0</v>
      </c>
      <c r="G52" s="226">
        <v>1581.0</v>
      </c>
      <c r="H52" s="226">
        <v>3548.0</v>
      </c>
      <c r="I52" s="226">
        <v>1973.0</v>
      </c>
      <c r="J52" s="226">
        <v>1894.0</v>
      </c>
      <c r="K52" s="226">
        <v>2428.0</v>
      </c>
      <c r="L52" s="225">
        <v>312.0</v>
      </c>
      <c r="M52" s="225">
        <v>238.0</v>
      </c>
      <c r="N52" s="225">
        <v>397.0</v>
      </c>
      <c r="O52" s="225">
        <v>397.0</v>
      </c>
      <c r="P52" s="225">
        <v>560.0</v>
      </c>
      <c r="Q52" s="226">
        <v>1407.0</v>
      </c>
      <c r="R52" s="226">
        <v>1229.0</v>
      </c>
      <c r="S52" s="225">
        <v>181.0</v>
      </c>
      <c r="T52" s="226">
        <v>1098.0</v>
      </c>
      <c r="U52" s="225">
        <v>989.0</v>
      </c>
      <c r="V52" s="225">
        <v>47.0</v>
      </c>
      <c r="W52" s="226">
        <v>1868.0</v>
      </c>
      <c r="X52" s="226">
        <v>2459.0</v>
      </c>
      <c r="Y52" s="226">
        <v>1634.0</v>
      </c>
      <c r="Z52" s="225">
        <v>684.0</v>
      </c>
      <c r="AA52" s="226">
        <v>3168.0</v>
      </c>
      <c r="AB52" s="226">
        <v>1138.0</v>
      </c>
      <c r="AC52" s="226">
        <v>11925.0</v>
      </c>
      <c r="AD52" s="225">
        <v>330.0</v>
      </c>
      <c r="AE52" s="225">
        <v>569.0</v>
      </c>
      <c r="AF52" s="226">
        <v>744.0</v>
      </c>
      <c r="AG52" s="226">
        <v>2185.0</v>
      </c>
      <c r="AH52" s="225">
        <v>710.0</v>
      </c>
      <c r="AI52" s="225">
        <v>716.0</v>
      </c>
      <c r="AJ52" s="226">
        <v>3852.0</v>
      </c>
      <c r="AK52" s="225">
        <v>352.0</v>
      </c>
      <c r="AL52" s="226">
        <v>1233.0</v>
      </c>
      <c r="AM52" s="226">
        <v>1276.0</v>
      </c>
      <c r="AN52" s="226">
        <v>1642.0</v>
      </c>
      <c r="AO52" s="226">
        <v>11467.0</v>
      </c>
      <c r="AP52" s="227">
        <v>70966.0</v>
      </c>
    </row>
    <row r="53">
      <c r="A53" s="202" t="s">
        <v>150</v>
      </c>
      <c r="B53" s="226">
        <v>1703.0</v>
      </c>
      <c r="C53" s="226">
        <v>1614.0</v>
      </c>
      <c r="D53" s="226">
        <v>885.0</v>
      </c>
      <c r="E53" s="226">
        <v>708.0</v>
      </c>
      <c r="F53" s="225">
        <v>618.0</v>
      </c>
      <c r="G53" s="226">
        <v>1987.0</v>
      </c>
      <c r="H53" s="226">
        <v>4510.0</v>
      </c>
      <c r="I53" s="226">
        <v>2278.0</v>
      </c>
      <c r="J53" s="226">
        <v>2342.0</v>
      </c>
      <c r="K53" s="226">
        <v>2912.0</v>
      </c>
      <c r="L53" s="225">
        <v>421.0</v>
      </c>
      <c r="M53" s="225">
        <v>320.0</v>
      </c>
      <c r="N53" s="225">
        <v>511.0</v>
      </c>
      <c r="O53" s="225">
        <v>457.0</v>
      </c>
      <c r="P53" s="225">
        <v>759.0</v>
      </c>
      <c r="Q53" s="226">
        <v>1721.0</v>
      </c>
      <c r="R53" s="226">
        <v>1581.0</v>
      </c>
      <c r="S53" s="225">
        <v>217.0</v>
      </c>
      <c r="T53" s="226">
        <v>1504.0</v>
      </c>
      <c r="U53" s="226">
        <v>1151.0</v>
      </c>
      <c r="V53" s="225">
        <v>84.0</v>
      </c>
      <c r="W53" s="226">
        <v>2223.0</v>
      </c>
      <c r="X53" s="226">
        <v>3117.0</v>
      </c>
      <c r="Y53" s="226">
        <v>1964.0</v>
      </c>
      <c r="Z53" s="225">
        <v>864.0</v>
      </c>
      <c r="AA53" s="226">
        <v>4117.0</v>
      </c>
      <c r="AB53" s="226">
        <v>1539.0</v>
      </c>
      <c r="AC53" s="226">
        <v>16317.0</v>
      </c>
      <c r="AD53" s="225">
        <v>421.0</v>
      </c>
      <c r="AE53" s="225">
        <v>706.0</v>
      </c>
      <c r="AF53" s="226">
        <v>1132.0</v>
      </c>
      <c r="AG53" s="226">
        <v>2739.0</v>
      </c>
      <c r="AH53" s="225">
        <v>810.0</v>
      </c>
      <c r="AI53" s="225">
        <v>786.0</v>
      </c>
      <c r="AJ53" s="226">
        <v>4625.0</v>
      </c>
      <c r="AK53" s="225">
        <v>445.0</v>
      </c>
      <c r="AL53" s="226">
        <v>1546.0</v>
      </c>
      <c r="AM53" s="226">
        <v>1651.0</v>
      </c>
      <c r="AN53" s="226">
        <v>1960.0</v>
      </c>
      <c r="AO53" s="226">
        <v>16582.0</v>
      </c>
      <c r="AP53" s="227">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320</v>
      </c>
      <c r="B1" s="105"/>
      <c r="C1" s="105"/>
      <c r="D1" s="105"/>
      <c r="E1" s="105"/>
      <c r="F1" s="105"/>
      <c r="G1" s="105"/>
      <c r="H1" s="105"/>
      <c r="I1" s="105"/>
      <c r="J1" s="105"/>
      <c r="K1" s="105"/>
      <c r="L1" s="105"/>
      <c r="M1" s="105"/>
      <c r="N1" s="12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321</v>
      </c>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230" t="s">
        <v>322</v>
      </c>
      <c r="L3" s="106"/>
      <c r="M3" s="106"/>
      <c r="N3" s="106"/>
      <c r="O3" s="106"/>
      <c r="P3" s="106"/>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6" t="s">
        <v>0</v>
      </c>
      <c r="B4" s="196">
        <v>44216.0</v>
      </c>
      <c r="C4" s="231" t="s">
        <v>318</v>
      </c>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c r="A5" s="109"/>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97" t="s">
        <v>323</v>
      </c>
      <c r="B6" s="111"/>
      <c r="C6" s="111"/>
      <c r="D6" s="111"/>
      <c r="E6" s="111"/>
      <c r="F6" s="111"/>
      <c r="G6" s="111"/>
      <c r="H6" s="111"/>
      <c r="I6" s="111"/>
      <c r="J6" s="111"/>
      <c r="K6" s="41"/>
      <c r="L6" s="112"/>
      <c r="M6" s="112"/>
      <c r="N6" s="112"/>
      <c r="O6" s="112"/>
      <c r="P6" s="112"/>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row>
    <row r="8">
      <c r="A8" s="221" t="s">
        <v>103</v>
      </c>
      <c r="B8" s="232" t="s">
        <v>272</v>
      </c>
      <c r="C8" s="232" t="s">
        <v>273</v>
      </c>
      <c r="D8" s="232" t="s">
        <v>274</v>
      </c>
      <c r="E8" s="232" t="s">
        <v>275</v>
      </c>
      <c r="F8" s="232" t="s">
        <v>276</v>
      </c>
      <c r="G8" s="232" t="s">
        <v>277</v>
      </c>
      <c r="H8" s="232" t="s">
        <v>278</v>
      </c>
      <c r="I8" s="232" t="s">
        <v>279</v>
      </c>
      <c r="J8" s="232" t="s">
        <v>280</v>
      </c>
      <c r="K8" s="232" t="s">
        <v>281</v>
      </c>
      <c r="L8" s="232" t="s">
        <v>282</v>
      </c>
      <c r="M8" s="232" t="s">
        <v>283</v>
      </c>
      <c r="N8" s="232" t="s">
        <v>284</v>
      </c>
      <c r="O8" s="232" t="s">
        <v>285</v>
      </c>
      <c r="P8" s="232" t="s">
        <v>286</v>
      </c>
      <c r="Q8" s="232" t="s">
        <v>287</v>
      </c>
      <c r="R8" s="232" t="s">
        <v>288</v>
      </c>
      <c r="S8" s="232" t="s">
        <v>289</v>
      </c>
      <c r="T8" s="232" t="s">
        <v>290</v>
      </c>
      <c r="U8" s="232" t="s">
        <v>291</v>
      </c>
      <c r="V8" s="232" t="s">
        <v>292</v>
      </c>
      <c r="W8" s="232" t="s">
        <v>293</v>
      </c>
      <c r="X8" s="232" t="s">
        <v>294</v>
      </c>
      <c r="Y8" s="232" t="s">
        <v>295</v>
      </c>
      <c r="Z8" s="232" t="s">
        <v>296</v>
      </c>
      <c r="AA8" s="232" t="s">
        <v>297</v>
      </c>
      <c r="AB8" s="232" t="s">
        <v>298</v>
      </c>
      <c r="AC8" s="232" t="s">
        <v>299</v>
      </c>
      <c r="AD8" s="232" t="s">
        <v>300</v>
      </c>
      <c r="AE8" s="232" t="s">
        <v>301</v>
      </c>
      <c r="AF8" s="232" t="s">
        <v>302</v>
      </c>
      <c r="AG8" s="232" t="s">
        <v>303</v>
      </c>
      <c r="AH8" s="232" t="s">
        <v>304</v>
      </c>
      <c r="AI8" s="232" t="s">
        <v>305</v>
      </c>
      <c r="AJ8" s="232" t="s">
        <v>306</v>
      </c>
      <c r="AK8" s="232" t="s">
        <v>307</v>
      </c>
      <c r="AL8" s="232" t="s">
        <v>308</v>
      </c>
      <c r="AM8" s="232" t="s">
        <v>309</v>
      </c>
      <c r="AN8" s="232" t="s">
        <v>310</v>
      </c>
      <c r="AO8" s="232" t="s">
        <v>266</v>
      </c>
    </row>
    <row r="9">
      <c r="A9" s="229"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9"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9"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9"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9"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9"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9"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9"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9" t="s">
        <v>114</v>
      </c>
      <c r="B17" s="233" t="s">
        <v>163</v>
      </c>
      <c r="C17" s="234">
        <v>0.045</v>
      </c>
      <c r="D17" s="234">
        <v>0.052</v>
      </c>
      <c r="E17" s="234">
        <v>0.225</v>
      </c>
      <c r="F17" s="233" t="s">
        <v>163</v>
      </c>
      <c r="G17" s="234">
        <v>0.044</v>
      </c>
      <c r="H17" s="234">
        <v>0.103</v>
      </c>
      <c r="I17" s="234">
        <v>0.047</v>
      </c>
      <c r="J17" s="234">
        <v>0.046</v>
      </c>
      <c r="K17" s="234">
        <v>0.058</v>
      </c>
      <c r="L17" s="233" t="s">
        <v>163</v>
      </c>
      <c r="M17" s="233" t="s">
        <v>163</v>
      </c>
      <c r="N17" s="233" t="s">
        <v>163</v>
      </c>
      <c r="O17" s="234">
        <v>0.0</v>
      </c>
      <c r="P17" s="234">
        <v>0.0</v>
      </c>
      <c r="Q17" s="234">
        <v>0.071</v>
      </c>
      <c r="R17" s="234">
        <v>0.073</v>
      </c>
      <c r="S17" s="234">
        <v>0.0</v>
      </c>
      <c r="T17" s="233" t="s">
        <v>163</v>
      </c>
      <c r="U17" s="233" t="s">
        <v>163</v>
      </c>
      <c r="V17" s="234">
        <v>0.0</v>
      </c>
      <c r="W17" s="234">
        <v>0.037</v>
      </c>
      <c r="X17" s="234">
        <v>0.021</v>
      </c>
      <c r="Y17" s="234">
        <v>0.1</v>
      </c>
      <c r="Z17" s="233" t="s">
        <v>163</v>
      </c>
      <c r="AA17" s="234">
        <v>0.155</v>
      </c>
      <c r="AB17" s="233" t="s">
        <v>163</v>
      </c>
      <c r="AC17" s="234">
        <v>0.21</v>
      </c>
      <c r="AD17" s="234">
        <v>0.116</v>
      </c>
      <c r="AE17" s="233" t="s">
        <v>163</v>
      </c>
      <c r="AF17" s="234">
        <v>0.077</v>
      </c>
      <c r="AG17" s="233" t="s">
        <v>163</v>
      </c>
      <c r="AH17" s="234">
        <v>0.049</v>
      </c>
      <c r="AI17" s="233" t="s">
        <v>163</v>
      </c>
      <c r="AJ17" s="234">
        <v>0.074</v>
      </c>
      <c r="AK17" s="233" t="s">
        <v>163</v>
      </c>
      <c r="AL17" s="234">
        <v>0.086</v>
      </c>
      <c r="AM17" s="234">
        <v>0.074</v>
      </c>
      <c r="AN17" s="234">
        <v>0.107</v>
      </c>
      <c r="AO17" s="234">
        <v>0.114</v>
      </c>
    </row>
    <row r="18">
      <c r="A18" s="229" t="s">
        <v>115</v>
      </c>
      <c r="B18" s="233" t="s">
        <v>163</v>
      </c>
      <c r="C18" s="234">
        <v>0.039</v>
      </c>
      <c r="D18" s="233" t="s">
        <v>163</v>
      </c>
      <c r="E18" s="234">
        <v>0.193</v>
      </c>
      <c r="F18" s="233" t="s">
        <v>163</v>
      </c>
      <c r="G18" s="234">
        <v>0.037</v>
      </c>
      <c r="H18" s="234">
        <v>0.071</v>
      </c>
      <c r="I18" s="234">
        <v>0.061</v>
      </c>
      <c r="J18" s="234">
        <v>0.032</v>
      </c>
      <c r="K18" s="234">
        <v>0.071</v>
      </c>
      <c r="L18" s="234">
        <v>0.15</v>
      </c>
      <c r="M18" s="233" t="s">
        <v>163</v>
      </c>
      <c r="N18" s="233" t="s">
        <v>163</v>
      </c>
      <c r="O18" s="233" t="s">
        <v>163</v>
      </c>
      <c r="P18" s="233" t="s">
        <v>163</v>
      </c>
      <c r="Q18" s="234">
        <v>0.077</v>
      </c>
      <c r="R18" s="234">
        <v>0.066</v>
      </c>
      <c r="S18" s="233" t="s">
        <v>163</v>
      </c>
      <c r="T18" s="233" t="s">
        <v>163</v>
      </c>
      <c r="U18" s="233" t="s">
        <v>163</v>
      </c>
      <c r="V18" s="234">
        <v>0.0</v>
      </c>
      <c r="W18" s="234">
        <v>0.036</v>
      </c>
      <c r="X18" s="234">
        <v>0.035</v>
      </c>
      <c r="Y18" s="234">
        <v>0.079</v>
      </c>
      <c r="Z18" s="233" t="s">
        <v>163</v>
      </c>
      <c r="AA18" s="234">
        <v>0.129</v>
      </c>
      <c r="AB18" s="233" t="s">
        <v>163</v>
      </c>
      <c r="AC18" s="234">
        <v>0.157</v>
      </c>
      <c r="AD18" s="233" t="s">
        <v>163</v>
      </c>
      <c r="AE18" s="233" t="s">
        <v>163</v>
      </c>
      <c r="AF18" s="234">
        <v>0.08</v>
      </c>
      <c r="AG18" s="233" t="s">
        <v>163</v>
      </c>
      <c r="AH18" s="234">
        <v>0.029</v>
      </c>
      <c r="AI18" s="233" t="s">
        <v>163</v>
      </c>
      <c r="AJ18" s="234">
        <v>0.049</v>
      </c>
      <c r="AK18" s="234">
        <v>0.0</v>
      </c>
      <c r="AL18" s="234">
        <v>0.085</v>
      </c>
      <c r="AM18" s="233" t="s">
        <v>163</v>
      </c>
      <c r="AN18" s="234">
        <v>0.115</v>
      </c>
      <c r="AO18" s="234">
        <v>0.089</v>
      </c>
    </row>
    <row r="19">
      <c r="A19" s="229" t="s">
        <v>116</v>
      </c>
      <c r="B19" s="234">
        <v>0.058</v>
      </c>
      <c r="C19" s="234">
        <v>0.028</v>
      </c>
      <c r="D19" s="233" t="s">
        <v>163</v>
      </c>
      <c r="E19" s="234">
        <v>0.151</v>
      </c>
      <c r="F19" s="234">
        <v>0.0</v>
      </c>
      <c r="G19" s="234">
        <v>0.027</v>
      </c>
      <c r="H19" s="234">
        <v>0.066</v>
      </c>
      <c r="I19" s="234">
        <v>0.029</v>
      </c>
      <c r="J19" s="234">
        <v>0.022</v>
      </c>
      <c r="K19" s="234">
        <v>0.048</v>
      </c>
      <c r="L19" s="233" t="s">
        <v>163</v>
      </c>
      <c r="M19" s="233" t="s">
        <v>163</v>
      </c>
      <c r="N19" s="234">
        <v>0.087</v>
      </c>
      <c r="O19" s="233" t="s">
        <v>163</v>
      </c>
      <c r="P19" s="234">
        <v>0.0</v>
      </c>
      <c r="Q19" s="234">
        <v>0.053</v>
      </c>
      <c r="R19" s="234">
        <v>0.042</v>
      </c>
      <c r="S19" s="234">
        <v>0.0</v>
      </c>
      <c r="T19" s="234">
        <v>0.0</v>
      </c>
      <c r="U19" s="233" t="s">
        <v>163</v>
      </c>
      <c r="V19" s="233" t="s">
        <v>163</v>
      </c>
      <c r="W19" s="233" t="s">
        <v>163</v>
      </c>
      <c r="X19" s="234">
        <v>0.016</v>
      </c>
      <c r="Y19" s="234">
        <v>0.074</v>
      </c>
      <c r="Z19" s="234">
        <v>0.031</v>
      </c>
      <c r="AA19" s="234">
        <v>0.085</v>
      </c>
      <c r="AB19" s="233" t="s">
        <v>163</v>
      </c>
      <c r="AC19" s="234">
        <v>0.131</v>
      </c>
      <c r="AD19" s="233" t="s">
        <v>163</v>
      </c>
      <c r="AE19" s="234">
        <v>0.036</v>
      </c>
      <c r="AF19" s="234">
        <v>0.069</v>
      </c>
      <c r="AG19" s="233" t="s">
        <v>163</v>
      </c>
      <c r="AH19" s="234">
        <v>0.051</v>
      </c>
      <c r="AI19" s="234">
        <v>0.083</v>
      </c>
      <c r="AJ19" s="234">
        <v>0.034</v>
      </c>
      <c r="AK19" s="233" t="s">
        <v>163</v>
      </c>
      <c r="AL19" s="234">
        <v>0.035</v>
      </c>
      <c r="AM19" s="234">
        <v>0.0</v>
      </c>
      <c r="AN19" s="234">
        <v>0.081</v>
      </c>
      <c r="AO19" s="234">
        <v>0.066</v>
      </c>
    </row>
    <row r="20">
      <c r="A20" s="229" t="s">
        <v>117</v>
      </c>
      <c r="B20" s="234">
        <v>0.045</v>
      </c>
      <c r="C20" s="234">
        <v>0.036</v>
      </c>
      <c r="D20" s="234">
        <v>0.04</v>
      </c>
      <c r="E20" s="234">
        <v>0.122</v>
      </c>
      <c r="F20" s="234">
        <v>0.0</v>
      </c>
      <c r="G20" s="234">
        <v>0.042</v>
      </c>
      <c r="H20" s="234">
        <v>0.057</v>
      </c>
      <c r="I20" s="234">
        <v>0.025</v>
      </c>
      <c r="J20" s="233" t="s">
        <v>163</v>
      </c>
      <c r="K20" s="234">
        <v>0.024</v>
      </c>
      <c r="L20" s="233" t="s">
        <v>163</v>
      </c>
      <c r="M20" s="233" t="s">
        <v>163</v>
      </c>
      <c r="N20" s="233" t="s">
        <v>163</v>
      </c>
      <c r="O20" s="233" t="s">
        <v>163</v>
      </c>
      <c r="P20" s="233" t="s">
        <v>163</v>
      </c>
      <c r="Q20" s="234">
        <v>0.045</v>
      </c>
      <c r="R20" s="234">
        <v>0.035</v>
      </c>
      <c r="S20" s="233" t="s">
        <v>163</v>
      </c>
      <c r="T20" s="233" t="s">
        <v>163</v>
      </c>
      <c r="U20" s="233" t="s">
        <v>163</v>
      </c>
      <c r="V20" s="234">
        <v>0.0</v>
      </c>
      <c r="W20" s="233" t="s">
        <v>163</v>
      </c>
      <c r="X20" s="234">
        <v>0.017</v>
      </c>
      <c r="Y20" s="234">
        <v>0.045</v>
      </c>
      <c r="Z20" s="234">
        <v>0.035</v>
      </c>
      <c r="AA20" s="234">
        <v>0.071</v>
      </c>
      <c r="AB20" s="234">
        <v>0.047</v>
      </c>
      <c r="AC20" s="234">
        <v>0.108</v>
      </c>
      <c r="AD20" s="233" t="s">
        <v>163</v>
      </c>
      <c r="AE20" s="233" t="s">
        <v>163</v>
      </c>
      <c r="AF20" s="234">
        <v>0.046</v>
      </c>
      <c r="AG20" s="233" t="s">
        <v>163</v>
      </c>
      <c r="AH20" s="234">
        <v>0.053</v>
      </c>
      <c r="AI20" s="234">
        <v>0.028</v>
      </c>
      <c r="AJ20" s="234">
        <v>0.037</v>
      </c>
      <c r="AK20" s="233" t="s">
        <v>163</v>
      </c>
      <c r="AL20" s="234">
        <v>0.034</v>
      </c>
      <c r="AM20" s="233" t="s">
        <v>163</v>
      </c>
      <c r="AN20" s="234">
        <v>0.061</v>
      </c>
      <c r="AO20" s="234">
        <v>0.057</v>
      </c>
    </row>
    <row r="21">
      <c r="A21" s="229" t="s">
        <v>118</v>
      </c>
      <c r="B21" s="233" t="s">
        <v>163</v>
      </c>
      <c r="C21" s="234">
        <v>0.023</v>
      </c>
      <c r="D21" s="233" t="s">
        <v>163</v>
      </c>
      <c r="E21" s="234">
        <v>0.088</v>
      </c>
      <c r="F21" s="233" t="s">
        <v>163</v>
      </c>
      <c r="G21" s="234">
        <v>0.022</v>
      </c>
      <c r="H21" s="234">
        <v>0.047</v>
      </c>
      <c r="I21" s="234">
        <v>0.019</v>
      </c>
      <c r="J21" s="234">
        <v>0.0</v>
      </c>
      <c r="K21" s="234">
        <v>0.034</v>
      </c>
      <c r="L21" s="234">
        <v>0.0</v>
      </c>
      <c r="M21" s="233" t="s">
        <v>163</v>
      </c>
      <c r="N21" s="233" t="s">
        <v>163</v>
      </c>
      <c r="O21" s="234">
        <v>0.0</v>
      </c>
      <c r="P21" s="233" t="s">
        <v>163</v>
      </c>
      <c r="Q21" s="234">
        <v>0.093</v>
      </c>
      <c r="R21" s="234">
        <v>0.042</v>
      </c>
      <c r="S21" s="234">
        <v>0.0</v>
      </c>
      <c r="T21" s="235">
        <v>0.025</v>
      </c>
      <c r="U21" s="233" t="s">
        <v>163</v>
      </c>
      <c r="V21" s="234">
        <v>0.0</v>
      </c>
      <c r="W21" s="234">
        <v>0.041</v>
      </c>
      <c r="X21" s="234">
        <v>0.019</v>
      </c>
      <c r="Y21" s="234">
        <v>0.038</v>
      </c>
      <c r="Z21" s="233" t="s">
        <v>163</v>
      </c>
      <c r="AA21" s="234">
        <v>0.066</v>
      </c>
      <c r="AB21" s="234">
        <v>0.041</v>
      </c>
      <c r="AC21" s="234">
        <v>0.117</v>
      </c>
      <c r="AD21" s="233" t="s">
        <v>163</v>
      </c>
      <c r="AE21" s="233" t="s">
        <v>163</v>
      </c>
      <c r="AF21" s="234">
        <v>0.0</v>
      </c>
      <c r="AG21" s="234">
        <v>0.0</v>
      </c>
      <c r="AH21" s="233" t="s">
        <v>163</v>
      </c>
      <c r="AI21" s="234">
        <v>0.0</v>
      </c>
      <c r="AJ21" s="234">
        <v>0.02</v>
      </c>
      <c r="AK21" s="233" t="s">
        <v>163</v>
      </c>
      <c r="AL21" s="234">
        <v>0.026</v>
      </c>
      <c r="AM21" s="233" t="s">
        <v>163</v>
      </c>
      <c r="AN21" s="234">
        <v>0.068</v>
      </c>
      <c r="AO21" s="234">
        <v>0.052</v>
      </c>
    </row>
    <row r="22">
      <c r="A22" s="229" t="s">
        <v>119</v>
      </c>
      <c r="B22" s="233" t="s">
        <v>163</v>
      </c>
      <c r="C22" s="233" t="s">
        <v>163</v>
      </c>
      <c r="D22" s="233" t="s">
        <v>163</v>
      </c>
      <c r="E22" s="234">
        <v>0.086</v>
      </c>
      <c r="F22" s="234">
        <v>0.0</v>
      </c>
      <c r="G22" s="233" t="s">
        <v>163</v>
      </c>
      <c r="H22" s="234">
        <v>0.031</v>
      </c>
      <c r="I22" s="234">
        <v>0.03</v>
      </c>
      <c r="J22" s="233" t="s">
        <v>163</v>
      </c>
      <c r="K22" s="234">
        <v>0.014</v>
      </c>
      <c r="L22" s="233" t="s">
        <v>163</v>
      </c>
      <c r="M22" s="234">
        <v>0.0</v>
      </c>
      <c r="N22" s="233" t="s">
        <v>163</v>
      </c>
      <c r="O22" s="234">
        <v>0.0</v>
      </c>
      <c r="P22" s="233" t="s">
        <v>163</v>
      </c>
      <c r="Q22" s="234">
        <v>0.028</v>
      </c>
      <c r="R22" s="233" t="s">
        <v>163</v>
      </c>
      <c r="S22" s="234">
        <v>0.0</v>
      </c>
      <c r="T22" s="233" t="s">
        <v>163</v>
      </c>
      <c r="U22" s="233" t="s">
        <v>163</v>
      </c>
      <c r="V22" s="234">
        <v>0.0</v>
      </c>
      <c r="W22" s="233" t="s">
        <v>163</v>
      </c>
      <c r="X22" s="233" t="s">
        <v>163</v>
      </c>
      <c r="Y22" s="234">
        <v>0.036</v>
      </c>
      <c r="Z22" s="233" t="s">
        <v>163</v>
      </c>
      <c r="AA22" s="234">
        <v>0.041</v>
      </c>
      <c r="AB22" s="234">
        <v>0.027</v>
      </c>
      <c r="AC22" s="234">
        <v>0.078</v>
      </c>
      <c r="AD22" s="234">
        <v>0.0</v>
      </c>
      <c r="AE22" s="233" t="s">
        <v>163</v>
      </c>
      <c r="AF22" s="233" t="s">
        <v>163</v>
      </c>
      <c r="AG22" s="234">
        <v>0.0</v>
      </c>
      <c r="AH22" s="233" t="s">
        <v>163</v>
      </c>
      <c r="AI22" s="233" t="s">
        <v>163</v>
      </c>
      <c r="AJ22" s="234">
        <v>0.017</v>
      </c>
      <c r="AK22" s="234">
        <v>0.0</v>
      </c>
      <c r="AL22" s="234">
        <v>0.02</v>
      </c>
      <c r="AM22" s="234">
        <v>0.0</v>
      </c>
      <c r="AN22" s="234">
        <v>0.043</v>
      </c>
      <c r="AO22" s="234">
        <v>0.033</v>
      </c>
    </row>
    <row r="23">
      <c r="A23" s="229" t="s">
        <v>120</v>
      </c>
      <c r="B23" s="233" t="s">
        <v>163</v>
      </c>
      <c r="C23" s="233" t="s">
        <v>163</v>
      </c>
      <c r="D23" s="233" t="s">
        <v>163</v>
      </c>
      <c r="E23" s="234">
        <v>0.084</v>
      </c>
      <c r="F23" s="233" t="s">
        <v>163</v>
      </c>
      <c r="G23" s="233" t="s">
        <v>163</v>
      </c>
      <c r="H23" s="234">
        <v>0.032</v>
      </c>
      <c r="I23" s="234">
        <v>0.02</v>
      </c>
      <c r="J23" s="233" t="s">
        <v>163</v>
      </c>
      <c r="K23" s="234">
        <v>0.019</v>
      </c>
      <c r="L23" s="233" t="s">
        <v>163</v>
      </c>
      <c r="M23" s="234">
        <v>0.0</v>
      </c>
      <c r="N23" s="233" t="s">
        <v>163</v>
      </c>
      <c r="O23" s="234">
        <v>0.0</v>
      </c>
      <c r="P23" s="234">
        <v>0.0</v>
      </c>
      <c r="Q23" s="234">
        <v>0.037</v>
      </c>
      <c r="R23" s="234">
        <v>0.015</v>
      </c>
      <c r="S23" s="234">
        <v>0.0</v>
      </c>
      <c r="T23" s="233" t="s">
        <v>163</v>
      </c>
      <c r="U23" s="234">
        <v>0.0</v>
      </c>
      <c r="V23" s="234">
        <v>0.0</v>
      </c>
      <c r="W23" s="233" t="s">
        <v>163</v>
      </c>
      <c r="X23" s="233" t="s">
        <v>163</v>
      </c>
      <c r="Y23" s="234">
        <v>0.018</v>
      </c>
      <c r="Z23" s="234">
        <v>0.043</v>
      </c>
      <c r="AA23" s="234">
        <v>0.037</v>
      </c>
      <c r="AB23" s="234">
        <v>0.0</v>
      </c>
      <c r="AC23" s="234">
        <v>0.053</v>
      </c>
      <c r="AD23" s="234">
        <v>0.0</v>
      </c>
      <c r="AE23" s="233" t="s">
        <v>163</v>
      </c>
      <c r="AF23" s="233" t="s">
        <v>163</v>
      </c>
      <c r="AG23" s="233" t="s">
        <v>163</v>
      </c>
      <c r="AH23" s="233" t="s">
        <v>163</v>
      </c>
      <c r="AI23" s="233" t="s">
        <v>163</v>
      </c>
      <c r="AJ23" s="234">
        <v>0.011</v>
      </c>
      <c r="AK23" s="234">
        <v>0.0</v>
      </c>
      <c r="AL23" s="233" t="s">
        <v>163</v>
      </c>
      <c r="AM23" s="234">
        <v>0.0</v>
      </c>
      <c r="AN23" s="234">
        <v>0.037</v>
      </c>
      <c r="AO23" s="234">
        <v>0.027</v>
      </c>
    </row>
    <row r="24">
      <c r="A24" s="229" t="s">
        <v>121</v>
      </c>
      <c r="B24" s="234">
        <v>0.0</v>
      </c>
      <c r="C24" s="233" t="s">
        <v>163</v>
      </c>
      <c r="D24" s="233" t="s">
        <v>163</v>
      </c>
      <c r="E24" s="234">
        <v>0.074</v>
      </c>
      <c r="F24" s="233" t="s">
        <v>163</v>
      </c>
      <c r="G24" s="234">
        <v>0.0</v>
      </c>
      <c r="H24" s="234">
        <v>0.019</v>
      </c>
      <c r="I24" s="233" t="s">
        <v>163</v>
      </c>
      <c r="J24" s="233" t="s">
        <v>163</v>
      </c>
      <c r="K24" s="234">
        <v>0.014</v>
      </c>
      <c r="L24" s="234">
        <v>0.0</v>
      </c>
      <c r="M24" s="234">
        <v>0.0</v>
      </c>
      <c r="N24" s="234">
        <v>0.0</v>
      </c>
      <c r="O24" s="234">
        <v>0.0</v>
      </c>
      <c r="P24" s="233" t="s">
        <v>163</v>
      </c>
      <c r="Q24" s="234">
        <v>0.015</v>
      </c>
      <c r="R24" s="234">
        <v>0.024</v>
      </c>
      <c r="S24" s="234">
        <v>0.0</v>
      </c>
      <c r="T24" s="233" t="s">
        <v>163</v>
      </c>
      <c r="U24" s="233" t="s">
        <v>163</v>
      </c>
      <c r="V24" s="234">
        <v>0.0</v>
      </c>
      <c r="W24" s="234">
        <v>0.016</v>
      </c>
      <c r="X24" s="233" t="s">
        <v>163</v>
      </c>
      <c r="Y24" s="233" t="s">
        <v>163</v>
      </c>
      <c r="Z24" s="233" t="s">
        <v>163</v>
      </c>
      <c r="AA24" s="234">
        <v>0.032</v>
      </c>
      <c r="AB24" s="234">
        <v>0.0</v>
      </c>
      <c r="AC24" s="234">
        <v>0.043</v>
      </c>
      <c r="AD24" s="233" t="s">
        <v>163</v>
      </c>
      <c r="AE24" s="233" t="s">
        <v>163</v>
      </c>
      <c r="AF24" s="233" t="s">
        <v>163</v>
      </c>
      <c r="AG24" s="234">
        <v>0.0</v>
      </c>
      <c r="AH24" s="234">
        <v>0.0</v>
      </c>
      <c r="AI24" s="233" t="s">
        <v>163</v>
      </c>
      <c r="AJ24" s="234">
        <v>0.013</v>
      </c>
      <c r="AK24" s="234">
        <v>0.0</v>
      </c>
      <c r="AL24" s="234">
        <v>0.027</v>
      </c>
      <c r="AM24" s="233" t="s">
        <v>163</v>
      </c>
      <c r="AN24" s="234">
        <v>0.036</v>
      </c>
      <c r="AO24" s="234">
        <v>0.021</v>
      </c>
    </row>
    <row r="25">
      <c r="A25" s="229" t="s">
        <v>122</v>
      </c>
      <c r="B25" s="233" t="s">
        <v>163</v>
      </c>
      <c r="C25" s="233" t="s">
        <v>163</v>
      </c>
      <c r="D25" s="233" t="s">
        <v>163</v>
      </c>
      <c r="E25" s="234">
        <v>0.044</v>
      </c>
      <c r="F25" s="233" t="s">
        <v>163</v>
      </c>
      <c r="G25" s="233" t="s">
        <v>163</v>
      </c>
      <c r="H25" s="234">
        <v>0.009</v>
      </c>
      <c r="I25" s="234">
        <v>0.02</v>
      </c>
      <c r="J25" s="233" t="s">
        <v>163</v>
      </c>
      <c r="K25" s="234">
        <v>0.01</v>
      </c>
      <c r="L25" s="234">
        <v>0.0</v>
      </c>
      <c r="M25" s="233" t="s">
        <v>163</v>
      </c>
      <c r="N25" s="233" t="s">
        <v>163</v>
      </c>
      <c r="O25" s="233" t="s">
        <v>163</v>
      </c>
      <c r="P25" s="234">
        <v>0.0</v>
      </c>
      <c r="Q25" s="234">
        <v>0.021</v>
      </c>
      <c r="R25" s="234">
        <v>0.019</v>
      </c>
      <c r="S25" s="234">
        <v>0.0</v>
      </c>
      <c r="T25" s="234">
        <v>0.025</v>
      </c>
      <c r="U25" s="234">
        <v>0.0</v>
      </c>
      <c r="V25" s="234">
        <v>0.0</v>
      </c>
      <c r="W25" s="234">
        <v>0.029</v>
      </c>
      <c r="X25" s="233" t="s">
        <v>163</v>
      </c>
      <c r="Y25" s="234">
        <v>0.022</v>
      </c>
      <c r="Z25" s="233" t="s">
        <v>163</v>
      </c>
      <c r="AA25" s="234">
        <v>0.038</v>
      </c>
      <c r="AB25" s="233" t="s">
        <v>163</v>
      </c>
      <c r="AC25" s="234">
        <v>0.039</v>
      </c>
      <c r="AD25" s="234">
        <v>0.0</v>
      </c>
      <c r="AE25" s="233" t="s">
        <v>163</v>
      </c>
      <c r="AF25" s="233" t="s">
        <v>163</v>
      </c>
      <c r="AG25" s="233" t="s">
        <v>163</v>
      </c>
      <c r="AH25" s="233" t="s">
        <v>163</v>
      </c>
      <c r="AI25" s="233" t="s">
        <v>163</v>
      </c>
      <c r="AJ25" s="234">
        <v>0.009</v>
      </c>
      <c r="AK25" s="233" t="s">
        <v>163</v>
      </c>
      <c r="AL25" s="234">
        <v>0.024</v>
      </c>
      <c r="AM25" s="233" t="s">
        <v>163</v>
      </c>
      <c r="AN25" s="234">
        <v>0.026</v>
      </c>
      <c r="AO25" s="234">
        <v>0.02</v>
      </c>
    </row>
    <row r="26">
      <c r="A26" s="229" t="s">
        <v>123</v>
      </c>
      <c r="B26" s="233" t="s">
        <v>163</v>
      </c>
      <c r="C26" s="233" t="s">
        <v>163</v>
      </c>
      <c r="D26" s="233" t="s">
        <v>163</v>
      </c>
      <c r="E26" s="234">
        <v>0.024</v>
      </c>
      <c r="F26" s="233" t="s">
        <v>163</v>
      </c>
      <c r="G26" s="234">
        <v>0.021</v>
      </c>
      <c r="H26" s="234">
        <v>0.037</v>
      </c>
      <c r="I26" s="233" t="s">
        <v>163</v>
      </c>
      <c r="J26" s="233" t="s">
        <v>163</v>
      </c>
      <c r="K26" s="234">
        <v>0.01</v>
      </c>
      <c r="L26" s="234">
        <v>0.0</v>
      </c>
      <c r="M26" s="233" t="s">
        <v>163</v>
      </c>
      <c r="N26" s="233" t="s">
        <v>163</v>
      </c>
      <c r="O26" s="233" t="s">
        <v>163</v>
      </c>
      <c r="P26" s="233" t="s">
        <v>163</v>
      </c>
      <c r="Q26" s="234">
        <v>0.029</v>
      </c>
      <c r="R26" s="233" t="s">
        <v>163</v>
      </c>
      <c r="S26" s="233" t="s">
        <v>163</v>
      </c>
      <c r="T26" s="234">
        <v>0.019</v>
      </c>
      <c r="U26" s="234">
        <v>0.0</v>
      </c>
      <c r="V26" s="234">
        <v>0.0</v>
      </c>
      <c r="W26" s="234">
        <v>0.019</v>
      </c>
      <c r="X26" s="233" t="s">
        <v>163</v>
      </c>
      <c r="Y26" s="234">
        <v>0.026</v>
      </c>
      <c r="Z26" s="233" t="s">
        <v>163</v>
      </c>
      <c r="AA26" s="234">
        <v>0.015</v>
      </c>
      <c r="AB26" s="233" t="s">
        <v>163</v>
      </c>
      <c r="AC26" s="234">
        <v>0.034</v>
      </c>
      <c r="AD26" s="234">
        <v>0.0</v>
      </c>
      <c r="AE26" s="233" t="s">
        <v>163</v>
      </c>
      <c r="AF26" s="234">
        <v>0.028</v>
      </c>
      <c r="AG26" s="233" t="s">
        <v>163</v>
      </c>
      <c r="AH26" s="233" t="s">
        <v>163</v>
      </c>
      <c r="AI26" s="233" t="s">
        <v>163</v>
      </c>
      <c r="AJ26" s="234">
        <v>0.01</v>
      </c>
      <c r="AK26" s="234">
        <v>0.0</v>
      </c>
      <c r="AL26" s="234">
        <v>0.02</v>
      </c>
      <c r="AM26" s="234">
        <v>0.018</v>
      </c>
      <c r="AN26" s="234">
        <v>0.014</v>
      </c>
      <c r="AO26" s="234">
        <v>0.019</v>
      </c>
    </row>
    <row r="27">
      <c r="A27" s="229" t="s">
        <v>124</v>
      </c>
      <c r="B27" s="233" t="s">
        <v>163</v>
      </c>
      <c r="C27" s="234">
        <v>0.017</v>
      </c>
      <c r="D27" s="233" t="s">
        <v>163</v>
      </c>
      <c r="E27" s="234">
        <v>0.05</v>
      </c>
      <c r="F27" s="233" t="s">
        <v>163</v>
      </c>
      <c r="G27" s="234">
        <v>0.015</v>
      </c>
      <c r="H27" s="234">
        <v>0.019</v>
      </c>
      <c r="I27" s="233" t="s">
        <v>163</v>
      </c>
      <c r="J27" s="234">
        <v>0.015</v>
      </c>
      <c r="K27" s="234">
        <v>0.008</v>
      </c>
      <c r="L27" s="234">
        <v>0.0</v>
      </c>
      <c r="M27" s="234">
        <v>0.0</v>
      </c>
      <c r="N27" s="233" t="s">
        <v>163</v>
      </c>
      <c r="O27" s="233" t="s">
        <v>163</v>
      </c>
      <c r="P27" s="233" t="s">
        <v>163</v>
      </c>
      <c r="Q27" s="234">
        <v>0.014</v>
      </c>
      <c r="R27" s="234">
        <v>0.019</v>
      </c>
      <c r="S27" s="234">
        <v>0.0</v>
      </c>
      <c r="T27" s="234">
        <v>0.021</v>
      </c>
      <c r="U27" s="233" t="s">
        <v>163</v>
      </c>
      <c r="V27" s="233" t="s">
        <v>163</v>
      </c>
      <c r="W27" s="234">
        <v>0.017</v>
      </c>
      <c r="X27" s="234">
        <v>0.0</v>
      </c>
      <c r="Y27" s="234">
        <v>0.028</v>
      </c>
      <c r="Z27" s="234">
        <v>0.034</v>
      </c>
      <c r="AA27" s="234">
        <v>0.024</v>
      </c>
      <c r="AB27" s="233" t="s">
        <v>163</v>
      </c>
      <c r="AC27" s="234">
        <v>0.03</v>
      </c>
      <c r="AD27" s="234">
        <v>0.0</v>
      </c>
      <c r="AE27" s="233" t="s">
        <v>163</v>
      </c>
      <c r="AF27" s="234">
        <v>0.016</v>
      </c>
      <c r="AG27" s="233" t="s">
        <v>163</v>
      </c>
      <c r="AH27" s="233" t="s">
        <v>163</v>
      </c>
      <c r="AI27" s="233" t="s">
        <v>163</v>
      </c>
      <c r="AJ27" s="234">
        <v>0.014</v>
      </c>
      <c r="AK27" s="233" t="s">
        <v>163</v>
      </c>
      <c r="AL27" s="234">
        <v>0.026</v>
      </c>
      <c r="AM27" s="233" t="s">
        <v>163</v>
      </c>
      <c r="AN27" s="234">
        <v>0.021</v>
      </c>
      <c r="AO27" s="234">
        <v>0.018</v>
      </c>
    </row>
    <row r="28">
      <c r="A28" s="229" t="s">
        <v>125</v>
      </c>
      <c r="B28" s="233" t="s">
        <v>163</v>
      </c>
      <c r="C28" s="234">
        <v>0.023</v>
      </c>
      <c r="D28" s="233" t="s">
        <v>163</v>
      </c>
      <c r="E28" s="234">
        <v>0.062</v>
      </c>
      <c r="F28" s="233" t="s">
        <v>163</v>
      </c>
      <c r="G28" s="233" t="s">
        <v>163</v>
      </c>
      <c r="H28" s="234">
        <v>0.029</v>
      </c>
      <c r="I28" s="234">
        <v>0.023</v>
      </c>
      <c r="J28" s="233" t="s">
        <v>163</v>
      </c>
      <c r="K28" s="234">
        <v>0.02</v>
      </c>
      <c r="L28" s="234">
        <v>0.0</v>
      </c>
      <c r="M28" s="233" t="s">
        <v>163</v>
      </c>
      <c r="N28" s="234">
        <v>0.0</v>
      </c>
      <c r="O28" s="234">
        <v>0.0</v>
      </c>
      <c r="P28" s="234">
        <v>0.0</v>
      </c>
      <c r="Q28" s="234">
        <v>0.028</v>
      </c>
      <c r="R28" s="234">
        <v>0.017</v>
      </c>
      <c r="S28" s="233" t="s">
        <v>163</v>
      </c>
      <c r="T28" s="233" t="s">
        <v>163</v>
      </c>
      <c r="U28" s="233" t="s">
        <v>163</v>
      </c>
      <c r="V28" s="234">
        <v>0.0</v>
      </c>
      <c r="W28" s="233" t="s">
        <v>163</v>
      </c>
      <c r="X28" s="233" t="s">
        <v>163</v>
      </c>
      <c r="Y28" s="234">
        <v>0.026</v>
      </c>
      <c r="Z28" s="233" t="s">
        <v>163</v>
      </c>
      <c r="AA28" s="234">
        <v>0.046</v>
      </c>
      <c r="AB28" s="233" t="s">
        <v>163</v>
      </c>
      <c r="AC28" s="234">
        <v>0.038</v>
      </c>
      <c r="AD28" s="234">
        <v>0.0</v>
      </c>
      <c r="AE28" s="233" t="s">
        <v>163</v>
      </c>
      <c r="AF28" s="234">
        <v>0.05</v>
      </c>
      <c r="AG28" s="233" t="s">
        <v>163</v>
      </c>
      <c r="AH28" s="233" t="s">
        <v>163</v>
      </c>
      <c r="AI28" s="233" t="s">
        <v>163</v>
      </c>
      <c r="AJ28" s="234">
        <v>0.017</v>
      </c>
      <c r="AK28" s="234">
        <v>0.0</v>
      </c>
      <c r="AL28" s="234">
        <v>0.019</v>
      </c>
      <c r="AM28" s="233" t="s">
        <v>163</v>
      </c>
      <c r="AN28" s="234">
        <v>0.029</v>
      </c>
      <c r="AO28" s="234">
        <v>0.024</v>
      </c>
    </row>
    <row r="29">
      <c r="A29" s="236" t="s">
        <v>126</v>
      </c>
      <c r="B29" s="234">
        <v>0.0</v>
      </c>
      <c r="C29" s="234">
        <v>0.017</v>
      </c>
      <c r="D29" s="233" t="s">
        <v>163</v>
      </c>
      <c r="E29" s="234">
        <v>0.077</v>
      </c>
      <c r="F29" s="233" t="s">
        <v>163</v>
      </c>
      <c r="G29" s="234">
        <v>0.013</v>
      </c>
      <c r="H29" s="234">
        <v>0.029</v>
      </c>
      <c r="I29" s="234">
        <v>0.02</v>
      </c>
      <c r="J29" s="234">
        <v>0.009</v>
      </c>
      <c r="K29" s="234">
        <v>0.019</v>
      </c>
      <c r="L29" s="233" t="s">
        <v>163</v>
      </c>
      <c r="M29" s="234">
        <v>0.0</v>
      </c>
      <c r="N29" s="233" t="s">
        <v>163</v>
      </c>
      <c r="O29" s="233" t="s">
        <v>163</v>
      </c>
      <c r="P29" s="233" t="s">
        <v>163</v>
      </c>
      <c r="Q29" s="234">
        <v>0.036</v>
      </c>
      <c r="R29" s="234">
        <v>0.015</v>
      </c>
      <c r="S29" s="234">
        <v>0.0</v>
      </c>
      <c r="T29" s="233" t="s">
        <v>163</v>
      </c>
      <c r="U29" s="233" t="s">
        <v>163</v>
      </c>
      <c r="V29" s="233" t="s">
        <v>163</v>
      </c>
      <c r="W29" s="234">
        <v>0.011</v>
      </c>
      <c r="X29" s="234">
        <v>0.008</v>
      </c>
      <c r="Y29" s="234">
        <v>0.051</v>
      </c>
      <c r="Z29" s="235">
        <v>0.046</v>
      </c>
      <c r="AA29" s="234">
        <v>0.058</v>
      </c>
      <c r="AB29" s="233" t="s">
        <v>163</v>
      </c>
      <c r="AC29" s="234">
        <v>0.044</v>
      </c>
      <c r="AD29" s="234">
        <v>0.0</v>
      </c>
      <c r="AE29" s="233" t="s">
        <v>163</v>
      </c>
      <c r="AF29" s="234">
        <v>0.034</v>
      </c>
      <c r="AG29" s="233" t="s">
        <v>163</v>
      </c>
      <c r="AH29" s="233" t="s">
        <v>163</v>
      </c>
      <c r="AI29" s="234">
        <v>0.038</v>
      </c>
      <c r="AJ29" s="234">
        <v>0.023</v>
      </c>
      <c r="AK29" s="233" t="s">
        <v>163</v>
      </c>
      <c r="AL29" s="234">
        <v>0.017</v>
      </c>
      <c r="AM29" s="233" t="s">
        <v>163</v>
      </c>
      <c r="AN29" s="234">
        <v>0.023</v>
      </c>
      <c r="AO29" s="234">
        <v>0.027</v>
      </c>
    </row>
    <row r="30">
      <c r="A30" s="229" t="s">
        <v>127</v>
      </c>
      <c r="B30" s="233" t="s">
        <v>163</v>
      </c>
      <c r="C30" s="234">
        <v>0.012</v>
      </c>
      <c r="D30" s="234">
        <v>0.035</v>
      </c>
      <c r="E30" s="234">
        <v>0.075</v>
      </c>
      <c r="F30" s="233" t="s">
        <v>163</v>
      </c>
      <c r="G30" s="234">
        <v>0.008</v>
      </c>
      <c r="H30" s="234">
        <v>0.052</v>
      </c>
      <c r="I30" s="234">
        <v>0.017</v>
      </c>
      <c r="J30" s="234">
        <v>0.019</v>
      </c>
      <c r="K30" s="234">
        <v>0.013</v>
      </c>
      <c r="L30" s="233" t="s">
        <v>163</v>
      </c>
      <c r="M30" s="233" t="s">
        <v>163</v>
      </c>
      <c r="N30" s="233" t="s">
        <v>163</v>
      </c>
      <c r="O30" s="233" t="s">
        <v>163</v>
      </c>
      <c r="P30" s="233" t="s">
        <v>163</v>
      </c>
      <c r="Q30" s="234">
        <v>0.026</v>
      </c>
      <c r="R30" s="234">
        <v>0.038</v>
      </c>
      <c r="S30" s="234">
        <v>0.0</v>
      </c>
      <c r="T30" s="234">
        <v>0.018</v>
      </c>
      <c r="U30" s="234">
        <v>0.0</v>
      </c>
      <c r="V30" s="233" t="s">
        <v>163</v>
      </c>
      <c r="W30" s="234">
        <v>0.013</v>
      </c>
      <c r="X30" s="234">
        <v>0.011</v>
      </c>
      <c r="Y30" s="234">
        <v>0.054</v>
      </c>
      <c r="Z30" s="233" t="s">
        <v>163</v>
      </c>
      <c r="AA30" s="234">
        <v>0.058</v>
      </c>
      <c r="AB30" s="234">
        <v>0.0</v>
      </c>
      <c r="AC30" s="234">
        <v>0.049</v>
      </c>
      <c r="AD30" s="233" t="s">
        <v>163</v>
      </c>
      <c r="AE30" s="233" t="s">
        <v>163</v>
      </c>
      <c r="AF30" s="233" t="s">
        <v>163</v>
      </c>
      <c r="AG30" s="233" t="s">
        <v>163</v>
      </c>
      <c r="AH30" s="233" t="s">
        <v>163</v>
      </c>
      <c r="AI30" s="233" t="s">
        <v>163</v>
      </c>
      <c r="AJ30" s="234">
        <v>0.021</v>
      </c>
      <c r="AK30" s="233" t="s">
        <v>163</v>
      </c>
      <c r="AL30" s="234">
        <v>0.034</v>
      </c>
      <c r="AM30" s="233" t="s">
        <v>163</v>
      </c>
      <c r="AN30" s="234">
        <v>0.023</v>
      </c>
      <c r="AO30" s="234">
        <v>0.029</v>
      </c>
    </row>
    <row r="31">
      <c r="A31" s="237" t="s">
        <v>128</v>
      </c>
      <c r="B31" s="233" t="s">
        <v>163</v>
      </c>
      <c r="C31" s="234">
        <v>0.005</v>
      </c>
      <c r="D31" s="233" t="s">
        <v>163</v>
      </c>
      <c r="E31" s="234">
        <v>0.073</v>
      </c>
      <c r="F31" s="234">
        <v>0.0</v>
      </c>
      <c r="G31" s="234">
        <v>0.011</v>
      </c>
      <c r="H31" s="234">
        <v>0.057</v>
      </c>
      <c r="I31" s="234">
        <v>0.018</v>
      </c>
      <c r="J31" s="233" t="s">
        <v>163</v>
      </c>
      <c r="K31" s="234">
        <v>0.017</v>
      </c>
      <c r="L31" s="233" t="s">
        <v>163</v>
      </c>
      <c r="M31" s="233" t="s">
        <v>163</v>
      </c>
      <c r="N31" s="233" t="s">
        <v>163</v>
      </c>
      <c r="O31" s="233" t="s">
        <v>163</v>
      </c>
      <c r="P31" s="234">
        <v>0.0</v>
      </c>
      <c r="Q31" s="234">
        <v>0.033</v>
      </c>
      <c r="R31" s="234">
        <v>0.036</v>
      </c>
      <c r="S31" s="234">
        <v>0.0</v>
      </c>
      <c r="T31" s="233" t="s">
        <v>163</v>
      </c>
      <c r="U31" s="233" t="s">
        <v>163</v>
      </c>
      <c r="V31" s="233" t="s">
        <v>163</v>
      </c>
      <c r="W31" s="234">
        <v>0.008</v>
      </c>
      <c r="X31" s="234">
        <v>0.015</v>
      </c>
      <c r="Y31" s="234">
        <v>0.042</v>
      </c>
      <c r="Z31" s="233" t="s">
        <v>163</v>
      </c>
      <c r="AA31" s="234">
        <v>0.052</v>
      </c>
      <c r="AB31" s="233" t="s">
        <v>163</v>
      </c>
      <c r="AC31" s="234">
        <v>0.051</v>
      </c>
      <c r="AD31" s="233" t="s">
        <v>163</v>
      </c>
      <c r="AE31" s="234">
        <v>0.024</v>
      </c>
      <c r="AF31" s="234">
        <v>0.026</v>
      </c>
      <c r="AG31" s="233" t="s">
        <v>163</v>
      </c>
      <c r="AH31" s="234">
        <v>0.0</v>
      </c>
      <c r="AI31" s="234">
        <v>0.0</v>
      </c>
      <c r="AJ31" s="234">
        <v>0.021</v>
      </c>
      <c r="AK31" s="234">
        <v>0.0</v>
      </c>
      <c r="AL31" s="234">
        <v>0.021</v>
      </c>
      <c r="AM31" s="234">
        <v>0.013</v>
      </c>
      <c r="AN31" s="234">
        <v>0.027</v>
      </c>
      <c r="AO31" s="234">
        <v>0.026</v>
      </c>
    </row>
    <row r="32">
      <c r="A32" s="237" t="s">
        <v>129</v>
      </c>
      <c r="B32" s="233" t="s">
        <v>163</v>
      </c>
      <c r="C32" s="234">
        <v>0.007</v>
      </c>
      <c r="D32" s="233" t="s">
        <v>163</v>
      </c>
      <c r="E32" s="234">
        <v>0.067</v>
      </c>
      <c r="F32" s="233" t="s">
        <v>163</v>
      </c>
      <c r="G32" s="234">
        <v>0.011</v>
      </c>
      <c r="H32" s="234">
        <v>0.024</v>
      </c>
      <c r="I32" s="234">
        <v>0.02</v>
      </c>
      <c r="J32" s="234">
        <v>0.011</v>
      </c>
      <c r="K32" s="234">
        <v>0.013</v>
      </c>
      <c r="L32" s="233" t="s">
        <v>163</v>
      </c>
      <c r="M32" s="233" t="s">
        <v>163</v>
      </c>
      <c r="N32" s="233" t="s">
        <v>163</v>
      </c>
      <c r="O32" s="234">
        <v>0.0</v>
      </c>
      <c r="P32" s="233" t="s">
        <v>163</v>
      </c>
      <c r="Q32" s="234">
        <v>0.023</v>
      </c>
      <c r="R32" s="234">
        <v>0.012</v>
      </c>
      <c r="S32" s="234">
        <v>0.0</v>
      </c>
      <c r="T32" s="234">
        <v>0.0</v>
      </c>
      <c r="U32" s="234">
        <v>0.07</v>
      </c>
      <c r="V32" s="233" t="s">
        <v>163</v>
      </c>
      <c r="W32" s="235">
        <v>0.009</v>
      </c>
      <c r="X32" s="234">
        <v>0.023</v>
      </c>
      <c r="Y32" s="234">
        <v>0.03</v>
      </c>
      <c r="Z32" s="234">
        <v>0.0</v>
      </c>
      <c r="AA32" s="234">
        <v>0.034</v>
      </c>
      <c r="AB32" s="233" t="s">
        <v>163</v>
      </c>
      <c r="AC32" s="234">
        <v>0.054</v>
      </c>
      <c r="AD32" s="233" t="s">
        <v>163</v>
      </c>
      <c r="AE32" s="233" t="s">
        <v>163</v>
      </c>
      <c r="AF32" s="234">
        <v>0.034</v>
      </c>
      <c r="AG32" s="234">
        <v>0.033</v>
      </c>
      <c r="AH32" s="233" t="s">
        <v>163</v>
      </c>
      <c r="AI32" s="234">
        <v>0.0</v>
      </c>
      <c r="AJ32" s="234">
        <v>0.014</v>
      </c>
      <c r="AK32" s="233" t="s">
        <v>163</v>
      </c>
      <c r="AL32" s="234">
        <v>0.029</v>
      </c>
      <c r="AM32" s="234">
        <v>0.0</v>
      </c>
      <c r="AN32" s="234">
        <v>0.023</v>
      </c>
      <c r="AO32" s="234">
        <v>0.024</v>
      </c>
    </row>
    <row r="33">
      <c r="A33" s="237" t="s">
        <v>130</v>
      </c>
      <c r="B33" s="234">
        <v>0.0</v>
      </c>
      <c r="C33" s="234">
        <v>0.004</v>
      </c>
      <c r="D33" s="233" t="s">
        <v>163</v>
      </c>
      <c r="E33" s="234">
        <v>0.087</v>
      </c>
      <c r="F33" s="234">
        <v>0.0</v>
      </c>
      <c r="G33" s="234">
        <v>0.016</v>
      </c>
      <c r="H33" s="234">
        <v>0.034</v>
      </c>
      <c r="I33" s="234">
        <v>0.026</v>
      </c>
      <c r="J33" s="234">
        <v>0.017</v>
      </c>
      <c r="K33" s="234">
        <v>0.013</v>
      </c>
      <c r="L33" s="233" t="s">
        <v>163</v>
      </c>
      <c r="M33" s="233" t="s">
        <v>163</v>
      </c>
      <c r="N33" s="233" t="s">
        <v>163</v>
      </c>
      <c r="O33" s="233" t="s">
        <v>163</v>
      </c>
      <c r="P33" s="233" t="s">
        <v>163</v>
      </c>
      <c r="Q33" s="234">
        <v>0.047</v>
      </c>
      <c r="R33" s="234">
        <v>0.021</v>
      </c>
      <c r="S33" s="234">
        <v>0.0</v>
      </c>
      <c r="T33" s="234">
        <v>0.018</v>
      </c>
      <c r="U33" s="234">
        <v>0.028</v>
      </c>
      <c r="V33" s="234">
        <v>0.0</v>
      </c>
      <c r="W33" s="233" t="s">
        <v>163</v>
      </c>
      <c r="X33" s="234">
        <v>0.03</v>
      </c>
      <c r="Y33" s="234">
        <v>0.034</v>
      </c>
      <c r="Z33" s="233" t="s">
        <v>163</v>
      </c>
      <c r="AA33" s="234">
        <v>0.035</v>
      </c>
      <c r="AB33" s="233" t="s">
        <v>163</v>
      </c>
      <c r="AC33" s="234">
        <v>0.044</v>
      </c>
      <c r="AD33" s="234">
        <v>0.0</v>
      </c>
      <c r="AE33" s="233" t="s">
        <v>163</v>
      </c>
      <c r="AF33" s="234">
        <v>0.005</v>
      </c>
      <c r="AG33" s="234">
        <v>0.014</v>
      </c>
      <c r="AH33" s="234">
        <v>0.028</v>
      </c>
      <c r="AI33" s="233" t="s">
        <v>163</v>
      </c>
      <c r="AJ33" s="234">
        <v>0.024</v>
      </c>
      <c r="AK33" s="233" t="s">
        <v>163</v>
      </c>
      <c r="AL33" s="233" t="s">
        <v>163</v>
      </c>
      <c r="AM33" s="233" t="s">
        <v>163</v>
      </c>
      <c r="AN33" s="234">
        <v>0.02</v>
      </c>
      <c r="AO33" s="234">
        <v>0.021</v>
      </c>
    </row>
    <row r="34">
      <c r="A34" s="237" t="s">
        <v>131</v>
      </c>
      <c r="B34" s="233" t="s">
        <v>163</v>
      </c>
      <c r="C34" s="234">
        <v>0.001</v>
      </c>
      <c r="D34" s="233" t="s">
        <v>163</v>
      </c>
      <c r="E34" s="234">
        <v>0.049</v>
      </c>
      <c r="F34" s="233" t="s">
        <v>163</v>
      </c>
      <c r="G34" s="234">
        <v>0.013</v>
      </c>
      <c r="H34" s="234">
        <v>0.025</v>
      </c>
      <c r="I34" s="234">
        <v>0.014</v>
      </c>
      <c r="J34" s="234">
        <v>0.014</v>
      </c>
      <c r="K34" s="234">
        <v>0.005</v>
      </c>
      <c r="L34" s="234">
        <v>0.0</v>
      </c>
      <c r="M34" s="233" t="s">
        <v>163</v>
      </c>
      <c r="N34" s="233" t="s">
        <v>163</v>
      </c>
      <c r="O34" s="233" t="s">
        <v>163</v>
      </c>
      <c r="P34" s="234">
        <v>0.0</v>
      </c>
      <c r="Q34" s="234">
        <v>0.027</v>
      </c>
      <c r="R34" s="234">
        <v>0.017</v>
      </c>
      <c r="S34" s="234">
        <v>0.0</v>
      </c>
      <c r="T34" s="233" t="s">
        <v>163</v>
      </c>
      <c r="U34" s="234">
        <v>0.021</v>
      </c>
      <c r="V34" s="234">
        <v>0.0</v>
      </c>
      <c r="W34" s="234">
        <v>0.006</v>
      </c>
      <c r="X34" s="234">
        <v>0.011</v>
      </c>
      <c r="Y34" s="234">
        <v>0.026</v>
      </c>
      <c r="Z34" s="233" t="s">
        <v>163</v>
      </c>
      <c r="AA34" s="234">
        <v>0.025</v>
      </c>
      <c r="AB34" s="234">
        <v>0.02</v>
      </c>
      <c r="AC34" s="234">
        <v>0.028</v>
      </c>
      <c r="AD34" s="233" t="s">
        <v>163</v>
      </c>
      <c r="AE34" s="233" t="s">
        <v>163</v>
      </c>
      <c r="AF34" s="234">
        <v>0.002</v>
      </c>
      <c r="AG34" s="233" t="s">
        <v>163</v>
      </c>
      <c r="AH34" s="234">
        <v>0.023</v>
      </c>
      <c r="AI34" s="233" t="s">
        <v>163</v>
      </c>
      <c r="AJ34" s="234">
        <v>0.01</v>
      </c>
      <c r="AK34" s="233" t="s">
        <v>163</v>
      </c>
      <c r="AL34" s="234">
        <v>0.011</v>
      </c>
      <c r="AM34" s="233" t="s">
        <v>163</v>
      </c>
      <c r="AN34" s="234">
        <v>0.021</v>
      </c>
      <c r="AO34" s="234">
        <v>0.013</v>
      </c>
    </row>
    <row r="35">
      <c r="A35" s="237" t="s">
        <v>132</v>
      </c>
      <c r="B35" s="233" t="s">
        <v>163</v>
      </c>
      <c r="C35" s="233" t="s">
        <v>163</v>
      </c>
      <c r="D35" s="233" t="s">
        <v>163</v>
      </c>
      <c r="E35" s="233" t="s">
        <v>163</v>
      </c>
      <c r="F35" s="234">
        <v>0.0</v>
      </c>
      <c r="G35" s="233" t="s">
        <v>163</v>
      </c>
      <c r="H35" s="234">
        <v>0.022</v>
      </c>
      <c r="I35" s="234">
        <v>0.016</v>
      </c>
      <c r="J35" s="234">
        <v>0.0</v>
      </c>
      <c r="K35" s="234">
        <v>0.009</v>
      </c>
      <c r="L35" s="234">
        <v>0.0</v>
      </c>
      <c r="M35" s="233" t="s">
        <v>163</v>
      </c>
      <c r="N35" s="233" t="s">
        <v>163</v>
      </c>
      <c r="O35" s="234">
        <v>0.0</v>
      </c>
      <c r="P35" s="233" t="s">
        <v>163</v>
      </c>
      <c r="Q35" s="234">
        <v>0.023</v>
      </c>
      <c r="R35" s="234">
        <v>0.011</v>
      </c>
      <c r="S35" s="234">
        <v>0.0</v>
      </c>
      <c r="T35" s="233" t="s">
        <v>163</v>
      </c>
      <c r="U35" s="233" t="s">
        <v>163</v>
      </c>
      <c r="V35" s="234">
        <v>0.0</v>
      </c>
      <c r="W35" s="234">
        <v>0.005</v>
      </c>
      <c r="X35" s="234">
        <v>0.009</v>
      </c>
      <c r="Y35" s="234">
        <v>0.041</v>
      </c>
      <c r="Z35" s="233" t="s">
        <v>163</v>
      </c>
      <c r="AA35" s="234">
        <v>0.02</v>
      </c>
      <c r="AB35" s="233" t="s">
        <v>163</v>
      </c>
      <c r="AC35" s="234">
        <v>0.015</v>
      </c>
      <c r="AD35" s="234">
        <v>0.0</v>
      </c>
      <c r="AE35" s="233" t="s">
        <v>163</v>
      </c>
      <c r="AF35" s="234">
        <v>0.002</v>
      </c>
      <c r="AG35" s="234">
        <v>0.0</v>
      </c>
      <c r="AH35" s="234">
        <v>0.023</v>
      </c>
      <c r="AI35" s="233" t="s">
        <v>163</v>
      </c>
      <c r="AJ35" s="234">
        <v>0.017</v>
      </c>
      <c r="AK35" s="234">
        <v>0.0</v>
      </c>
      <c r="AL35" s="233" t="s">
        <v>163</v>
      </c>
      <c r="AM35" s="233" t="s">
        <v>163</v>
      </c>
      <c r="AN35" s="234">
        <v>0.011</v>
      </c>
      <c r="AO35" s="234">
        <v>0.01</v>
      </c>
    </row>
    <row r="36">
      <c r="A36" s="237" t="s">
        <v>133</v>
      </c>
      <c r="B36" s="234">
        <v>0.01</v>
      </c>
      <c r="C36" s="234">
        <v>0.001</v>
      </c>
      <c r="D36" s="234">
        <v>0.027</v>
      </c>
      <c r="E36" s="234">
        <v>0.049</v>
      </c>
      <c r="F36" s="233" t="s">
        <v>163</v>
      </c>
      <c r="G36" s="233" t="s">
        <v>163</v>
      </c>
      <c r="H36" s="234">
        <v>0.02</v>
      </c>
      <c r="I36" s="234">
        <v>0.041</v>
      </c>
      <c r="J36" s="233" t="s">
        <v>163</v>
      </c>
      <c r="K36" s="234">
        <v>0.015</v>
      </c>
      <c r="L36" s="234">
        <v>0.0</v>
      </c>
      <c r="M36" s="233" t="s">
        <v>163</v>
      </c>
      <c r="N36" s="234">
        <v>0.0</v>
      </c>
      <c r="O36" s="234">
        <v>0.0</v>
      </c>
      <c r="P36" s="234">
        <v>0.0</v>
      </c>
      <c r="Q36" s="234">
        <v>0.017</v>
      </c>
      <c r="R36" s="233" t="s">
        <v>163</v>
      </c>
      <c r="S36" s="234">
        <v>0.0</v>
      </c>
      <c r="T36" s="233" t="s">
        <v>163</v>
      </c>
      <c r="U36" s="234">
        <v>0.019</v>
      </c>
      <c r="V36" s="234">
        <v>0.0</v>
      </c>
      <c r="W36" s="234">
        <v>0.008</v>
      </c>
      <c r="X36" s="234">
        <v>0.011</v>
      </c>
      <c r="Y36" s="234">
        <v>0.019</v>
      </c>
      <c r="Z36" s="233" t="s">
        <v>163</v>
      </c>
      <c r="AA36" s="234">
        <v>0.035</v>
      </c>
      <c r="AB36" s="233" t="s">
        <v>163</v>
      </c>
      <c r="AC36" s="234">
        <v>0.015</v>
      </c>
      <c r="AD36" s="234">
        <v>0.0</v>
      </c>
      <c r="AE36" s="233" t="s">
        <v>163</v>
      </c>
      <c r="AF36" s="234">
        <v>0.002</v>
      </c>
      <c r="AG36" s="233" t="s">
        <v>163</v>
      </c>
      <c r="AH36" s="233" t="s">
        <v>163</v>
      </c>
      <c r="AI36" s="234">
        <v>0.0</v>
      </c>
      <c r="AJ36" s="234">
        <v>0.016</v>
      </c>
      <c r="AK36" s="233" t="s">
        <v>163</v>
      </c>
      <c r="AL36" s="234">
        <v>0.025</v>
      </c>
      <c r="AM36" s="234">
        <v>0.018</v>
      </c>
      <c r="AN36" s="234">
        <v>0.024</v>
      </c>
      <c r="AO36" s="234">
        <v>0.011</v>
      </c>
    </row>
    <row r="37">
      <c r="A37" s="237" t="s">
        <v>134</v>
      </c>
      <c r="B37" s="234">
        <v>0.009</v>
      </c>
      <c r="C37" s="234">
        <v>0.001</v>
      </c>
      <c r="D37" s="234">
        <v>0.032</v>
      </c>
      <c r="E37" s="234">
        <v>0.052</v>
      </c>
      <c r="F37" s="233" t="s">
        <v>163</v>
      </c>
      <c r="G37" s="234">
        <v>0.028</v>
      </c>
      <c r="H37" s="234">
        <v>0.022</v>
      </c>
      <c r="I37" s="234">
        <v>0.019</v>
      </c>
      <c r="J37" s="233" t="s">
        <v>163</v>
      </c>
      <c r="K37" s="234">
        <v>0.008</v>
      </c>
      <c r="L37" s="233" t="s">
        <v>163</v>
      </c>
      <c r="M37" s="234">
        <v>0.0</v>
      </c>
      <c r="N37" s="234">
        <v>0.0</v>
      </c>
      <c r="O37" s="233" t="s">
        <v>163</v>
      </c>
      <c r="P37" s="233" t="s">
        <v>163</v>
      </c>
      <c r="Q37" s="234">
        <v>0.031</v>
      </c>
      <c r="R37" s="234">
        <v>0.008</v>
      </c>
      <c r="S37" s="234">
        <v>0.0</v>
      </c>
      <c r="T37" s="234">
        <v>0.0</v>
      </c>
      <c r="U37" s="234">
        <v>0.088</v>
      </c>
      <c r="V37" s="234">
        <v>0.0</v>
      </c>
      <c r="W37" s="234">
        <v>0.011</v>
      </c>
      <c r="X37" s="234">
        <v>0.007</v>
      </c>
      <c r="Y37" s="234">
        <v>0.028</v>
      </c>
      <c r="Z37" s="234">
        <v>0.018</v>
      </c>
      <c r="AA37" s="234">
        <v>0.023</v>
      </c>
      <c r="AB37" s="233" t="s">
        <v>163</v>
      </c>
      <c r="AC37" s="234">
        <v>0.023</v>
      </c>
      <c r="AD37" s="233" t="s">
        <v>163</v>
      </c>
      <c r="AE37" s="233" t="s">
        <v>163</v>
      </c>
      <c r="AF37" s="234">
        <v>0.003</v>
      </c>
      <c r="AG37" s="234">
        <v>0.01</v>
      </c>
      <c r="AH37" s="234">
        <v>0.018</v>
      </c>
      <c r="AI37" s="233" t="s">
        <v>163</v>
      </c>
      <c r="AJ37" s="234">
        <v>0.02</v>
      </c>
      <c r="AK37" s="233" t="s">
        <v>163</v>
      </c>
      <c r="AL37" s="234">
        <v>0.017</v>
      </c>
      <c r="AM37" s="234">
        <v>0.023</v>
      </c>
      <c r="AN37" s="234">
        <v>0.017</v>
      </c>
      <c r="AO37" s="234">
        <v>0.015</v>
      </c>
    </row>
    <row r="38">
      <c r="A38" s="237" t="s">
        <v>135</v>
      </c>
      <c r="B38" s="233" t="s">
        <v>163</v>
      </c>
      <c r="C38" s="233" t="s">
        <v>163</v>
      </c>
      <c r="D38" s="234">
        <v>0.018</v>
      </c>
      <c r="E38" s="234">
        <v>0.067</v>
      </c>
      <c r="F38" s="233" t="s">
        <v>163</v>
      </c>
      <c r="G38" s="234">
        <v>0.007</v>
      </c>
      <c r="H38" s="234">
        <v>0.021</v>
      </c>
      <c r="I38" s="234">
        <v>0.014</v>
      </c>
      <c r="J38" s="233" t="s">
        <v>163</v>
      </c>
      <c r="K38" s="234">
        <v>0.006</v>
      </c>
      <c r="L38" s="233" t="s">
        <v>163</v>
      </c>
      <c r="M38" s="234">
        <v>0.0</v>
      </c>
      <c r="N38" s="233" t="s">
        <v>163</v>
      </c>
      <c r="O38" s="233" t="s">
        <v>163</v>
      </c>
      <c r="P38" s="233" t="s">
        <v>163</v>
      </c>
      <c r="Q38" s="234">
        <v>0.038</v>
      </c>
      <c r="R38" s="234">
        <v>0.021</v>
      </c>
      <c r="S38" s="234">
        <v>0.0</v>
      </c>
      <c r="T38" s="233" t="s">
        <v>163</v>
      </c>
      <c r="U38" s="234">
        <v>0.084</v>
      </c>
      <c r="V38" s="234">
        <v>0.0</v>
      </c>
      <c r="W38" s="233" t="s">
        <v>163</v>
      </c>
      <c r="X38" s="234">
        <v>0.006</v>
      </c>
      <c r="Y38" s="234">
        <v>0.025</v>
      </c>
      <c r="Z38" s="234">
        <v>0.022</v>
      </c>
      <c r="AA38" s="234">
        <v>0.04</v>
      </c>
      <c r="AB38" s="234">
        <v>0.0</v>
      </c>
      <c r="AC38" s="234">
        <v>0.018</v>
      </c>
      <c r="AD38" s="233" t="s">
        <v>163</v>
      </c>
      <c r="AE38" s="233" t="s">
        <v>163</v>
      </c>
      <c r="AF38" s="234">
        <v>0.003</v>
      </c>
      <c r="AG38" s="233" t="s">
        <v>163</v>
      </c>
      <c r="AH38" s="233" t="s">
        <v>163</v>
      </c>
      <c r="AI38" s="234">
        <v>0.025</v>
      </c>
      <c r="AJ38" s="234">
        <v>0.013</v>
      </c>
      <c r="AK38" s="233" t="s">
        <v>163</v>
      </c>
      <c r="AL38" s="234">
        <v>0.015</v>
      </c>
      <c r="AM38" s="234">
        <v>0.017</v>
      </c>
      <c r="AN38" s="234">
        <v>0.012</v>
      </c>
      <c r="AO38" s="234">
        <v>0.013</v>
      </c>
    </row>
    <row r="39">
      <c r="A39" s="237" t="s">
        <v>136</v>
      </c>
      <c r="B39" s="233" t="s">
        <v>163</v>
      </c>
      <c r="C39" s="234">
        <v>0.001</v>
      </c>
      <c r="D39" s="235">
        <v>0.01</v>
      </c>
      <c r="E39" s="234">
        <v>0.055</v>
      </c>
      <c r="F39" s="233" t="s">
        <v>163</v>
      </c>
      <c r="G39" s="234">
        <v>0.015</v>
      </c>
      <c r="H39" s="234">
        <v>0.031</v>
      </c>
      <c r="I39" s="234">
        <v>0.021</v>
      </c>
      <c r="J39" s="234">
        <v>0.014</v>
      </c>
      <c r="K39" s="234">
        <v>0.022</v>
      </c>
      <c r="L39" s="233" t="s">
        <v>163</v>
      </c>
      <c r="M39" s="233" t="s">
        <v>163</v>
      </c>
      <c r="N39" s="233" t="s">
        <v>163</v>
      </c>
      <c r="O39" s="233" t="s">
        <v>163</v>
      </c>
      <c r="P39" s="233" t="s">
        <v>163</v>
      </c>
      <c r="Q39" s="234">
        <v>0.031</v>
      </c>
      <c r="R39" s="234">
        <v>0.022</v>
      </c>
      <c r="S39" s="233" t="s">
        <v>163</v>
      </c>
      <c r="T39" s="233" t="s">
        <v>163</v>
      </c>
      <c r="U39" s="234">
        <v>0.097</v>
      </c>
      <c r="V39" s="234">
        <v>0.0</v>
      </c>
      <c r="W39" s="233" t="s">
        <v>163</v>
      </c>
      <c r="X39" s="234">
        <v>0.015</v>
      </c>
      <c r="Y39" s="234">
        <v>0.039</v>
      </c>
      <c r="Z39" s="234">
        <v>0.015</v>
      </c>
      <c r="AA39" s="234">
        <v>0.048</v>
      </c>
      <c r="AB39" s="234">
        <v>0.015</v>
      </c>
      <c r="AC39" s="234">
        <v>0.02</v>
      </c>
      <c r="AD39" s="233" t="s">
        <v>163</v>
      </c>
      <c r="AE39" s="233" t="s">
        <v>163</v>
      </c>
      <c r="AF39" s="234">
        <v>0.004</v>
      </c>
      <c r="AG39" s="234">
        <v>0.021</v>
      </c>
      <c r="AH39" s="233" t="s">
        <v>163</v>
      </c>
      <c r="AI39" s="234">
        <v>0.0</v>
      </c>
      <c r="AJ39" s="234">
        <v>0.021</v>
      </c>
      <c r="AK39" s="233" t="s">
        <v>163</v>
      </c>
      <c r="AL39" s="234">
        <v>0.022</v>
      </c>
      <c r="AM39" s="234">
        <v>0.025</v>
      </c>
      <c r="AN39" s="234">
        <v>0.027</v>
      </c>
      <c r="AO39" s="234">
        <v>0.018</v>
      </c>
    </row>
    <row r="40">
      <c r="A40" s="237" t="s">
        <v>137</v>
      </c>
      <c r="B40" s="234">
        <v>0.008</v>
      </c>
      <c r="C40" s="234">
        <v>0.002</v>
      </c>
      <c r="D40" s="234">
        <v>0.016</v>
      </c>
      <c r="E40" s="234">
        <v>0.081</v>
      </c>
      <c r="F40" s="233" t="s">
        <v>163</v>
      </c>
      <c r="G40" s="234">
        <v>0.02</v>
      </c>
      <c r="H40" s="234">
        <v>0.042</v>
      </c>
      <c r="I40" s="234">
        <v>0.025</v>
      </c>
      <c r="J40" s="234">
        <v>0.008</v>
      </c>
      <c r="K40" s="234">
        <v>0.023</v>
      </c>
      <c r="L40" s="234">
        <v>0.023</v>
      </c>
      <c r="M40" s="234">
        <v>0.037</v>
      </c>
      <c r="N40" s="233" t="s">
        <v>163</v>
      </c>
      <c r="O40" s="233" t="s">
        <v>163</v>
      </c>
      <c r="P40" s="234">
        <v>0.024</v>
      </c>
      <c r="Q40" s="234">
        <v>0.025</v>
      </c>
      <c r="R40" s="234">
        <v>0.026</v>
      </c>
      <c r="S40" s="233" t="s">
        <v>163</v>
      </c>
      <c r="T40" s="233" t="s">
        <v>163</v>
      </c>
      <c r="U40" s="234">
        <v>0.194</v>
      </c>
      <c r="V40" s="234">
        <v>0.0</v>
      </c>
      <c r="W40" s="234">
        <v>0.008</v>
      </c>
      <c r="X40" s="234">
        <v>0.023</v>
      </c>
      <c r="Y40" s="234">
        <v>0.045</v>
      </c>
      <c r="Z40" s="234">
        <v>0.021</v>
      </c>
      <c r="AA40" s="234">
        <v>0.05</v>
      </c>
      <c r="AB40" s="234">
        <v>0.01</v>
      </c>
      <c r="AC40" s="234">
        <v>0.019</v>
      </c>
      <c r="AD40" s="233" t="s">
        <v>163</v>
      </c>
      <c r="AE40" s="233" t="s">
        <v>163</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163</v>
      </c>
      <c r="G41" s="234">
        <v>0.026</v>
      </c>
      <c r="H41" s="234">
        <v>0.055</v>
      </c>
      <c r="I41" s="234">
        <v>0.037</v>
      </c>
      <c r="J41" s="234">
        <v>0.015</v>
      </c>
      <c r="K41" s="234">
        <v>0.031</v>
      </c>
      <c r="L41" s="233" t="s">
        <v>163</v>
      </c>
      <c r="M41" s="233" t="s">
        <v>163</v>
      </c>
      <c r="N41" s="233" t="s">
        <v>163</v>
      </c>
      <c r="O41" s="234">
        <v>0.0</v>
      </c>
      <c r="P41" s="233" t="s">
        <v>163</v>
      </c>
      <c r="Q41" s="234">
        <v>0.047</v>
      </c>
      <c r="R41" s="234">
        <v>0.029</v>
      </c>
      <c r="S41" s="233" t="s">
        <v>163</v>
      </c>
      <c r="T41" s="233" t="s">
        <v>163</v>
      </c>
      <c r="U41" s="234">
        <v>0.082</v>
      </c>
      <c r="V41" s="233" t="s">
        <v>163</v>
      </c>
      <c r="W41" s="234">
        <v>0.013</v>
      </c>
      <c r="X41" s="234">
        <v>0.015</v>
      </c>
      <c r="Y41" s="234">
        <v>0.056</v>
      </c>
      <c r="Z41" s="234">
        <v>0.038</v>
      </c>
      <c r="AA41" s="234">
        <v>0.069</v>
      </c>
      <c r="AB41" s="234">
        <v>0.024</v>
      </c>
      <c r="AC41" s="234">
        <v>0.026</v>
      </c>
      <c r="AD41" s="233" t="s">
        <v>163</v>
      </c>
      <c r="AE41" s="233" t="s">
        <v>163</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163</v>
      </c>
      <c r="M42" s="233" t="s">
        <v>163</v>
      </c>
      <c r="N42" s="234">
        <v>0.057</v>
      </c>
      <c r="O42" s="233" t="s">
        <v>163</v>
      </c>
      <c r="P42" s="234">
        <v>0.0</v>
      </c>
      <c r="Q42" s="234">
        <v>0.067</v>
      </c>
      <c r="R42" s="234">
        <v>0.047</v>
      </c>
      <c r="S42" s="233" t="s">
        <v>163</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163</v>
      </c>
      <c r="M43" s="234">
        <v>0.06</v>
      </c>
      <c r="N43" s="234">
        <v>0.051</v>
      </c>
      <c r="O43" s="235">
        <v>0.025</v>
      </c>
      <c r="P43" s="234">
        <v>0.028</v>
      </c>
      <c r="Q43" s="234">
        <v>0.089</v>
      </c>
      <c r="R43" s="234">
        <v>0.049</v>
      </c>
      <c r="S43" s="235">
        <v>0.035</v>
      </c>
      <c r="T43" s="234">
        <v>0.03</v>
      </c>
      <c r="U43" s="234">
        <v>0.037</v>
      </c>
      <c r="V43" s="233" t="s">
        <v>163</v>
      </c>
      <c r="W43" s="234">
        <v>0.017</v>
      </c>
      <c r="X43" s="234">
        <v>0.026</v>
      </c>
      <c r="Y43" s="234">
        <v>0.096</v>
      </c>
      <c r="Z43" s="234">
        <v>0.024</v>
      </c>
      <c r="AA43" s="234">
        <v>0.088</v>
      </c>
      <c r="AB43" s="234">
        <v>0.04</v>
      </c>
      <c r="AC43" s="234">
        <v>0.04</v>
      </c>
      <c r="AD43" s="233" t="s">
        <v>163</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163</v>
      </c>
      <c r="T44" s="234">
        <v>0.022</v>
      </c>
      <c r="U44" s="234">
        <v>0.059</v>
      </c>
      <c r="V44" s="233" t="s">
        <v>163</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163</v>
      </c>
      <c r="T45" s="234">
        <v>0.029</v>
      </c>
      <c r="U45" s="234">
        <v>0.082</v>
      </c>
      <c r="V45" s="233" t="s">
        <v>163</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163</v>
      </c>
      <c r="T46" s="234">
        <v>0.027</v>
      </c>
      <c r="U46" s="234">
        <v>0.068</v>
      </c>
      <c r="V46" s="233" t="s">
        <v>163</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163</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163</v>
      </c>
      <c r="T48" s="234">
        <v>0.072</v>
      </c>
      <c r="U48" s="234">
        <v>0.087</v>
      </c>
      <c r="V48" s="233" t="s">
        <v>163</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163</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163</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163</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101</v>
      </c>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ht="68.25" customHeight="1">
      <c r="A5" s="142" t="s">
        <v>325</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ht="32.25" customHeight="1">
      <c r="A7" s="238" t="s">
        <v>326</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327</v>
      </c>
      <c r="AP7" s="239" t="s">
        <v>266</v>
      </c>
    </row>
    <row r="8">
      <c r="A8" s="240">
        <v>43891.0</v>
      </c>
      <c r="B8" s="241">
        <v>11.0</v>
      </c>
      <c r="C8" s="241">
        <v>6.0</v>
      </c>
      <c r="D8" s="241">
        <v>9.0</v>
      </c>
      <c r="E8" s="241">
        <v>6.0</v>
      </c>
      <c r="F8" s="241" t="s">
        <v>55</v>
      </c>
      <c r="G8" s="241">
        <v>12.0</v>
      </c>
      <c r="H8" s="241">
        <v>44.0</v>
      </c>
      <c r="I8" s="241">
        <v>16.0</v>
      </c>
      <c r="J8" s="241">
        <v>0.0</v>
      </c>
      <c r="K8" s="241">
        <v>20.0</v>
      </c>
      <c r="L8" s="241" t="s">
        <v>55</v>
      </c>
      <c r="M8" s="241" t="s">
        <v>55</v>
      </c>
      <c r="N8" s="241" t="s">
        <v>55</v>
      </c>
      <c r="O8" s="241" t="s">
        <v>55</v>
      </c>
      <c r="P8" s="241" t="s">
        <v>55</v>
      </c>
      <c r="Q8" s="241">
        <v>8.0</v>
      </c>
      <c r="R8" s="241">
        <v>13.0</v>
      </c>
      <c r="S8" s="241" t="s">
        <v>55</v>
      </c>
      <c r="T8" s="241">
        <v>7.0</v>
      </c>
      <c r="U8" s="241" t="s">
        <v>55</v>
      </c>
      <c r="V8" s="241">
        <v>0.0</v>
      </c>
      <c r="W8" s="241">
        <v>8.0</v>
      </c>
      <c r="X8" s="241">
        <v>9.0</v>
      </c>
      <c r="Y8" s="241">
        <v>15.0</v>
      </c>
      <c r="Z8" s="241">
        <v>5.0</v>
      </c>
      <c r="AA8" s="241">
        <v>43.0</v>
      </c>
      <c r="AB8" s="241">
        <v>5.0</v>
      </c>
      <c r="AC8" s="241">
        <v>99.0</v>
      </c>
      <c r="AD8" s="241">
        <v>0.0</v>
      </c>
      <c r="AE8" s="241">
        <v>7.0</v>
      </c>
      <c r="AF8" s="241">
        <v>8.0</v>
      </c>
      <c r="AG8" s="241">
        <v>9.0</v>
      </c>
      <c r="AH8" s="241">
        <v>7.0</v>
      </c>
      <c r="AI8" s="241" t="s">
        <v>55</v>
      </c>
      <c r="AJ8" s="241">
        <v>25.0</v>
      </c>
      <c r="AK8" s="241">
        <v>0.0</v>
      </c>
      <c r="AL8" s="241">
        <v>11.0</v>
      </c>
      <c r="AM8" s="241">
        <v>9.0</v>
      </c>
      <c r="AN8" s="241">
        <v>8.0</v>
      </c>
      <c r="AO8" s="241">
        <v>6.0</v>
      </c>
      <c r="AP8" s="241">
        <v>441.0</v>
      </c>
    </row>
    <row r="9">
      <c r="A9" s="240">
        <v>43922.0</v>
      </c>
      <c r="B9" s="241">
        <v>18.0</v>
      </c>
      <c r="C9" s="241">
        <v>43.0</v>
      </c>
      <c r="D9" s="241">
        <v>45.0</v>
      </c>
      <c r="E9" s="241">
        <v>432.0</v>
      </c>
      <c r="F9" s="241">
        <v>10.0</v>
      </c>
      <c r="G9" s="241">
        <v>72.0</v>
      </c>
      <c r="H9" s="241">
        <v>473.0</v>
      </c>
      <c r="I9" s="241">
        <v>125.0</v>
      </c>
      <c r="J9" s="241">
        <v>43.0</v>
      </c>
      <c r="K9" s="241">
        <v>196.0</v>
      </c>
      <c r="L9" s="241">
        <v>13.0</v>
      </c>
      <c r="M9" s="241">
        <v>10.0</v>
      </c>
      <c r="N9" s="241">
        <v>17.0</v>
      </c>
      <c r="O9" s="241">
        <v>9.0</v>
      </c>
      <c r="P9" s="241">
        <v>5.0</v>
      </c>
      <c r="Q9" s="241">
        <v>147.0</v>
      </c>
      <c r="R9" s="241">
        <v>76.0</v>
      </c>
      <c r="S9" s="241">
        <v>9.0</v>
      </c>
      <c r="T9" s="241">
        <v>17.0</v>
      </c>
      <c r="U9" s="241">
        <v>32.0</v>
      </c>
      <c r="V9" s="241" t="s">
        <v>55</v>
      </c>
      <c r="W9" s="241">
        <v>27.0</v>
      </c>
      <c r="X9" s="241">
        <v>56.0</v>
      </c>
      <c r="Y9" s="241">
        <v>275.0</v>
      </c>
      <c r="Z9" s="241">
        <v>18.0</v>
      </c>
      <c r="AA9" s="241">
        <v>787.0</v>
      </c>
      <c r="AB9" s="241">
        <v>18.0</v>
      </c>
      <c r="AC9" s="241">
        <v>2575.0</v>
      </c>
      <c r="AD9" s="241">
        <v>15.0</v>
      </c>
      <c r="AE9" s="241">
        <v>23.0</v>
      </c>
      <c r="AF9" s="241">
        <v>53.0</v>
      </c>
      <c r="AG9" s="241">
        <v>44.0</v>
      </c>
      <c r="AH9" s="241">
        <v>46.0</v>
      </c>
      <c r="AI9" s="241">
        <v>25.0</v>
      </c>
      <c r="AJ9" s="241">
        <v>237.0</v>
      </c>
      <c r="AK9" s="241">
        <v>13.0</v>
      </c>
      <c r="AL9" s="241">
        <v>112.0</v>
      </c>
      <c r="AM9" s="241">
        <v>40.0</v>
      </c>
      <c r="AN9" s="241">
        <v>181.0</v>
      </c>
      <c r="AO9" s="241">
        <v>252.0</v>
      </c>
      <c r="AP9" s="241">
        <v>6590.0</v>
      </c>
    </row>
    <row r="10">
      <c r="A10" s="240">
        <v>43952.0</v>
      </c>
      <c r="B10" s="241">
        <v>18.0</v>
      </c>
      <c r="C10" s="241">
        <v>35.0</v>
      </c>
      <c r="D10" s="241">
        <v>19.0</v>
      </c>
      <c r="E10" s="241">
        <v>353.0</v>
      </c>
      <c r="F10" s="241" t="s">
        <v>55</v>
      </c>
      <c r="G10" s="241">
        <v>54.0</v>
      </c>
      <c r="H10" s="241">
        <v>314.0</v>
      </c>
      <c r="I10" s="241">
        <v>54.0</v>
      </c>
      <c r="J10" s="241">
        <v>17.0</v>
      </c>
      <c r="K10" s="241">
        <v>138.0</v>
      </c>
      <c r="L10" s="241">
        <v>9.0</v>
      </c>
      <c r="M10" s="241">
        <v>9.0</v>
      </c>
      <c r="N10" s="241">
        <v>18.0</v>
      </c>
      <c r="O10" s="241">
        <v>5.0</v>
      </c>
      <c r="P10" s="241">
        <v>5.0</v>
      </c>
      <c r="Q10" s="241">
        <v>116.0</v>
      </c>
      <c r="R10" s="241">
        <v>57.0</v>
      </c>
      <c r="S10" s="241" t="s">
        <v>55</v>
      </c>
      <c r="T10" s="241">
        <v>13.0</v>
      </c>
      <c r="U10" s="241">
        <v>8.0</v>
      </c>
      <c r="V10" s="241">
        <v>0.0</v>
      </c>
      <c r="W10" s="241">
        <v>28.0</v>
      </c>
      <c r="X10" s="241">
        <v>24.0</v>
      </c>
      <c r="Y10" s="241">
        <v>154.0</v>
      </c>
      <c r="Z10" s="241">
        <v>24.0</v>
      </c>
      <c r="AA10" s="241">
        <v>550.0</v>
      </c>
      <c r="AB10" s="241">
        <v>21.0</v>
      </c>
      <c r="AC10" s="241">
        <v>1960.0</v>
      </c>
      <c r="AD10" s="241">
        <v>12.0</v>
      </c>
      <c r="AE10" s="241">
        <v>12.0</v>
      </c>
      <c r="AF10" s="241">
        <v>30.0</v>
      </c>
      <c r="AG10" s="241">
        <v>11.0</v>
      </c>
      <c r="AH10" s="241">
        <v>25.0</v>
      </c>
      <c r="AI10" s="241">
        <v>23.0</v>
      </c>
      <c r="AJ10" s="241">
        <v>161.0</v>
      </c>
      <c r="AK10" s="241">
        <v>5.0</v>
      </c>
      <c r="AL10" s="241">
        <v>69.0</v>
      </c>
      <c r="AM10" s="241">
        <v>5.0</v>
      </c>
      <c r="AN10" s="241">
        <v>196.0</v>
      </c>
      <c r="AO10" s="241">
        <v>96.0</v>
      </c>
      <c r="AP10" s="241">
        <v>4654.0</v>
      </c>
    </row>
    <row r="11">
      <c r="A11" s="240">
        <v>43983.0</v>
      </c>
      <c r="B11" s="241">
        <v>5.0</v>
      </c>
      <c r="C11" s="241">
        <v>11.0</v>
      </c>
      <c r="D11" s="241">
        <v>6.0</v>
      </c>
      <c r="E11" s="241">
        <v>81.0</v>
      </c>
      <c r="F11" s="241">
        <v>5.0</v>
      </c>
      <c r="G11" s="241">
        <v>9.0</v>
      </c>
      <c r="H11" s="241">
        <v>105.0</v>
      </c>
      <c r="I11" s="241">
        <v>32.0</v>
      </c>
      <c r="J11" s="241">
        <v>12.0</v>
      </c>
      <c r="K11" s="241">
        <v>39.0</v>
      </c>
      <c r="L11" s="241" t="s">
        <v>55</v>
      </c>
      <c r="M11" s="241" t="s">
        <v>55</v>
      </c>
      <c r="N11" s="241" t="s">
        <v>55</v>
      </c>
      <c r="O11" s="241" t="s">
        <v>55</v>
      </c>
      <c r="P11" s="241" t="s">
        <v>55</v>
      </c>
      <c r="Q11" s="241">
        <v>43.0</v>
      </c>
      <c r="R11" s="241">
        <v>20.0</v>
      </c>
      <c r="S11" s="241">
        <v>0.0</v>
      </c>
      <c r="T11" s="241">
        <v>12.0</v>
      </c>
      <c r="U11" s="241" t="s">
        <v>55</v>
      </c>
      <c r="V11" s="241">
        <v>0.0</v>
      </c>
      <c r="W11" s="241">
        <v>29.0</v>
      </c>
      <c r="X11" s="241">
        <v>11.0</v>
      </c>
      <c r="Y11" s="241">
        <v>37.0</v>
      </c>
      <c r="Z11" s="241">
        <v>13.0</v>
      </c>
      <c r="AA11" s="241">
        <v>156.0</v>
      </c>
      <c r="AB11" s="241">
        <v>5.0</v>
      </c>
      <c r="AC11" s="241">
        <v>675.0</v>
      </c>
      <c r="AD11" s="241" t="s">
        <v>55</v>
      </c>
      <c r="AE11" s="241">
        <v>6.0</v>
      </c>
      <c r="AF11" s="241">
        <v>12.0</v>
      </c>
      <c r="AG11" s="241" t="s">
        <v>55</v>
      </c>
      <c r="AH11" s="241">
        <v>5.0</v>
      </c>
      <c r="AI11" s="241">
        <v>7.0</v>
      </c>
      <c r="AJ11" s="241">
        <v>49.0</v>
      </c>
      <c r="AK11" s="241" t="s">
        <v>55</v>
      </c>
      <c r="AL11" s="241">
        <v>36.0</v>
      </c>
      <c r="AM11" s="241">
        <v>10.0</v>
      </c>
      <c r="AN11" s="241">
        <v>70.0</v>
      </c>
      <c r="AO11" s="241">
        <v>22.0</v>
      </c>
      <c r="AP11" s="241">
        <v>1540.0</v>
      </c>
    </row>
    <row r="12">
      <c r="A12" s="240">
        <v>44013.0</v>
      </c>
      <c r="B12" s="241">
        <v>9.0</v>
      </c>
      <c r="C12" s="241">
        <v>31.0</v>
      </c>
      <c r="D12" s="241">
        <v>18.0</v>
      </c>
      <c r="E12" s="241">
        <v>108.0</v>
      </c>
      <c r="F12" s="241">
        <v>10.0</v>
      </c>
      <c r="G12" s="241">
        <v>37.0</v>
      </c>
      <c r="H12" s="241">
        <v>195.0</v>
      </c>
      <c r="I12" s="241">
        <v>35.0</v>
      </c>
      <c r="J12" s="241">
        <v>21.0</v>
      </c>
      <c r="K12" s="241">
        <v>59.0</v>
      </c>
      <c r="L12" s="241" t="s">
        <v>55</v>
      </c>
      <c r="M12" s="241" t="s">
        <v>55</v>
      </c>
      <c r="N12" s="241">
        <v>5.0</v>
      </c>
      <c r="O12" s="241">
        <v>5.0</v>
      </c>
      <c r="P12" s="241">
        <v>6.0</v>
      </c>
      <c r="Q12" s="241">
        <v>53.0</v>
      </c>
      <c r="R12" s="241">
        <v>28.0</v>
      </c>
      <c r="S12" s="241" t="s">
        <v>55</v>
      </c>
      <c r="T12" s="241">
        <v>21.0</v>
      </c>
      <c r="U12" s="241">
        <v>8.0</v>
      </c>
      <c r="V12" s="241" t="s">
        <v>55</v>
      </c>
      <c r="W12" s="241">
        <v>32.0</v>
      </c>
      <c r="X12" s="241">
        <v>11.0</v>
      </c>
      <c r="Y12" s="241">
        <v>104.0</v>
      </c>
      <c r="Z12" s="241">
        <v>21.0</v>
      </c>
      <c r="AA12" s="241">
        <v>272.0</v>
      </c>
      <c r="AB12" s="241">
        <v>10.0</v>
      </c>
      <c r="AC12" s="241">
        <v>616.0</v>
      </c>
      <c r="AD12" s="241" t="s">
        <v>55</v>
      </c>
      <c r="AE12" s="241">
        <v>8.0</v>
      </c>
      <c r="AF12" s="241">
        <v>34.0</v>
      </c>
      <c r="AG12" s="241">
        <v>8.0</v>
      </c>
      <c r="AH12" s="241">
        <v>11.0</v>
      </c>
      <c r="AI12" s="241">
        <v>15.0</v>
      </c>
      <c r="AJ12" s="241">
        <v>114.0</v>
      </c>
      <c r="AK12" s="241">
        <v>5.0</v>
      </c>
      <c r="AL12" s="241">
        <v>54.0</v>
      </c>
      <c r="AM12" s="241">
        <v>12.0</v>
      </c>
      <c r="AN12" s="241">
        <v>64.0</v>
      </c>
      <c r="AO12" s="241">
        <v>68.0</v>
      </c>
      <c r="AP12" s="241">
        <v>2119.0</v>
      </c>
    </row>
    <row r="13">
      <c r="A13" s="240">
        <v>44044.0</v>
      </c>
      <c r="B13" s="241" t="s">
        <v>55</v>
      </c>
      <c r="C13" s="241">
        <v>33.0</v>
      </c>
      <c r="D13" s="241">
        <v>11.0</v>
      </c>
      <c r="E13" s="241">
        <v>133.0</v>
      </c>
      <c r="F13" s="241" t="s">
        <v>55</v>
      </c>
      <c r="G13" s="241">
        <v>34.0</v>
      </c>
      <c r="H13" s="241">
        <v>236.0</v>
      </c>
      <c r="I13" s="241">
        <v>60.0</v>
      </c>
      <c r="J13" s="241">
        <v>24.0</v>
      </c>
      <c r="K13" s="241">
        <v>55.0</v>
      </c>
      <c r="L13" s="241">
        <v>8.0</v>
      </c>
      <c r="M13" s="241">
        <v>7.0</v>
      </c>
      <c r="N13" s="241">
        <v>13.0</v>
      </c>
      <c r="O13" s="241" t="s">
        <v>55</v>
      </c>
      <c r="P13" s="241" t="s">
        <v>55</v>
      </c>
      <c r="Q13" s="241">
        <v>71.0</v>
      </c>
      <c r="R13" s="241">
        <v>37.0</v>
      </c>
      <c r="S13" s="241">
        <v>0.0</v>
      </c>
      <c r="T13" s="241">
        <v>11.0</v>
      </c>
      <c r="U13" s="241">
        <v>34.0</v>
      </c>
      <c r="V13" s="241" t="s">
        <v>55</v>
      </c>
      <c r="W13" s="241">
        <v>21.0</v>
      </c>
      <c r="X13" s="241">
        <v>48.0</v>
      </c>
      <c r="Y13" s="241">
        <v>90.0</v>
      </c>
      <c r="Z13" s="241">
        <v>8.0</v>
      </c>
      <c r="AA13" s="241">
        <v>258.0</v>
      </c>
      <c r="AB13" s="241">
        <v>12.0</v>
      </c>
      <c r="AC13" s="241">
        <v>917.0</v>
      </c>
      <c r="AD13" s="241" t="s">
        <v>55</v>
      </c>
      <c r="AE13" s="241">
        <v>11.0</v>
      </c>
      <c r="AF13" s="241">
        <v>36.0</v>
      </c>
      <c r="AG13" s="241">
        <v>30.0</v>
      </c>
      <c r="AH13" s="241">
        <v>14.0</v>
      </c>
      <c r="AI13" s="241" t="s">
        <v>55</v>
      </c>
      <c r="AJ13" s="241">
        <v>106.0</v>
      </c>
      <c r="AK13" s="241">
        <v>5.0</v>
      </c>
      <c r="AL13" s="241">
        <v>39.0</v>
      </c>
      <c r="AM13" s="241">
        <v>13.0</v>
      </c>
      <c r="AN13" s="241">
        <v>89.0</v>
      </c>
      <c r="AO13" s="241">
        <v>50.0</v>
      </c>
      <c r="AP13" s="241">
        <v>2538.0</v>
      </c>
    </row>
    <row r="14">
      <c r="A14" s="240">
        <v>44075.0</v>
      </c>
      <c r="B14" s="241">
        <v>16.0</v>
      </c>
      <c r="C14" s="241">
        <v>32.0</v>
      </c>
      <c r="D14" s="241">
        <v>27.0</v>
      </c>
      <c r="E14" s="241">
        <v>89.0</v>
      </c>
      <c r="F14" s="241">
        <v>7.0</v>
      </c>
      <c r="G14" s="241">
        <v>36.0</v>
      </c>
      <c r="H14" s="241">
        <v>163.0</v>
      </c>
      <c r="I14" s="241">
        <v>80.0</v>
      </c>
      <c r="J14" s="241">
        <v>8.0</v>
      </c>
      <c r="K14" s="241">
        <v>59.0</v>
      </c>
      <c r="L14" s="241" t="s">
        <v>55</v>
      </c>
      <c r="M14" s="241" t="s">
        <v>55</v>
      </c>
      <c r="N14" s="241" t="s">
        <v>55</v>
      </c>
      <c r="O14" s="241">
        <v>6.0</v>
      </c>
      <c r="P14" s="241">
        <v>5.0</v>
      </c>
      <c r="Q14" s="241">
        <v>86.0</v>
      </c>
      <c r="R14" s="241">
        <v>35.0</v>
      </c>
      <c r="S14" s="241">
        <v>0.0</v>
      </c>
      <c r="T14" s="241">
        <v>7.0</v>
      </c>
      <c r="U14" s="241">
        <v>90.0</v>
      </c>
      <c r="V14" s="241">
        <v>0.0</v>
      </c>
      <c r="W14" s="241">
        <v>30.0</v>
      </c>
      <c r="X14" s="241">
        <v>29.0</v>
      </c>
      <c r="Y14" s="241">
        <v>94.0</v>
      </c>
      <c r="Z14" s="241">
        <v>23.0</v>
      </c>
      <c r="AA14" s="241">
        <v>255.0</v>
      </c>
      <c r="AB14" s="241">
        <v>10.0</v>
      </c>
      <c r="AC14" s="241">
        <v>945.0</v>
      </c>
      <c r="AD14" s="241" t="s">
        <v>55</v>
      </c>
      <c r="AE14" s="241">
        <v>10.0</v>
      </c>
      <c r="AF14" s="241">
        <v>40.0</v>
      </c>
      <c r="AG14" s="241">
        <v>26.0</v>
      </c>
      <c r="AH14" s="241">
        <v>18.0</v>
      </c>
      <c r="AI14" s="241">
        <v>10.0</v>
      </c>
      <c r="AJ14" s="241">
        <v>119.0</v>
      </c>
      <c r="AK14" s="241">
        <v>5.0</v>
      </c>
      <c r="AL14" s="241">
        <v>41.0</v>
      </c>
      <c r="AM14" s="241">
        <v>35.0</v>
      </c>
      <c r="AN14" s="241">
        <v>60.0</v>
      </c>
      <c r="AO14" s="241">
        <v>46.0</v>
      </c>
      <c r="AP14" s="241">
        <v>2554.0</v>
      </c>
    </row>
    <row r="15">
      <c r="A15" s="240">
        <v>44105.0</v>
      </c>
      <c r="B15" s="241">
        <v>68.0</v>
      </c>
      <c r="C15" s="241">
        <v>98.0</v>
      </c>
      <c r="D15" s="241">
        <v>75.0</v>
      </c>
      <c r="E15" s="241">
        <v>393.0</v>
      </c>
      <c r="F15" s="241">
        <v>18.0</v>
      </c>
      <c r="G15" s="241">
        <v>162.0</v>
      </c>
      <c r="H15" s="241">
        <v>756.0</v>
      </c>
      <c r="I15" s="241">
        <v>224.0</v>
      </c>
      <c r="J15" s="241">
        <v>98.0</v>
      </c>
      <c r="K15" s="241">
        <v>263.0</v>
      </c>
      <c r="L15" s="241">
        <v>14.0</v>
      </c>
      <c r="M15" s="241">
        <v>30.0</v>
      </c>
      <c r="N15" s="241">
        <v>43.0</v>
      </c>
      <c r="O15" s="241">
        <v>13.0</v>
      </c>
      <c r="P15" s="241">
        <v>17.0</v>
      </c>
      <c r="Q15" s="241">
        <v>265.0</v>
      </c>
      <c r="R15" s="241">
        <v>140.0</v>
      </c>
      <c r="S15" s="241">
        <v>11.0</v>
      </c>
      <c r="T15" s="241">
        <v>39.0</v>
      </c>
      <c r="U15" s="241">
        <v>212.0</v>
      </c>
      <c r="V15" s="241" t="s">
        <v>55</v>
      </c>
      <c r="W15" s="241">
        <v>64.0</v>
      </c>
      <c r="X15" s="241">
        <v>115.0</v>
      </c>
      <c r="Y15" s="241">
        <v>332.0</v>
      </c>
      <c r="Z15" s="241">
        <v>66.0</v>
      </c>
      <c r="AA15" s="241">
        <v>871.0</v>
      </c>
      <c r="AB15" s="241">
        <v>56.0</v>
      </c>
      <c r="AC15" s="241">
        <v>2081.0</v>
      </c>
      <c r="AD15" s="241">
        <v>18.0</v>
      </c>
      <c r="AE15" s="241">
        <v>38.0</v>
      </c>
      <c r="AF15" s="241">
        <v>123.0</v>
      </c>
      <c r="AG15" s="241">
        <v>136.0</v>
      </c>
      <c r="AH15" s="241">
        <v>80.0</v>
      </c>
      <c r="AI15" s="241">
        <v>56.0</v>
      </c>
      <c r="AJ15" s="241">
        <v>451.0</v>
      </c>
      <c r="AK15" s="241">
        <v>43.0</v>
      </c>
      <c r="AL15" s="241">
        <v>186.0</v>
      </c>
      <c r="AM15" s="241">
        <v>72.0</v>
      </c>
      <c r="AN15" s="241">
        <v>236.0</v>
      </c>
      <c r="AO15" s="241">
        <v>178.0</v>
      </c>
      <c r="AP15" s="241">
        <v>8143.0</v>
      </c>
    </row>
    <row r="16">
      <c r="A16" s="240">
        <v>44136.0</v>
      </c>
      <c r="B16" s="241">
        <v>188.0</v>
      </c>
      <c r="C16" s="241">
        <v>339.0</v>
      </c>
      <c r="D16" s="241">
        <v>240.0</v>
      </c>
      <c r="E16" s="241">
        <v>778.0</v>
      </c>
      <c r="F16" s="241">
        <v>81.0</v>
      </c>
      <c r="G16" s="241">
        <v>724.0</v>
      </c>
      <c r="H16" s="241">
        <v>2267.0</v>
      </c>
      <c r="I16" s="241">
        <v>539.0</v>
      </c>
      <c r="J16" s="241">
        <v>283.0</v>
      </c>
      <c r="K16" s="241">
        <v>830.0</v>
      </c>
      <c r="L16" s="241">
        <v>93.0</v>
      </c>
      <c r="M16" s="241">
        <v>78.0</v>
      </c>
      <c r="N16" s="241">
        <v>128.0</v>
      </c>
      <c r="O16" s="241">
        <v>107.0</v>
      </c>
      <c r="P16" s="241">
        <v>54.0</v>
      </c>
      <c r="Q16" s="241">
        <v>816.0</v>
      </c>
      <c r="R16" s="241">
        <v>439.0</v>
      </c>
      <c r="S16" s="241">
        <v>13.0</v>
      </c>
      <c r="T16" s="241">
        <v>101.0</v>
      </c>
      <c r="U16" s="241">
        <v>172.0</v>
      </c>
      <c r="V16" s="241">
        <v>10.0</v>
      </c>
      <c r="W16" s="241">
        <v>196.0</v>
      </c>
      <c r="X16" s="241">
        <v>423.0</v>
      </c>
      <c r="Y16" s="241">
        <v>756.0</v>
      </c>
      <c r="Z16" s="241">
        <v>151.0</v>
      </c>
      <c r="AA16" s="241">
        <v>1869.0</v>
      </c>
      <c r="AB16" s="241">
        <v>116.0</v>
      </c>
      <c r="AC16" s="241">
        <v>5132.0</v>
      </c>
      <c r="AD16" s="241">
        <v>63.0</v>
      </c>
      <c r="AE16" s="241">
        <v>158.0</v>
      </c>
      <c r="AF16" s="241">
        <v>427.0</v>
      </c>
      <c r="AG16" s="241">
        <v>204.0</v>
      </c>
      <c r="AH16" s="241">
        <v>142.0</v>
      </c>
      <c r="AI16" s="241">
        <v>136.0</v>
      </c>
      <c r="AJ16" s="241">
        <v>1641.0</v>
      </c>
      <c r="AK16" s="241">
        <v>90.0</v>
      </c>
      <c r="AL16" s="241">
        <v>655.0</v>
      </c>
      <c r="AM16" s="241">
        <v>214.0</v>
      </c>
      <c r="AN16" s="241">
        <v>589.0</v>
      </c>
      <c r="AO16" s="241">
        <v>583.0</v>
      </c>
      <c r="AP16" s="241">
        <v>21825.0</v>
      </c>
    </row>
    <row r="17">
      <c r="A17" s="240">
        <v>44166.0</v>
      </c>
      <c r="B17" s="241">
        <v>339.0</v>
      </c>
      <c r="C17" s="241">
        <v>488.0</v>
      </c>
      <c r="D17" s="241">
        <v>525.0</v>
      </c>
      <c r="E17" s="241">
        <v>648.0</v>
      </c>
      <c r="F17" s="241">
        <v>162.0</v>
      </c>
      <c r="G17" s="241">
        <v>894.0</v>
      </c>
      <c r="H17" s="241">
        <v>2500.0</v>
      </c>
      <c r="I17" s="241">
        <v>1003.0</v>
      </c>
      <c r="J17" s="241">
        <v>354.0</v>
      </c>
      <c r="K17" s="241">
        <v>1379.0</v>
      </c>
      <c r="L17" s="241">
        <v>126.0</v>
      </c>
      <c r="M17" s="241">
        <v>107.0</v>
      </c>
      <c r="N17" s="241">
        <v>222.0</v>
      </c>
      <c r="O17" s="241">
        <v>154.0</v>
      </c>
      <c r="P17" s="241">
        <v>92.0</v>
      </c>
      <c r="Q17" s="241">
        <v>1052.0</v>
      </c>
      <c r="R17" s="241">
        <v>588.0</v>
      </c>
      <c r="S17" s="241">
        <v>47.0</v>
      </c>
      <c r="T17" s="241">
        <v>292.0</v>
      </c>
      <c r="U17" s="241">
        <v>281.0</v>
      </c>
      <c r="V17" s="241">
        <v>17.0</v>
      </c>
      <c r="W17" s="241">
        <v>419.0</v>
      </c>
      <c r="X17" s="241">
        <v>443.0</v>
      </c>
      <c r="Y17" s="241">
        <v>936.0</v>
      </c>
      <c r="Z17" s="241">
        <v>334.0</v>
      </c>
      <c r="AA17" s="241">
        <v>2212.0</v>
      </c>
      <c r="AB17" s="241">
        <v>329.0</v>
      </c>
      <c r="AC17" s="241">
        <v>5564.0</v>
      </c>
      <c r="AD17" s="241">
        <v>81.0</v>
      </c>
      <c r="AE17" s="241">
        <v>246.0</v>
      </c>
      <c r="AF17" s="241">
        <v>588.0</v>
      </c>
      <c r="AG17" s="241">
        <v>242.0</v>
      </c>
      <c r="AH17" s="241">
        <v>333.0</v>
      </c>
      <c r="AI17" s="241">
        <v>329.0</v>
      </c>
      <c r="AJ17" s="241">
        <v>1867.0</v>
      </c>
      <c r="AK17" s="241">
        <v>120.0</v>
      </c>
      <c r="AL17" s="241">
        <v>683.0</v>
      </c>
      <c r="AM17" s="241">
        <v>405.0</v>
      </c>
      <c r="AN17" s="241">
        <v>1143.0</v>
      </c>
      <c r="AO17" s="241">
        <v>1414.0</v>
      </c>
      <c r="AP17" s="241">
        <v>28958.0</v>
      </c>
    </row>
    <row r="18">
      <c r="A18" s="240">
        <v>44197.0</v>
      </c>
      <c r="B18" s="241">
        <v>280.0</v>
      </c>
      <c r="C18" s="241">
        <v>545.0</v>
      </c>
      <c r="D18" s="241">
        <v>410.0</v>
      </c>
      <c r="E18" s="241">
        <v>452.0</v>
      </c>
      <c r="F18" s="241">
        <v>108.0</v>
      </c>
      <c r="G18" s="241">
        <v>713.0</v>
      </c>
      <c r="H18" s="241">
        <v>1735.0</v>
      </c>
      <c r="I18" s="241">
        <v>785.0</v>
      </c>
      <c r="J18" s="241">
        <v>388.0</v>
      </c>
      <c r="K18" s="241">
        <v>968.0</v>
      </c>
      <c r="L18" s="241">
        <v>105.0</v>
      </c>
      <c r="M18" s="241">
        <v>115.0</v>
      </c>
      <c r="N18" s="241">
        <v>163.0</v>
      </c>
      <c r="O18" s="241">
        <v>131.0</v>
      </c>
      <c r="P18" s="241">
        <v>81.0</v>
      </c>
      <c r="Q18" s="241">
        <v>717.0</v>
      </c>
      <c r="R18" s="241">
        <v>488.0</v>
      </c>
      <c r="S18" s="241">
        <v>49.0</v>
      </c>
      <c r="T18" s="241">
        <v>303.0</v>
      </c>
      <c r="U18" s="241">
        <v>243.0</v>
      </c>
      <c r="V18" s="241">
        <v>10.0</v>
      </c>
      <c r="W18" s="241">
        <v>494.0</v>
      </c>
      <c r="X18" s="241">
        <v>422.0</v>
      </c>
      <c r="Y18" s="241">
        <v>680.0</v>
      </c>
      <c r="Z18" s="241">
        <v>282.0</v>
      </c>
      <c r="AA18" s="241">
        <v>1679.0</v>
      </c>
      <c r="AB18" s="241">
        <v>375.0</v>
      </c>
      <c r="AC18" s="241">
        <v>4023.0</v>
      </c>
      <c r="AD18" s="241">
        <v>75.0</v>
      </c>
      <c r="AE18" s="241">
        <v>179.0</v>
      </c>
      <c r="AF18" s="241">
        <v>519.0</v>
      </c>
      <c r="AG18" s="241">
        <v>239.0</v>
      </c>
      <c r="AH18" s="241">
        <v>308.0</v>
      </c>
      <c r="AI18" s="241">
        <v>255.0</v>
      </c>
      <c r="AJ18" s="241">
        <v>1516.0</v>
      </c>
      <c r="AK18" s="241">
        <v>141.0</v>
      </c>
      <c r="AL18" s="241">
        <v>586.0</v>
      </c>
      <c r="AM18" s="241">
        <v>442.0</v>
      </c>
      <c r="AN18" s="241">
        <v>1071.0</v>
      </c>
      <c r="AO18" s="241">
        <v>1114.0</v>
      </c>
      <c r="AP18" s="241">
        <v>23189.0</v>
      </c>
    </row>
    <row r="19">
      <c r="A19" s="240">
        <v>44228.0</v>
      </c>
      <c r="B19" s="241">
        <v>99.0</v>
      </c>
      <c r="C19" s="241">
        <v>162.0</v>
      </c>
      <c r="D19" s="241">
        <v>156.0</v>
      </c>
      <c r="E19" s="241">
        <v>158.0</v>
      </c>
      <c r="F19" s="241">
        <v>56.0</v>
      </c>
      <c r="G19" s="241">
        <v>260.0</v>
      </c>
      <c r="H19" s="241">
        <v>711.0</v>
      </c>
      <c r="I19" s="241">
        <v>329.0</v>
      </c>
      <c r="J19" s="241">
        <v>143.0</v>
      </c>
      <c r="K19" s="241">
        <v>342.0</v>
      </c>
      <c r="L19" s="241">
        <v>39.0</v>
      </c>
      <c r="M19" s="241">
        <v>48.0</v>
      </c>
      <c r="N19" s="241">
        <v>54.0</v>
      </c>
      <c r="O19" s="241">
        <v>68.0</v>
      </c>
      <c r="P19" s="241">
        <v>20.0</v>
      </c>
      <c r="Q19" s="241">
        <v>308.0</v>
      </c>
      <c r="R19" s="241">
        <v>165.0</v>
      </c>
      <c r="S19" s="241">
        <v>10.0</v>
      </c>
      <c r="T19" s="241">
        <v>87.0</v>
      </c>
      <c r="U19" s="241">
        <v>208.0</v>
      </c>
      <c r="V19" s="241" t="s">
        <v>55</v>
      </c>
      <c r="W19" s="241">
        <v>199.0</v>
      </c>
      <c r="X19" s="241">
        <v>148.0</v>
      </c>
      <c r="Y19" s="241">
        <v>370.0</v>
      </c>
      <c r="Z19" s="241">
        <v>109.0</v>
      </c>
      <c r="AA19" s="241">
        <v>697.0</v>
      </c>
      <c r="AB19" s="241">
        <v>78.0</v>
      </c>
      <c r="AC19" s="241">
        <v>1721.0</v>
      </c>
      <c r="AD19" s="241">
        <v>24.0</v>
      </c>
      <c r="AE19" s="241">
        <v>57.0</v>
      </c>
      <c r="AF19" s="241">
        <v>382.0</v>
      </c>
      <c r="AG19" s="241">
        <v>216.0</v>
      </c>
      <c r="AH19" s="241">
        <v>132.0</v>
      </c>
      <c r="AI19" s="241">
        <v>67.0</v>
      </c>
      <c r="AJ19" s="241">
        <v>573.0</v>
      </c>
      <c r="AK19" s="241">
        <v>32.0</v>
      </c>
      <c r="AL19" s="241">
        <v>227.0</v>
      </c>
      <c r="AM19" s="241">
        <v>201.0</v>
      </c>
      <c r="AN19" s="241">
        <v>328.0</v>
      </c>
      <c r="AO19" s="241">
        <v>473.0</v>
      </c>
      <c r="AP19" s="241">
        <v>9458.0</v>
      </c>
    </row>
    <row r="20">
      <c r="A20" s="242" t="s">
        <v>105</v>
      </c>
      <c r="B20" s="243">
        <v>1055.0</v>
      </c>
      <c r="C20" s="243">
        <v>1823.0</v>
      </c>
      <c r="D20" s="243">
        <v>1541.0</v>
      </c>
      <c r="E20" s="243">
        <v>3631.0</v>
      </c>
      <c r="F20" s="243">
        <v>464.0</v>
      </c>
      <c r="G20" s="243">
        <v>3007.0</v>
      </c>
      <c r="H20" s="243">
        <v>9499.0</v>
      </c>
      <c r="I20" s="243">
        <v>3282.0</v>
      </c>
      <c r="J20" s="243">
        <v>1391.0</v>
      </c>
      <c r="K20" s="243">
        <v>4348.0</v>
      </c>
      <c r="L20" s="243">
        <v>417.0</v>
      </c>
      <c r="M20" s="243">
        <v>411.0</v>
      </c>
      <c r="N20" s="243">
        <v>671.0</v>
      </c>
      <c r="O20" s="243">
        <v>503.0</v>
      </c>
      <c r="P20" s="243">
        <v>294.0</v>
      </c>
      <c r="Q20" s="243">
        <v>3682.0</v>
      </c>
      <c r="R20" s="243">
        <v>2086.0</v>
      </c>
      <c r="S20" s="243">
        <v>146.0</v>
      </c>
      <c r="T20" s="243">
        <v>910.0</v>
      </c>
      <c r="U20" s="243">
        <v>1294.0</v>
      </c>
      <c r="V20" s="243">
        <v>46.0</v>
      </c>
      <c r="W20" s="243">
        <v>1547.0</v>
      </c>
      <c r="X20" s="243">
        <v>1739.0</v>
      </c>
      <c r="Y20" s="243">
        <v>3843.0</v>
      </c>
      <c r="Z20" s="243">
        <v>1054.0</v>
      </c>
      <c r="AA20" s="243">
        <v>9649.0</v>
      </c>
      <c r="AB20" s="243">
        <v>1035.0</v>
      </c>
      <c r="AC20" s="243">
        <v>26308.0</v>
      </c>
      <c r="AD20" s="243">
        <v>297.0</v>
      </c>
      <c r="AE20" s="243">
        <v>755.0</v>
      </c>
      <c r="AF20" s="243">
        <v>2252.0</v>
      </c>
      <c r="AG20" s="243">
        <v>1166.0</v>
      </c>
      <c r="AH20" s="243">
        <v>1121.0</v>
      </c>
      <c r="AI20" s="243">
        <v>929.0</v>
      </c>
      <c r="AJ20" s="243">
        <v>6859.0</v>
      </c>
      <c r="AK20" s="243">
        <v>460.0</v>
      </c>
      <c r="AL20" s="243">
        <v>2699.0</v>
      </c>
      <c r="AM20" s="243">
        <v>1458.0</v>
      </c>
      <c r="AN20" s="243">
        <v>4035.0</v>
      </c>
      <c r="AO20" s="243">
        <v>4302.0</v>
      </c>
      <c r="AP20" s="243">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328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329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ht="68.25" customHeight="1">
      <c r="A5" s="142" t="s">
        <v>330</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ht="30.75" customHeight="1">
      <c r="A7" s="244" t="s">
        <v>326</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266</v>
      </c>
    </row>
    <row r="8">
      <c r="A8" s="245" t="s">
        <v>314</v>
      </c>
      <c r="B8" s="135">
        <v>16178.0</v>
      </c>
      <c r="C8" s="135">
        <v>22234.0</v>
      </c>
      <c r="D8" s="135">
        <v>16453.0</v>
      </c>
      <c r="E8" s="135">
        <v>19382.0</v>
      </c>
      <c r="F8" s="135">
        <v>7780.0</v>
      </c>
      <c r="G8" s="135">
        <v>34575.0</v>
      </c>
      <c r="H8" s="135">
        <v>81196.0</v>
      </c>
      <c r="I8" s="135">
        <v>34652.0</v>
      </c>
      <c r="J8" s="135">
        <v>13073.0</v>
      </c>
      <c r="K8" s="135">
        <v>47449.0</v>
      </c>
      <c r="L8" s="135">
        <v>6782.0</v>
      </c>
      <c r="M8" s="135">
        <v>4689.0</v>
      </c>
      <c r="N8" s="135">
        <v>10062.0</v>
      </c>
      <c r="O8" s="135">
        <v>8111.0</v>
      </c>
      <c r="P8" s="135">
        <v>5496.0</v>
      </c>
      <c r="Q8" s="135">
        <v>29235.0</v>
      </c>
      <c r="R8" s="135">
        <v>21644.0</v>
      </c>
      <c r="S8" s="135">
        <v>3505.0</v>
      </c>
      <c r="T8" s="135">
        <v>16078.0</v>
      </c>
      <c r="U8" s="135">
        <v>15550.0</v>
      </c>
      <c r="V8" s="119">
        <v>827.0</v>
      </c>
      <c r="W8" s="135">
        <v>24762.0</v>
      </c>
      <c r="X8" s="135">
        <v>26207.0</v>
      </c>
      <c r="Y8" s="135">
        <v>32459.0</v>
      </c>
      <c r="Z8" s="135">
        <v>12349.0</v>
      </c>
      <c r="AA8" s="135">
        <v>71756.0</v>
      </c>
      <c r="AB8" s="135">
        <v>17418.0</v>
      </c>
      <c r="AC8" s="135">
        <v>179435.0</v>
      </c>
      <c r="AD8" s="135">
        <v>7626.0</v>
      </c>
      <c r="AE8" s="135">
        <v>10603.0</v>
      </c>
      <c r="AF8" s="135">
        <v>21630.0</v>
      </c>
      <c r="AG8" s="135">
        <v>30735.0</v>
      </c>
      <c r="AH8" s="135">
        <v>15816.0</v>
      </c>
      <c r="AI8" s="135">
        <v>10488.0</v>
      </c>
      <c r="AJ8" s="135">
        <v>81079.0</v>
      </c>
      <c r="AK8" s="135">
        <v>6179.0</v>
      </c>
      <c r="AL8" s="135">
        <v>28955.0</v>
      </c>
      <c r="AM8" s="135">
        <v>22624.0</v>
      </c>
      <c r="AN8" s="135">
        <v>41539.0</v>
      </c>
      <c r="AO8" s="135">
        <v>1056611.0</v>
      </c>
    </row>
    <row r="9">
      <c r="A9" s="240">
        <v>43891.0</v>
      </c>
      <c r="B9" s="119">
        <v>68.0</v>
      </c>
      <c r="C9" s="119">
        <v>27.0</v>
      </c>
      <c r="D9" s="119">
        <v>55.0</v>
      </c>
      <c r="E9" s="119">
        <v>31.0</v>
      </c>
      <c r="F9" s="119" t="s">
        <v>163</v>
      </c>
      <c r="G9" s="119">
        <v>35.0</v>
      </c>
      <c r="H9" s="119">
        <v>54.0</v>
      </c>
      <c r="I9" s="119">
        <v>46.0</v>
      </c>
      <c r="J9" s="119">
        <v>0.0</v>
      </c>
      <c r="K9" s="119">
        <v>42.0</v>
      </c>
      <c r="L9" s="119" t="s">
        <v>163</v>
      </c>
      <c r="M9" s="119" t="s">
        <v>163</v>
      </c>
      <c r="N9" s="119" t="s">
        <v>163</v>
      </c>
      <c r="O9" s="119" t="s">
        <v>163</v>
      </c>
      <c r="P9" s="119" t="s">
        <v>163</v>
      </c>
      <c r="Q9" s="119">
        <v>27.0</v>
      </c>
      <c r="R9" s="119">
        <v>60.0</v>
      </c>
      <c r="S9" s="119" t="s">
        <v>163</v>
      </c>
      <c r="T9" s="119">
        <v>44.0</v>
      </c>
      <c r="U9" s="119" t="s">
        <v>163</v>
      </c>
      <c r="V9" s="119">
        <v>0.0</v>
      </c>
      <c r="W9" s="119">
        <v>32.0</v>
      </c>
      <c r="X9" s="119">
        <v>34.0</v>
      </c>
      <c r="Y9" s="119">
        <v>46.0</v>
      </c>
      <c r="Z9" s="119">
        <v>40.0</v>
      </c>
      <c r="AA9" s="119">
        <v>60.0</v>
      </c>
      <c r="AB9" s="119">
        <v>29.0</v>
      </c>
      <c r="AC9" s="119">
        <v>55.0</v>
      </c>
      <c r="AD9" s="119">
        <v>0.0</v>
      </c>
      <c r="AE9" s="119">
        <v>66.0</v>
      </c>
      <c r="AF9" s="119">
        <v>37.0</v>
      </c>
      <c r="AG9" s="119">
        <v>29.0</v>
      </c>
      <c r="AH9" s="119">
        <v>44.0</v>
      </c>
      <c r="AI9" s="119" t="s">
        <v>163</v>
      </c>
      <c r="AJ9" s="119">
        <v>31.0</v>
      </c>
      <c r="AK9" s="119">
        <v>0.0</v>
      </c>
      <c r="AL9" s="119">
        <v>38.0</v>
      </c>
      <c r="AM9" s="119">
        <v>40.0</v>
      </c>
      <c r="AN9" s="119">
        <v>19.0</v>
      </c>
      <c r="AO9" s="119">
        <v>42.0</v>
      </c>
    </row>
    <row r="10">
      <c r="A10" s="240">
        <v>43922.0</v>
      </c>
      <c r="B10" s="119">
        <v>111.0</v>
      </c>
      <c r="C10" s="119">
        <v>193.0</v>
      </c>
      <c r="D10" s="119">
        <v>274.0</v>
      </c>
      <c r="E10" s="119">
        <v>2229.0</v>
      </c>
      <c r="F10" s="119">
        <v>129.0</v>
      </c>
      <c r="G10" s="119">
        <v>208.0</v>
      </c>
      <c r="H10" s="119">
        <v>583.0</v>
      </c>
      <c r="I10" s="119">
        <v>361.0</v>
      </c>
      <c r="J10" s="119">
        <v>329.0</v>
      </c>
      <c r="K10" s="119">
        <v>413.0</v>
      </c>
      <c r="L10" s="119">
        <v>192.0</v>
      </c>
      <c r="M10" s="119">
        <v>213.0</v>
      </c>
      <c r="N10" s="119">
        <v>169.0</v>
      </c>
      <c r="O10" s="119">
        <v>111.0</v>
      </c>
      <c r="P10" s="119">
        <v>91.0</v>
      </c>
      <c r="Q10" s="119">
        <v>503.0</v>
      </c>
      <c r="R10" s="119">
        <v>351.0</v>
      </c>
      <c r="S10" s="119">
        <v>257.0</v>
      </c>
      <c r="T10" s="119">
        <v>106.0</v>
      </c>
      <c r="U10" s="119">
        <v>206.0</v>
      </c>
      <c r="V10" s="119" t="s">
        <v>163</v>
      </c>
      <c r="W10" s="119">
        <v>109.0</v>
      </c>
      <c r="X10" s="119">
        <v>214.0</v>
      </c>
      <c r="Y10" s="119">
        <v>847.0</v>
      </c>
      <c r="Z10" s="119">
        <v>146.0</v>
      </c>
      <c r="AA10" s="119">
        <v>1097.0</v>
      </c>
      <c r="AB10" s="119">
        <v>103.0</v>
      </c>
      <c r="AC10" s="119">
        <v>1435.0</v>
      </c>
      <c r="AD10" s="119">
        <v>197.0</v>
      </c>
      <c r="AE10" s="119">
        <v>217.0</v>
      </c>
      <c r="AF10" s="119">
        <v>245.0</v>
      </c>
      <c r="AG10" s="119">
        <v>143.0</v>
      </c>
      <c r="AH10" s="119">
        <v>291.0</v>
      </c>
      <c r="AI10" s="119">
        <v>238.0</v>
      </c>
      <c r="AJ10" s="119">
        <v>292.0</v>
      </c>
      <c r="AK10" s="119">
        <v>210.0</v>
      </c>
      <c r="AL10" s="119">
        <v>387.0</v>
      </c>
      <c r="AM10" s="119">
        <v>177.0</v>
      </c>
      <c r="AN10" s="119">
        <v>436.0</v>
      </c>
      <c r="AO10" s="119">
        <v>624.0</v>
      </c>
    </row>
    <row r="11">
      <c r="A11" s="240">
        <v>43952.0</v>
      </c>
      <c r="B11" s="119">
        <v>111.0</v>
      </c>
      <c r="C11" s="119">
        <v>157.0</v>
      </c>
      <c r="D11" s="119">
        <v>115.0</v>
      </c>
      <c r="E11" s="119">
        <v>1821.0</v>
      </c>
      <c r="F11" s="119" t="s">
        <v>163</v>
      </c>
      <c r="G11" s="119">
        <v>156.0</v>
      </c>
      <c r="H11" s="119">
        <v>387.0</v>
      </c>
      <c r="I11" s="119">
        <v>156.0</v>
      </c>
      <c r="J11" s="119">
        <v>130.0</v>
      </c>
      <c r="K11" s="119">
        <v>291.0</v>
      </c>
      <c r="L11" s="119">
        <v>133.0</v>
      </c>
      <c r="M11" s="119">
        <v>192.0</v>
      </c>
      <c r="N11" s="119">
        <v>179.0</v>
      </c>
      <c r="O11" s="119">
        <v>62.0</v>
      </c>
      <c r="P11" s="119">
        <v>91.0</v>
      </c>
      <c r="Q11" s="119">
        <v>397.0</v>
      </c>
      <c r="R11" s="119">
        <v>263.0</v>
      </c>
      <c r="S11" s="119" t="s">
        <v>163</v>
      </c>
      <c r="T11" s="119">
        <v>81.0</v>
      </c>
      <c r="U11" s="119">
        <v>51.0</v>
      </c>
      <c r="V11" s="119">
        <v>0.0</v>
      </c>
      <c r="W11" s="119">
        <v>113.0</v>
      </c>
      <c r="X11" s="119">
        <v>92.0</v>
      </c>
      <c r="Y11" s="119">
        <v>474.0</v>
      </c>
      <c r="Z11" s="119">
        <v>194.0</v>
      </c>
      <c r="AA11" s="119">
        <v>766.0</v>
      </c>
      <c r="AB11" s="119">
        <v>121.0</v>
      </c>
      <c r="AC11" s="119">
        <v>1092.0</v>
      </c>
      <c r="AD11" s="119">
        <v>157.0</v>
      </c>
      <c r="AE11" s="119">
        <v>113.0</v>
      </c>
      <c r="AF11" s="119">
        <v>139.0</v>
      </c>
      <c r="AG11" s="119">
        <v>36.0</v>
      </c>
      <c r="AH11" s="119">
        <v>158.0</v>
      </c>
      <c r="AI11" s="119">
        <v>219.0</v>
      </c>
      <c r="AJ11" s="119">
        <v>199.0</v>
      </c>
      <c r="AK11" s="119">
        <v>81.0</v>
      </c>
      <c r="AL11" s="119">
        <v>238.0</v>
      </c>
      <c r="AM11" s="119">
        <v>22.0</v>
      </c>
      <c r="AN11" s="119">
        <v>472.0</v>
      </c>
      <c r="AO11" s="119">
        <v>440.0</v>
      </c>
    </row>
    <row r="12">
      <c r="A12" s="240">
        <v>43983.0</v>
      </c>
      <c r="B12" s="119">
        <v>31.0</v>
      </c>
      <c r="C12" s="119">
        <v>49.0</v>
      </c>
      <c r="D12" s="119">
        <v>36.0</v>
      </c>
      <c r="E12" s="119">
        <v>418.0</v>
      </c>
      <c r="F12" s="119">
        <v>64.0</v>
      </c>
      <c r="G12" s="119">
        <v>26.0</v>
      </c>
      <c r="H12" s="119">
        <v>129.0</v>
      </c>
      <c r="I12" s="119">
        <v>92.0</v>
      </c>
      <c r="J12" s="119">
        <v>92.0</v>
      </c>
      <c r="K12" s="119">
        <v>82.0</v>
      </c>
      <c r="L12" s="119" t="s">
        <v>163</v>
      </c>
      <c r="M12" s="119" t="s">
        <v>163</v>
      </c>
      <c r="N12" s="119" t="s">
        <v>163</v>
      </c>
      <c r="O12" s="119" t="s">
        <v>163</v>
      </c>
      <c r="P12" s="119" t="s">
        <v>163</v>
      </c>
      <c r="Q12" s="119">
        <v>147.0</v>
      </c>
      <c r="R12" s="119">
        <v>92.0</v>
      </c>
      <c r="S12" s="119">
        <v>0.0</v>
      </c>
      <c r="T12" s="119">
        <v>75.0</v>
      </c>
      <c r="U12" s="119" t="s">
        <v>163</v>
      </c>
      <c r="V12" s="119">
        <v>0.0</v>
      </c>
      <c r="W12" s="119">
        <v>117.0</v>
      </c>
      <c r="X12" s="119">
        <v>42.0</v>
      </c>
      <c r="Y12" s="119">
        <v>114.0</v>
      </c>
      <c r="Z12" s="119">
        <v>105.0</v>
      </c>
      <c r="AA12" s="119">
        <v>217.0</v>
      </c>
      <c r="AB12" s="119">
        <v>29.0</v>
      </c>
      <c r="AC12" s="119">
        <v>376.0</v>
      </c>
      <c r="AD12" s="119" t="s">
        <v>163</v>
      </c>
      <c r="AE12" s="119">
        <v>57.0</v>
      </c>
      <c r="AF12" s="119">
        <v>55.0</v>
      </c>
      <c r="AG12" s="119" t="s">
        <v>163</v>
      </c>
      <c r="AH12" s="119">
        <v>32.0</v>
      </c>
      <c r="AI12" s="119">
        <v>67.0</v>
      </c>
      <c r="AJ12" s="119">
        <v>60.0</v>
      </c>
      <c r="AK12" s="119" t="s">
        <v>163</v>
      </c>
      <c r="AL12" s="119">
        <v>124.0</v>
      </c>
      <c r="AM12" s="119">
        <v>44.0</v>
      </c>
      <c r="AN12" s="119">
        <v>169.0</v>
      </c>
      <c r="AO12" s="119">
        <v>146.0</v>
      </c>
    </row>
    <row r="13">
      <c r="A13" s="240">
        <v>44013.0</v>
      </c>
      <c r="B13" s="119">
        <v>56.0</v>
      </c>
      <c r="C13" s="119">
        <v>139.0</v>
      </c>
      <c r="D13" s="119">
        <v>109.0</v>
      </c>
      <c r="E13" s="119">
        <v>557.0</v>
      </c>
      <c r="F13" s="119">
        <v>129.0</v>
      </c>
      <c r="G13" s="119">
        <v>107.0</v>
      </c>
      <c r="H13" s="119">
        <v>240.0</v>
      </c>
      <c r="I13" s="119">
        <v>101.0</v>
      </c>
      <c r="J13" s="119">
        <v>161.0</v>
      </c>
      <c r="K13" s="119">
        <v>124.0</v>
      </c>
      <c r="L13" s="119" t="s">
        <v>163</v>
      </c>
      <c r="M13" s="119" t="s">
        <v>163</v>
      </c>
      <c r="N13" s="119">
        <v>50.0</v>
      </c>
      <c r="O13" s="119">
        <v>62.0</v>
      </c>
      <c r="P13" s="119">
        <v>109.0</v>
      </c>
      <c r="Q13" s="119">
        <v>181.0</v>
      </c>
      <c r="R13" s="119">
        <v>129.0</v>
      </c>
      <c r="S13" s="119" t="s">
        <v>163</v>
      </c>
      <c r="T13" s="119">
        <v>131.0</v>
      </c>
      <c r="U13" s="119">
        <v>51.0</v>
      </c>
      <c r="V13" s="119" t="s">
        <v>163</v>
      </c>
      <c r="W13" s="119">
        <v>129.0</v>
      </c>
      <c r="X13" s="119">
        <v>42.0</v>
      </c>
      <c r="Y13" s="119">
        <v>320.0</v>
      </c>
      <c r="Z13" s="119">
        <v>170.0</v>
      </c>
      <c r="AA13" s="119">
        <v>379.0</v>
      </c>
      <c r="AB13" s="119">
        <v>57.0</v>
      </c>
      <c r="AC13" s="119">
        <v>343.0</v>
      </c>
      <c r="AD13" s="119" t="s">
        <v>163</v>
      </c>
      <c r="AE13" s="119">
        <v>75.0</v>
      </c>
      <c r="AF13" s="119">
        <v>157.0</v>
      </c>
      <c r="AG13" s="119">
        <v>26.0</v>
      </c>
      <c r="AH13" s="119">
        <v>70.0</v>
      </c>
      <c r="AI13" s="119">
        <v>143.0</v>
      </c>
      <c r="AJ13" s="119">
        <v>141.0</v>
      </c>
      <c r="AK13" s="119">
        <v>81.0</v>
      </c>
      <c r="AL13" s="119">
        <v>186.0</v>
      </c>
      <c r="AM13" s="119">
        <v>53.0</v>
      </c>
      <c r="AN13" s="119">
        <v>154.0</v>
      </c>
      <c r="AO13" s="119">
        <v>201.0</v>
      </c>
    </row>
    <row r="14">
      <c r="A14" s="240">
        <v>44044.0</v>
      </c>
      <c r="B14" s="119" t="s">
        <v>163</v>
      </c>
      <c r="C14" s="119">
        <v>148.0</v>
      </c>
      <c r="D14" s="119">
        <v>67.0</v>
      </c>
      <c r="E14" s="119">
        <v>686.0</v>
      </c>
      <c r="F14" s="119" t="s">
        <v>163</v>
      </c>
      <c r="G14" s="119">
        <v>98.0</v>
      </c>
      <c r="H14" s="119">
        <v>291.0</v>
      </c>
      <c r="I14" s="119">
        <v>173.0</v>
      </c>
      <c r="J14" s="119">
        <v>184.0</v>
      </c>
      <c r="K14" s="119">
        <v>116.0</v>
      </c>
      <c r="L14" s="119">
        <v>118.0</v>
      </c>
      <c r="M14" s="119">
        <v>149.0</v>
      </c>
      <c r="N14" s="119">
        <v>129.0</v>
      </c>
      <c r="O14" s="119" t="s">
        <v>163</v>
      </c>
      <c r="P14" s="119" t="s">
        <v>163</v>
      </c>
      <c r="Q14" s="119">
        <v>243.0</v>
      </c>
      <c r="R14" s="119">
        <v>171.0</v>
      </c>
      <c r="S14" s="119">
        <v>0.0</v>
      </c>
      <c r="T14" s="119">
        <v>68.0</v>
      </c>
      <c r="U14" s="119">
        <v>219.0</v>
      </c>
      <c r="V14" s="119" t="s">
        <v>163</v>
      </c>
      <c r="W14" s="119">
        <v>85.0</v>
      </c>
      <c r="X14" s="119">
        <v>183.0</v>
      </c>
      <c r="Y14" s="119">
        <v>277.0</v>
      </c>
      <c r="Z14" s="119">
        <v>65.0</v>
      </c>
      <c r="AA14" s="119">
        <v>360.0</v>
      </c>
      <c r="AB14" s="119">
        <v>69.0</v>
      </c>
      <c r="AC14" s="119">
        <v>511.0</v>
      </c>
      <c r="AD14" s="119" t="s">
        <v>163</v>
      </c>
      <c r="AE14" s="119">
        <v>104.0</v>
      </c>
      <c r="AF14" s="119">
        <v>166.0</v>
      </c>
      <c r="AG14" s="119">
        <v>98.0</v>
      </c>
      <c r="AH14" s="119">
        <v>89.0</v>
      </c>
      <c r="AI14" s="119" t="s">
        <v>163</v>
      </c>
      <c r="AJ14" s="119">
        <v>131.0</v>
      </c>
      <c r="AK14" s="119">
        <v>81.0</v>
      </c>
      <c r="AL14" s="119">
        <v>135.0</v>
      </c>
      <c r="AM14" s="119">
        <v>57.0</v>
      </c>
      <c r="AN14" s="119">
        <v>214.0</v>
      </c>
      <c r="AO14" s="119">
        <v>240.0</v>
      </c>
    </row>
    <row r="15">
      <c r="A15" s="240">
        <v>44075.0</v>
      </c>
      <c r="B15" s="119">
        <v>99.0</v>
      </c>
      <c r="C15" s="119">
        <v>144.0</v>
      </c>
      <c r="D15" s="119">
        <v>164.0</v>
      </c>
      <c r="E15" s="119">
        <v>459.0</v>
      </c>
      <c r="F15" s="119">
        <v>90.0</v>
      </c>
      <c r="G15" s="119">
        <v>104.0</v>
      </c>
      <c r="H15" s="119">
        <v>201.0</v>
      </c>
      <c r="I15" s="119">
        <v>231.0</v>
      </c>
      <c r="J15" s="119">
        <v>61.0</v>
      </c>
      <c r="K15" s="119">
        <v>124.0</v>
      </c>
      <c r="L15" s="119" t="s">
        <v>163</v>
      </c>
      <c r="M15" s="119" t="s">
        <v>163</v>
      </c>
      <c r="N15" s="119" t="s">
        <v>163</v>
      </c>
      <c r="O15" s="119">
        <v>74.0</v>
      </c>
      <c r="P15" s="119">
        <v>91.0</v>
      </c>
      <c r="Q15" s="119">
        <v>294.0</v>
      </c>
      <c r="R15" s="119">
        <v>162.0</v>
      </c>
      <c r="S15" s="119">
        <v>0.0</v>
      </c>
      <c r="T15" s="119">
        <v>44.0</v>
      </c>
      <c r="U15" s="119">
        <v>579.0</v>
      </c>
      <c r="V15" s="119">
        <v>0.0</v>
      </c>
      <c r="W15" s="119">
        <v>121.0</v>
      </c>
      <c r="X15" s="119">
        <v>111.0</v>
      </c>
      <c r="Y15" s="119">
        <v>290.0</v>
      </c>
      <c r="Z15" s="119">
        <v>186.0</v>
      </c>
      <c r="AA15" s="119">
        <v>355.0</v>
      </c>
      <c r="AB15" s="119">
        <v>57.0</v>
      </c>
      <c r="AC15" s="119">
        <v>527.0</v>
      </c>
      <c r="AD15" s="119" t="s">
        <v>163</v>
      </c>
      <c r="AE15" s="119">
        <v>94.0</v>
      </c>
      <c r="AF15" s="119">
        <v>185.0</v>
      </c>
      <c r="AG15" s="119">
        <v>85.0</v>
      </c>
      <c r="AH15" s="119">
        <v>114.0</v>
      </c>
      <c r="AI15" s="119">
        <v>95.0</v>
      </c>
      <c r="AJ15" s="119">
        <v>147.0</v>
      </c>
      <c r="AK15" s="119">
        <v>81.0</v>
      </c>
      <c r="AL15" s="119">
        <v>142.0</v>
      </c>
      <c r="AM15" s="119">
        <v>155.0</v>
      </c>
      <c r="AN15" s="119">
        <v>144.0</v>
      </c>
      <c r="AO15" s="119">
        <v>242.0</v>
      </c>
    </row>
    <row r="16">
      <c r="A16" s="240">
        <v>44105.0</v>
      </c>
      <c r="B16" s="119">
        <v>420.0</v>
      </c>
      <c r="C16" s="119">
        <v>441.0</v>
      </c>
      <c r="D16" s="119">
        <v>456.0</v>
      </c>
      <c r="E16" s="119">
        <v>2028.0</v>
      </c>
      <c r="F16" s="119">
        <v>231.0</v>
      </c>
      <c r="G16" s="119">
        <v>469.0</v>
      </c>
      <c r="H16" s="119">
        <v>931.0</v>
      </c>
      <c r="I16" s="119">
        <v>646.0</v>
      </c>
      <c r="J16" s="119">
        <v>750.0</v>
      </c>
      <c r="K16" s="119">
        <v>554.0</v>
      </c>
      <c r="L16" s="119">
        <v>206.0</v>
      </c>
      <c r="M16" s="119">
        <v>640.0</v>
      </c>
      <c r="N16" s="119">
        <v>427.0</v>
      </c>
      <c r="O16" s="119">
        <v>160.0</v>
      </c>
      <c r="P16" s="119">
        <v>309.0</v>
      </c>
      <c r="Q16" s="119">
        <v>906.0</v>
      </c>
      <c r="R16" s="119">
        <v>647.0</v>
      </c>
      <c r="S16" s="119">
        <v>314.0</v>
      </c>
      <c r="T16" s="119">
        <v>243.0</v>
      </c>
      <c r="U16" s="119">
        <v>1363.0</v>
      </c>
      <c r="V16" s="119" t="s">
        <v>163</v>
      </c>
      <c r="W16" s="119">
        <v>258.0</v>
      </c>
      <c r="X16" s="119">
        <v>439.0</v>
      </c>
      <c r="Y16" s="119">
        <v>1023.0</v>
      </c>
      <c r="Z16" s="119">
        <v>534.0</v>
      </c>
      <c r="AA16" s="119">
        <v>1214.0</v>
      </c>
      <c r="AB16" s="119">
        <v>322.0</v>
      </c>
      <c r="AC16" s="119">
        <v>1160.0</v>
      </c>
      <c r="AD16" s="119">
        <v>236.0</v>
      </c>
      <c r="AE16" s="119">
        <v>358.0</v>
      </c>
      <c r="AF16" s="119">
        <v>569.0</v>
      </c>
      <c r="AG16" s="119">
        <v>442.0</v>
      </c>
      <c r="AH16" s="119">
        <v>506.0</v>
      </c>
      <c r="AI16" s="119">
        <v>534.0</v>
      </c>
      <c r="AJ16" s="119">
        <v>556.0</v>
      </c>
      <c r="AK16" s="119">
        <v>696.0</v>
      </c>
      <c r="AL16" s="119">
        <v>642.0</v>
      </c>
      <c r="AM16" s="119">
        <v>318.0</v>
      </c>
      <c r="AN16" s="119">
        <v>568.0</v>
      </c>
      <c r="AO16" s="119">
        <v>771.0</v>
      </c>
    </row>
    <row r="17">
      <c r="A17" s="240">
        <v>44136.0</v>
      </c>
      <c r="B17" s="119">
        <v>1162.0</v>
      </c>
      <c r="C17" s="119">
        <v>1525.0</v>
      </c>
      <c r="D17" s="119">
        <v>1459.0</v>
      </c>
      <c r="E17" s="119">
        <v>4014.0</v>
      </c>
      <c r="F17" s="119">
        <v>1041.0</v>
      </c>
      <c r="G17" s="119">
        <v>2094.0</v>
      </c>
      <c r="H17" s="119">
        <v>2792.0</v>
      </c>
      <c r="I17" s="119">
        <v>1555.0</v>
      </c>
      <c r="J17" s="119">
        <v>2165.0</v>
      </c>
      <c r="K17" s="119">
        <v>1749.0</v>
      </c>
      <c r="L17" s="119">
        <v>1371.0</v>
      </c>
      <c r="M17" s="119">
        <v>1663.0</v>
      </c>
      <c r="N17" s="119">
        <v>1272.0</v>
      </c>
      <c r="O17" s="119">
        <v>1319.0</v>
      </c>
      <c r="P17" s="119">
        <v>983.0</v>
      </c>
      <c r="Q17" s="119">
        <v>2791.0</v>
      </c>
      <c r="R17" s="119">
        <v>2028.0</v>
      </c>
      <c r="S17" s="119">
        <v>371.0</v>
      </c>
      <c r="T17" s="119">
        <v>628.0</v>
      </c>
      <c r="U17" s="119">
        <v>1106.0</v>
      </c>
      <c r="V17" s="119">
        <v>1209.0</v>
      </c>
      <c r="W17" s="119">
        <v>792.0</v>
      </c>
      <c r="X17" s="119">
        <v>1614.0</v>
      </c>
      <c r="Y17" s="119">
        <v>2329.0</v>
      </c>
      <c r="Z17" s="119">
        <v>1223.0</v>
      </c>
      <c r="AA17" s="119">
        <v>2605.0</v>
      </c>
      <c r="AB17" s="119">
        <v>666.0</v>
      </c>
      <c r="AC17" s="119">
        <v>2860.0</v>
      </c>
      <c r="AD17" s="119">
        <v>826.0</v>
      </c>
      <c r="AE17" s="119">
        <v>1490.0</v>
      </c>
      <c r="AF17" s="119">
        <v>1974.0</v>
      </c>
      <c r="AG17" s="119">
        <v>664.0</v>
      </c>
      <c r="AH17" s="119">
        <v>898.0</v>
      </c>
      <c r="AI17" s="119">
        <v>1297.0</v>
      </c>
      <c r="AJ17" s="119">
        <v>2024.0</v>
      </c>
      <c r="AK17" s="119">
        <v>1457.0</v>
      </c>
      <c r="AL17" s="119">
        <v>2262.0</v>
      </c>
      <c r="AM17" s="119">
        <v>946.0</v>
      </c>
      <c r="AN17" s="119">
        <v>1418.0</v>
      </c>
      <c r="AO17" s="119">
        <v>2066.0</v>
      </c>
    </row>
    <row r="18">
      <c r="A18" s="240">
        <v>44166.0</v>
      </c>
      <c r="B18" s="119">
        <v>2095.0</v>
      </c>
      <c r="C18" s="119">
        <v>2195.0</v>
      </c>
      <c r="D18" s="119">
        <v>3191.0</v>
      </c>
      <c r="E18" s="119">
        <v>3343.0</v>
      </c>
      <c r="F18" s="119">
        <v>2082.0</v>
      </c>
      <c r="G18" s="119">
        <v>2586.0</v>
      </c>
      <c r="H18" s="119">
        <v>3079.0</v>
      </c>
      <c r="I18" s="119">
        <v>2894.0</v>
      </c>
      <c r="J18" s="119">
        <v>2708.0</v>
      </c>
      <c r="K18" s="119">
        <v>2906.0</v>
      </c>
      <c r="L18" s="119">
        <v>1858.0</v>
      </c>
      <c r="M18" s="119">
        <v>2282.0</v>
      </c>
      <c r="N18" s="119">
        <v>2206.0</v>
      </c>
      <c r="O18" s="119">
        <v>1899.0</v>
      </c>
      <c r="P18" s="119">
        <v>1674.0</v>
      </c>
      <c r="Q18" s="119">
        <v>3598.0</v>
      </c>
      <c r="R18" s="119">
        <v>2717.0</v>
      </c>
      <c r="S18" s="119">
        <v>1341.0</v>
      </c>
      <c r="T18" s="119">
        <v>1816.0</v>
      </c>
      <c r="U18" s="119">
        <v>1807.0</v>
      </c>
      <c r="V18" s="119">
        <v>2056.0</v>
      </c>
      <c r="W18" s="119">
        <v>1692.0</v>
      </c>
      <c r="X18" s="119">
        <v>1690.0</v>
      </c>
      <c r="Y18" s="119">
        <v>2884.0</v>
      </c>
      <c r="Z18" s="119">
        <v>2705.0</v>
      </c>
      <c r="AA18" s="119">
        <v>3083.0</v>
      </c>
      <c r="AB18" s="119">
        <v>1889.0</v>
      </c>
      <c r="AC18" s="119">
        <v>3101.0</v>
      </c>
      <c r="AD18" s="119">
        <v>1062.0</v>
      </c>
      <c r="AE18" s="119">
        <v>2320.0</v>
      </c>
      <c r="AF18" s="119">
        <v>2718.0</v>
      </c>
      <c r="AG18" s="119">
        <v>787.0</v>
      </c>
      <c r="AH18" s="119">
        <v>2105.0</v>
      </c>
      <c r="AI18" s="119">
        <v>3137.0</v>
      </c>
      <c r="AJ18" s="119">
        <v>2303.0</v>
      </c>
      <c r="AK18" s="119">
        <v>1942.0</v>
      </c>
      <c r="AL18" s="119">
        <v>2359.0</v>
      </c>
      <c r="AM18" s="119">
        <v>1790.0</v>
      </c>
      <c r="AN18" s="119">
        <v>2752.0</v>
      </c>
      <c r="AO18" s="119">
        <v>2741.0</v>
      </c>
    </row>
    <row r="19">
      <c r="A19" s="240">
        <v>44197.0</v>
      </c>
      <c r="B19" s="119">
        <v>1731.0</v>
      </c>
      <c r="C19" s="119">
        <v>2451.0</v>
      </c>
      <c r="D19" s="119">
        <v>2492.0</v>
      </c>
      <c r="E19" s="119">
        <v>2332.0</v>
      </c>
      <c r="F19" s="119">
        <v>1388.0</v>
      </c>
      <c r="G19" s="119">
        <v>2062.0</v>
      </c>
      <c r="H19" s="119">
        <v>2137.0</v>
      </c>
      <c r="I19" s="119">
        <v>2265.0</v>
      </c>
      <c r="J19" s="119">
        <v>2968.0</v>
      </c>
      <c r="K19" s="119">
        <v>2040.0</v>
      </c>
      <c r="L19" s="119">
        <v>1548.0</v>
      </c>
      <c r="M19" s="119">
        <v>2453.0</v>
      </c>
      <c r="N19" s="119">
        <v>1620.0</v>
      </c>
      <c r="O19" s="119">
        <v>1615.0</v>
      </c>
      <c r="P19" s="119">
        <v>1474.0</v>
      </c>
      <c r="Q19" s="119">
        <v>2453.0</v>
      </c>
      <c r="R19" s="119">
        <v>2255.0</v>
      </c>
      <c r="S19" s="119">
        <v>1398.0</v>
      </c>
      <c r="T19" s="119">
        <v>1885.0</v>
      </c>
      <c r="U19" s="119">
        <v>1563.0</v>
      </c>
      <c r="V19" s="119">
        <v>1209.0</v>
      </c>
      <c r="W19" s="119">
        <v>1995.0</v>
      </c>
      <c r="X19" s="119">
        <v>1610.0</v>
      </c>
      <c r="Y19" s="119">
        <v>2095.0</v>
      </c>
      <c r="Z19" s="119">
        <v>2284.0</v>
      </c>
      <c r="AA19" s="119">
        <v>2340.0</v>
      </c>
      <c r="AB19" s="119">
        <v>2153.0</v>
      </c>
      <c r="AC19" s="119">
        <v>2242.0</v>
      </c>
      <c r="AD19" s="119">
        <v>983.0</v>
      </c>
      <c r="AE19" s="119">
        <v>1688.0</v>
      </c>
      <c r="AF19" s="119">
        <v>2399.0</v>
      </c>
      <c r="AG19" s="119">
        <v>778.0</v>
      </c>
      <c r="AH19" s="119">
        <v>1947.0</v>
      </c>
      <c r="AI19" s="119">
        <v>2431.0</v>
      </c>
      <c r="AJ19" s="119">
        <v>1870.0</v>
      </c>
      <c r="AK19" s="119">
        <v>2282.0</v>
      </c>
      <c r="AL19" s="119">
        <v>2024.0</v>
      </c>
      <c r="AM19" s="119">
        <v>1954.0</v>
      </c>
      <c r="AN19" s="119">
        <v>2578.0</v>
      </c>
      <c r="AO19" s="119">
        <v>2195.0</v>
      </c>
    </row>
    <row r="20">
      <c r="A20" s="240">
        <v>44228.0</v>
      </c>
      <c r="B20" s="119">
        <v>612.0</v>
      </c>
      <c r="C20" s="119">
        <v>729.0</v>
      </c>
      <c r="D20" s="119">
        <v>948.0</v>
      </c>
      <c r="E20" s="119">
        <v>815.0</v>
      </c>
      <c r="F20" s="119">
        <v>720.0</v>
      </c>
      <c r="G20" s="119">
        <v>752.0</v>
      </c>
      <c r="H20" s="119">
        <v>876.0</v>
      </c>
      <c r="I20" s="119">
        <v>949.0</v>
      </c>
      <c r="J20" s="119">
        <v>1094.0</v>
      </c>
      <c r="K20" s="119">
        <v>721.0</v>
      </c>
      <c r="L20" s="119">
        <v>575.0</v>
      </c>
      <c r="M20" s="119">
        <v>1024.0</v>
      </c>
      <c r="N20" s="119">
        <v>537.0</v>
      </c>
      <c r="O20" s="119">
        <v>838.0</v>
      </c>
      <c r="P20" s="119">
        <v>364.0</v>
      </c>
      <c r="Q20" s="119">
        <v>1054.0</v>
      </c>
      <c r="R20" s="119">
        <v>762.0</v>
      </c>
      <c r="S20" s="119">
        <v>285.0</v>
      </c>
      <c r="T20" s="119">
        <v>541.0</v>
      </c>
      <c r="U20" s="119">
        <v>1338.0</v>
      </c>
      <c r="V20" s="119" t="s">
        <v>163</v>
      </c>
      <c r="W20" s="119">
        <v>804.0</v>
      </c>
      <c r="X20" s="119">
        <v>565.0</v>
      </c>
      <c r="Y20" s="119">
        <v>1140.0</v>
      </c>
      <c r="Z20" s="119">
        <v>883.0</v>
      </c>
      <c r="AA20" s="119">
        <v>971.0</v>
      </c>
      <c r="AB20" s="119">
        <v>448.0</v>
      </c>
      <c r="AC20" s="119">
        <v>959.0</v>
      </c>
      <c r="AD20" s="119">
        <v>315.0</v>
      </c>
      <c r="AE20" s="119">
        <v>538.0</v>
      </c>
      <c r="AF20" s="119">
        <v>1766.0</v>
      </c>
      <c r="AG20" s="119">
        <v>703.0</v>
      </c>
      <c r="AH20" s="119">
        <v>835.0</v>
      </c>
      <c r="AI20" s="119">
        <v>639.0</v>
      </c>
      <c r="AJ20" s="119">
        <v>707.0</v>
      </c>
      <c r="AK20" s="119">
        <v>518.0</v>
      </c>
      <c r="AL20" s="119">
        <v>784.0</v>
      </c>
      <c r="AM20" s="119">
        <v>888.0</v>
      </c>
      <c r="AN20" s="119">
        <v>790.0</v>
      </c>
      <c r="AO20" s="119">
        <v>895.0</v>
      </c>
    </row>
    <row r="21">
      <c r="A21" s="242" t="s">
        <v>105</v>
      </c>
      <c r="B21" s="246">
        <v>6521.0</v>
      </c>
      <c r="C21" s="246">
        <v>8199.0</v>
      </c>
      <c r="D21" s="246">
        <v>9366.0</v>
      </c>
      <c r="E21" s="246">
        <v>18734.0</v>
      </c>
      <c r="F21" s="246">
        <v>5964.0</v>
      </c>
      <c r="G21" s="246">
        <v>8697.0</v>
      </c>
      <c r="H21" s="246">
        <v>11699.0</v>
      </c>
      <c r="I21" s="246">
        <v>9471.0</v>
      </c>
      <c r="J21" s="246">
        <v>10640.0</v>
      </c>
      <c r="K21" s="246">
        <v>9164.0</v>
      </c>
      <c r="L21" s="246">
        <v>6149.0</v>
      </c>
      <c r="M21" s="246">
        <v>8765.0</v>
      </c>
      <c r="N21" s="246">
        <v>6669.0</v>
      </c>
      <c r="O21" s="246">
        <v>6201.0</v>
      </c>
      <c r="P21" s="246">
        <v>5349.0</v>
      </c>
      <c r="Q21" s="246">
        <v>12594.0</v>
      </c>
      <c r="R21" s="246">
        <v>9638.0</v>
      </c>
      <c r="S21" s="246">
        <v>4165.0</v>
      </c>
      <c r="T21" s="246">
        <v>5660.0</v>
      </c>
      <c r="U21" s="246">
        <v>8322.0</v>
      </c>
      <c r="V21" s="246">
        <v>5562.0</v>
      </c>
      <c r="W21" s="246">
        <v>6247.0</v>
      </c>
      <c r="X21" s="246">
        <v>6636.0</v>
      </c>
      <c r="Y21" s="246">
        <v>11840.0</v>
      </c>
      <c r="Z21" s="246">
        <v>8535.0</v>
      </c>
      <c r="AA21" s="246">
        <v>13447.0</v>
      </c>
      <c r="AB21" s="246">
        <v>5942.0</v>
      </c>
      <c r="AC21" s="246">
        <v>14662.0</v>
      </c>
      <c r="AD21" s="246">
        <v>3895.0</v>
      </c>
      <c r="AE21" s="246">
        <v>7121.0</v>
      </c>
      <c r="AF21" s="246">
        <v>10411.0</v>
      </c>
      <c r="AG21" s="246">
        <v>3794.0</v>
      </c>
      <c r="AH21" s="246">
        <v>7088.0</v>
      </c>
      <c r="AI21" s="246">
        <v>8858.0</v>
      </c>
      <c r="AJ21" s="246">
        <v>8460.0</v>
      </c>
      <c r="AK21" s="246">
        <v>7445.0</v>
      </c>
      <c r="AL21" s="246">
        <v>9321.0</v>
      </c>
      <c r="AM21" s="246">
        <v>6444.0</v>
      </c>
      <c r="AN21" s="246">
        <v>9714.0</v>
      </c>
      <c r="AO21" s="246">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332</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ht="66.75" customHeight="1">
      <c r="A5" s="142" t="s">
        <v>333</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ht="32.25" customHeight="1">
      <c r="A7" s="238" t="s">
        <v>334</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327</v>
      </c>
      <c r="AP7" s="239" t="s">
        <v>266</v>
      </c>
    </row>
    <row r="8">
      <c r="A8" s="240">
        <v>43891.0</v>
      </c>
      <c r="B8" s="241" t="s">
        <v>55</v>
      </c>
      <c r="C8" s="241" t="s">
        <v>55</v>
      </c>
      <c r="D8" s="241" t="s">
        <v>55</v>
      </c>
      <c r="E8" s="241" t="s">
        <v>55</v>
      </c>
      <c r="F8" s="241">
        <v>0.0</v>
      </c>
      <c r="G8" s="241" t="s">
        <v>55</v>
      </c>
      <c r="H8" s="241">
        <v>14.0</v>
      </c>
      <c r="I8" s="241" t="s">
        <v>55</v>
      </c>
      <c r="J8" s="241">
        <v>0.0</v>
      </c>
      <c r="K8" s="241">
        <v>6.0</v>
      </c>
      <c r="L8" s="241">
        <v>0.0</v>
      </c>
      <c r="M8" s="241">
        <v>0.0</v>
      </c>
      <c r="N8" s="241">
        <v>0.0</v>
      </c>
      <c r="O8" s="241">
        <v>0.0</v>
      </c>
      <c r="P8" s="241" t="s">
        <v>55</v>
      </c>
      <c r="Q8" s="241" t="s">
        <v>55</v>
      </c>
      <c r="R8" s="241" t="s">
        <v>55</v>
      </c>
      <c r="S8" s="241">
        <v>0.0</v>
      </c>
      <c r="T8" s="241" t="s">
        <v>55</v>
      </c>
      <c r="U8" s="241">
        <v>0.0</v>
      </c>
      <c r="V8" s="241">
        <v>0.0</v>
      </c>
      <c r="W8" s="241" t="s">
        <v>55</v>
      </c>
      <c r="X8" s="241" t="s">
        <v>55</v>
      </c>
      <c r="Y8" s="241">
        <v>5.0</v>
      </c>
      <c r="Z8" s="241" t="s">
        <v>55</v>
      </c>
      <c r="AA8" s="241">
        <v>11.0</v>
      </c>
      <c r="AB8" s="241" t="s">
        <v>55</v>
      </c>
      <c r="AC8" s="241">
        <v>33.0</v>
      </c>
      <c r="AD8" s="241">
        <v>0.0</v>
      </c>
      <c r="AE8" s="241">
        <v>0.0</v>
      </c>
      <c r="AF8" s="241" t="s">
        <v>55</v>
      </c>
      <c r="AG8" s="241" t="s">
        <v>55</v>
      </c>
      <c r="AH8" s="241">
        <v>0.0</v>
      </c>
      <c r="AI8" s="241">
        <v>0.0</v>
      </c>
      <c r="AJ8" s="241" t="s">
        <v>55</v>
      </c>
      <c r="AK8" s="241">
        <v>0.0</v>
      </c>
      <c r="AL8" s="241" t="s">
        <v>55</v>
      </c>
      <c r="AM8" s="241" t="s">
        <v>55</v>
      </c>
      <c r="AN8" s="241" t="s">
        <v>55</v>
      </c>
      <c r="AO8" s="241">
        <v>0.0</v>
      </c>
      <c r="AP8" s="241">
        <v>112.0</v>
      </c>
    </row>
    <row r="9">
      <c r="A9" s="240">
        <v>43922.0</v>
      </c>
      <c r="B9" s="241">
        <v>0.0</v>
      </c>
      <c r="C9" s="241">
        <v>6.0</v>
      </c>
      <c r="D9" s="241" t="s">
        <v>55</v>
      </c>
      <c r="E9" s="241">
        <v>39.0</v>
      </c>
      <c r="F9" s="241">
        <v>0.0</v>
      </c>
      <c r="G9" s="241" t="s">
        <v>55</v>
      </c>
      <c r="H9" s="241">
        <v>41.0</v>
      </c>
      <c r="I9" s="241">
        <v>12.0</v>
      </c>
      <c r="J9" s="241">
        <v>0.0</v>
      </c>
      <c r="K9" s="241">
        <v>16.0</v>
      </c>
      <c r="L9" s="241">
        <v>0.0</v>
      </c>
      <c r="M9" s="241">
        <v>0.0</v>
      </c>
      <c r="N9" s="241">
        <v>0.0</v>
      </c>
      <c r="O9" s="241" t="s">
        <v>55</v>
      </c>
      <c r="P9" s="241" t="s">
        <v>55</v>
      </c>
      <c r="Q9" s="241">
        <v>15.0</v>
      </c>
      <c r="R9" s="241">
        <v>6.0</v>
      </c>
      <c r="S9" s="241">
        <v>0.0</v>
      </c>
      <c r="T9" s="241" t="s">
        <v>55</v>
      </c>
      <c r="U9" s="241" t="s">
        <v>55</v>
      </c>
      <c r="V9" s="241">
        <v>0.0</v>
      </c>
      <c r="W9" s="241">
        <v>0.0</v>
      </c>
      <c r="X9" s="241" t="s">
        <v>55</v>
      </c>
      <c r="Y9" s="241">
        <v>32.0</v>
      </c>
      <c r="Z9" s="241" t="s">
        <v>55</v>
      </c>
      <c r="AA9" s="241">
        <v>60.0</v>
      </c>
      <c r="AB9" s="241">
        <v>0.0</v>
      </c>
      <c r="AC9" s="241">
        <v>282.0</v>
      </c>
      <c r="AD9" s="241" t="s">
        <v>55</v>
      </c>
      <c r="AE9" s="241">
        <v>0.0</v>
      </c>
      <c r="AF9" s="241">
        <v>6.0</v>
      </c>
      <c r="AG9" s="241">
        <v>7.0</v>
      </c>
      <c r="AH9" s="241">
        <v>0.0</v>
      </c>
      <c r="AI9" s="241" t="s">
        <v>55</v>
      </c>
      <c r="AJ9" s="241">
        <v>21.0</v>
      </c>
      <c r="AK9" s="241">
        <v>0.0</v>
      </c>
      <c r="AL9" s="241" t="s">
        <v>55</v>
      </c>
      <c r="AM9" s="241" t="s">
        <v>55</v>
      </c>
      <c r="AN9" s="241">
        <v>20.0</v>
      </c>
      <c r="AO9" s="241">
        <v>26.0</v>
      </c>
      <c r="AP9" s="241">
        <v>621.0</v>
      </c>
    </row>
    <row r="10">
      <c r="A10" s="240">
        <v>43952.0</v>
      </c>
      <c r="B10" s="241" t="s">
        <v>55</v>
      </c>
      <c r="C10" s="241" t="s">
        <v>55</v>
      </c>
      <c r="D10" s="241" t="s">
        <v>55</v>
      </c>
      <c r="E10" s="241">
        <v>38.0</v>
      </c>
      <c r="F10" s="241">
        <v>0.0</v>
      </c>
      <c r="G10" s="241" t="s">
        <v>55</v>
      </c>
      <c r="H10" s="241">
        <v>30.0</v>
      </c>
      <c r="I10" s="241">
        <v>7.0</v>
      </c>
      <c r="J10" s="241">
        <v>0.0</v>
      </c>
      <c r="K10" s="241">
        <v>5.0</v>
      </c>
      <c r="L10" s="241" t="s">
        <v>55</v>
      </c>
      <c r="M10" s="241" t="s">
        <v>55</v>
      </c>
      <c r="N10" s="241" t="s">
        <v>55</v>
      </c>
      <c r="O10" s="241">
        <v>0.0</v>
      </c>
      <c r="P10" s="241" t="s">
        <v>55</v>
      </c>
      <c r="Q10" s="241">
        <v>17.0</v>
      </c>
      <c r="R10" s="241">
        <v>5.0</v>
      </c>
      <c r="S10" s="241">
        <v>0.0</v>
      </c>
      <c r="T10" s="241" t="s">
        <v>55</v>
      </c>
      <c r="U10" s="241" t="s">
        <v>55</v>
      </c>
      <c r="V10" s="241">
        <v>0.0</v>
      </c>
      <c r="W10" s="241" t="s">
        <v>55</v>
      </c>
      <c r="X10" s="241" t="s">
        <v>55</v>
      </c>
      <c r="Y10" s="241">
        <v>19.0</v>
      </c>
      <c r="Z10" s="241">
        <v>6.0</v>
      </c>
      <c r="AA10" s="241">
        <v>44.0</v>
      </c>
      <c r="AB10" s="241">
        <v>0.0</v>
      </c>
      <c r="AC10" s="241">
        <v>174.0</v>
      </c>
      <c r="AD10" s="241" t="s">
        <v>55</v>
      </c>
      <c r="AE10" s="241">
        <v>0.0</v>
      </c>
      <c r="AF10" s="241" t="s">
        <v>55</v>
      </c>
      <c r="AG10" s="241">
        <v>6.0</v>
      </c>
      <c r="AH10" s="241" t="s">
        <v>55</v>
      </c>
      <c r="AI10" s="241" t="s">
        <v>55</v>
      </c>
      <c r="AJ10" s="241">
        <v>16.0</v>
      </c>
      <c r="AK10" s="241">
        <v>0.0</v>
      </c>
      <c r="AL10" s="241">
        <v>7.0</v>
      </c>
      <c r="AM10" s="241">
        <v>0.0</v>
      </c>
      <c r="AN10" s="241">
        <v>21.0</v>
      </c>
      <c r="AO10" s="241">
        <v>27.0</v>
      </c>
      <c r="AP10" s="241">
        <v>457.0</v>
      </c>
    </row>
    <row r="11">
      <c r="A11" s="240">
        <v>43983.0</v>
      </c>
      <c r="B11" s="241">
        <v>0.0</v>
      </c>
      <c r="C11" s="241" t="s">
        <v>55</v>
      </c>
      <c r="D11" s="241">
        <v>0.0</v>
      </c>
      <c r="E11" s="241">
        <v>11.0</v>
      </c>
      <c r="F11" s="241" t="s">
        <v>55</v>
      </c>
      <c r="G11" s="241">
        <v>0.0</v>
      </c>
      <c r="H11" s="241">
        <v>10.0</v>
      </c>
      <c r="I11" s="241" t="s">
        <v>55</v>
      </c>
      <c r="J11" s="241" t="s">
        <v>55</v>
      </c>
      <c r="K11" s="241">
        <v>5.0</v>
      </c>
      <c r="L11" s="241">
        <v>0.0</v>
      </c>
      <c r="M11" s="241">
        <v>0.0</v>
      </c>
      <c r="N11" s="241">
        <v>0.0</v>
      </c>
      <c r="O11" s="241">
        <v>0.0</v>
      </c>
      <c r="P11" s="241">
        <v>0.0</v>
      </c>
      <c r="Q11" s="241" t="s">
        <v>55</v>
      </c>
      <c r="R11" s="241" t="s">
        <v>55</v>
      </c>
      <c r="S11" s="241">
        <v>0.0</v>
      </c>
      <c r="T11" s="241">
        <v>0.0</v>
      </c>
      <c r="U11" s="241">
        <v>0.0</v>
      </c>
      <c r="V11" s="241">
        <v>0.0</v>
      </c>
      <c r="W11" s="241">
        <v>6.0</v>
      </c>
      <c r="X11" s="241">
        <v>0.0</v>
      </c>
      <c r="Y11" s="241" t="s">
        <v>55</v>
      </c>
      <c r="Z11" s="241" t="s">
        <v>55</v>
      </c>
      <c r="AA11" s="241">
        <v>18.0</v>
      </c>
      <c r="AB11" s="241">
        <v>0.0</v>
      </c>
      <c r="AC11" s="241">
        <v>85.0</v>
      </c>
      <c r="AD11" s="241">
        <v>0.0</v>
      </c>
      <c r="AE11" s="241">
        <v>0.0</v>
      </c>
      <c r="AF11" s="241" t="s">
        <v>55</v>
      </c>
      <c r="AG11" s="241">
        <v>0.0</v>
      </c>
      <c r="AH11" s="241">
        <v>0.0</v>
      </c>
      <c r="AI11" s="241" t="s">
        <v>55</v>
      </c>
      <c r="AJ11" s="241">
        <v>6.0</v>
      </c>
      <c r="AK11" s="241">
        <v>0.0</v>
      </c>
      <c r="AL11" s="241">
        <v>5.0</v>
      </c>
      <c r="AM11" s="241" t="s">
        <v>55</v>
      </c>
      <c r="AN11" s="241">
        <v>15.0</v>
      </c>
      <c r="AO11" s="241" t="s">
        <v>55</v>
      </c>
      <c r="AP11" s="241">
        <v>188.0</v>
      </c>
    </row>
    <row r="12">
      <c r="A12" s="240">
        <v>44013.0</v>
      </c>
      <c r="B12" s="241" t="s">
        <v>55</v>
      </c>
      <c r="C12" s="241">
        <v>0.0</v>
      </c>
      <c r="D12" s="241" t="s">
        <v>55</v>
      </c>
      <c r="E12" s="241" t="s">
        <v>55</v>
      </c>
      <c r="F12" s="241" t="s">
        <v>55</v>
      </c>
      <c r="G12" s="241" t="s">
        <v>55</v>
      </c>
      <c r="H12" s="241">
        <v>14.0</v>
      </c>
      <c r="I12" s="241" t="s">
        <v>55</v>
      </c>
      <c r="J12" s="241" t="s">
        <v>55</v>
      </c>
      <c r="K12" s="241">
        <v>6.0</v>
      </c>
      <c r="L12" s="241">
        <v>0.0</v>
      </c>
      <c r="M12" s="241">
        <v>0.0</v>
      </c>
      <c r="N12" s="241">
        <v>0.0</v>
      </c>
      <c r="O12" s="241">
        <v>0.0</v>
      </c>
      <c r="P12" s="241">
        <v>0.0</v>
      </c>
      <c r="Q12" s="241">
        <v>0.0</v>
      </c>
      <c r="R12" s="241" t="s">
        <v>55</v>
      </c>
      <c r="S12" s="241">
        <v>0.0</v>
      </c>
      <c r="T12" s="241" t="s">
        <v>55</v>
      </c>
      <c r="U12" s="241" t="s">
        <v>55</v>
      </c>
      <c r="V12" s="241">
        <v>0.0</v>
      </c>
      <c r="W12" s="241" t="s">
        <v>55</v>
      </c>
      <c r="X12" s="241" t="s">
        <v>55</v>
      </c>
      <c r="Y12" s="241" t="s">
        <v>55</v>
      </c>
      <c r="Z12" s="241" t="s">
        <v>55</v>
      </c>
      <c r="AA12" s="241">
        <v>14.0</v>
      </c>
      <c r="AB12" s="241">
        <v>0.0</v>
      </c>
      <c r="AC12" s="241">
        <v>59.0</v>
      </c>
      <c r="AD12" s="241">
        <v>0.0</v>
      </c>
      <c r="AE12" s="241">
        <v>0.0</v>
      </c>
      <c r="AF12" s="241">
        <v>7.0</v>
      </c>
      <c r="AG12" s="241">
        <v>0.0</v>
      </c>
      <c r="AH12" s="241">
        <v>0.0</v>
      </c>
      <c r="AI12" s="241">
        <v>0.0</v>
      </c>
      <c r="AJ12" s="241">
        <v>11.0</v>
      </c>
      <c r="AK12" s="241">
        <v>0.0</v>
      </c>
      <c r="AL12" s="241">
        <v>10.0</v>
      </c>
      <c r="AM12" s="241" t="s">
        <v>55</v>
      </c>
      <c r="AN12" s="241">
        <v>18.0</v>
      </c>
      <c r="AO12" s="241" t="s">
        <v>55</v>
      </c>
      <c r="AP12" s="241">
        <v>173.0</v>
      </c>
    </row>
    <row r="13">
      <c r="A13" s="240">
        <v>44044.0</v>
      </c>
      <c r="B13" s="241">
        <v>0.0</v>
      </c>
      <c r="C13" s="241" t="s">
        <v>55</v>
      </c>
      <c r="D13" s="241" t="s">
        <v>55</v>
      </c>
      <c r="E13" s="241">
        <v>11.0</v>
      </c>
      <c r="F13" s="241">
        <v>0.0</v>
      </c>
      <c r="G13" s="241" t="s">
        <v>55</v>
      </c>
      <c r="H13" s="241">
        <v>17.0</v>
      </c>
      <c r="I13" s="241" t="s">
        <v>55</v>
      </c>
      <c r="J13" s="241" t="s">
        <v>55</v>
      </c>
      <c r="K13" s="241" t="s">
        <v>55</v>
      </c>
      <c r="L13" s="241" t="s">
        <v>55</v>
      </c>
      <c r="M13" s="241">
        <v>0.0</v>
      </c>
      <c r="N13" s="241">
        <v>0.0</v>
      </c>
      <c r="O13" s="241">
        <v>0.0</v>
      </c>
      <c r="P13" s="241">
        <v>0.0</v>
      </c>
      <c r="Q13" s="241" t="s">
        <v>55</v>
      </c>
      <c r="R13" s="241" t="s">
        <v>55</v>
      </c>
      <c r="S13" s="241">
        <v>0.0</v>
      </c>
      <c r="T13" s="241">
        <v>0.0</v>
      </c>
      <c r="U13" s="241" t="s">
        <v>55</v>
      </c>
      <c r="V13" s="241">
        <v>0.0</v>
      </c>
      <c r="W13" s="241" t="s">
        <v>55</v>
      </c>
      <c r="X13" s="241" t="s">
        <v>55</v>
      </c>
      <c r="Y13" s="241">
        <v>13.0</v>
      </c>
      <c r="Z13" s="241">
        <v>0.0</v>
      </c>
      <c r="AA13" s="241">
        <v>22.0</v>
      </c>
      <c r="AB13" s="241">
        <v>0.0</v>
      </c>
      <c r="AC13" s="241">
        <v>95.0</v>
      </c>
      <c r="AD13" s="241">
        <v>0.0</v>
      </c>
      <c r="AE13" s="241">
        <v>0.0</v>
      </c>
      <c r="AF13" s="241" t="s">
        <v>55</v>
      </c>
      <c r="AG13" s="241" t="s">
        <v>55</v>
      </c>
      <c r="AH13" s="241" t="s">
        <v>55</v>
      </c>
      <c r="AI13" s="241" t="s">
        <v>55</v>
      </c>
      <c r="AJ13" s="241">
        <v>13.0</v>
      </c>
      <c r="AK13" s="241">
        <v>0.0</v>
      </c>
      <c r="AL13" s="241">
        <v>5.0</v>
      </c>
      <c r="AM13" s="241" t="s">
        <v>55</v>
      </c>
      <c r="AN13" s="241">
        <v>10.0</v>
      </c>
      <c r="AO13" s="241">
        <v>6.0</v>
      </c>
      <c r="AP13" s="241">
        <v>226.0</v>
      </c>
    </row>
    <row r="14">
      <c r="A14" s="240">
        <v>44075.0</v>
      </c>
      <c r="B14" s="241">
        <v>0.0</v>
      </c>
      <c r="C14" s="241">
        <v>0.0</v>
      </c>
      <c r="D14" s="241" t="s">
        <v>55</v>
      </c>
      <c r="E14" s="241" t="s">
        <v>55</v>
      </c>
      <c r="F14" s="241" t="s">
        <v>55</v>
      </c>
      <c r="G14" s="241" t="s">
        <v>55</v>
      </c>
      <c r="H14" s="241">
        <v>15.0</v>
      </c>
      <c r="I14" s="241">
        <v>7.0</v>
      </c>
      <c r="J14" s="241" t="s">
        <v>55</v>
      </c>
      <c r="K14" s="241" t="s">
        <v>55</v>
      </c>
      <c r="L14" s="241">
        <v>0.0</v>
      </c>
      <c r="M14" s="241">
        <v>0.0</v>
      </c>
      <c r="N14" s="241" t="s">
        <v>55</v>
      </c>
      <c r="O14" s="241">
        <v>0.0</v>
      </c>
      <c r="P14" s="241">
        <v>0.0</v>
      </c>
      <c r="Q14" s="241">
        <v>14.0</v>
      </c>
      <c r="R14" s="241" t="s">
        <v>55</v>
      </c>
      <c r="S14" s="241">
        <v>0.0</v>
      </c>
      <c r="T14" s="241">
        <v>0.0</v>
      </c>
      <c r="U14" s="241" t="s">
        <v>55</v>
      </c>
      <c r="V14" s="241">
        <v>0.0</v>
      </c>
      <c r="W14" s="241" t="s">
        <v>55</v>
      </c>
      <c r="X14" s="241" t="s">
        <v>55</v>
      </c>
      <c r="Y14" s="241">
        <v>6.0</v>
      </c>
      <c r="Z14" s="241" t="s">
        <v>55</v>
      </c>
      <c r="AA14" s="241">
        <v>16.0</v>
      </c>
      <c r="AB14" s="241">
        <v>0.0</v>
      </c>
      <c r="AC14" s="241">
        <v>50.0</v>
      </c>
      <c r="AD14" s="241" t="s">
        <v>55</v>
      </c>
      <c r="AE14" s="241" t="s">
        <v>55</v>
      </c>
      <c r="AF14" s="241" t="s">
        <v>55</v>
      </c>
      <c r="AG14" s="241" t="s">
        <v>55</v>
      </c>
      <c r="AH14" s="241">
        <v>0.0</v>
      </c>
      <c r="AI14" s="241">
        <v>0.0</v>
      </c>
      <c r="AJ14" s="241">
        <v>6.0</v>
      </c>
      <c r="AK14" s="241">
        <v>0.0</v>
      </c>
      <c r="AL14" s="241" t="s">
        <v>55</v>
      </c>
      <c r="AM14" s="241" t="s">
        <v>55</v>
      </c>
      <c r="AN14" s="241">
        <v>7.0</v>
      </c>
      <c r="AO14" s="241" t="s">
        <v>55</v>
      </c>
      <c r="AP14" s="241">
        <v>160.0</v>
      </c>
    </row>
    <row r="15">
      <c r="A15" s="240">
        <v>44105.0</v>
      </c>
      <c r="B15" s="241" t="s">
        <v>55</v>
      </c>
      <c r="C15" s="241" t="s">
        <v>55</v>
      </c>
      <c r="D15" s="241" t="s">
        <v>55</v>
      </c>
      <c r="E15" s="241">
        <v>18.0</v>
      </c>
      <c r="F15" s="241" t="s">
        <v>55</v>
      </c>
      <c r="G15" s="241">
        <v>13.0</v>
      </c>
      <c r="H15" s="241">
        <v>42.0</v>
      </c>
      <c r="I15" s="241">
        <v>14.0</v>
      </c>
      <c r="J15" s="241">
        <v>5.0</v>
      </c>
      <c r="K15" s="241">
        <v>18.0</v>
      </c>
      <c r="L15" s="241" t="s">
        <v>55</v>
      </c>
      <c r="M15" s="241">
        <v>0.0</v>
      </c>
      <c r="N15" s="241">
        <v>5.0</v>
      </c>
      <c r="O15" s="241" t="s">
        <v>55</v>
      </c>
      <c r="P15" s="241">
        <v>0.0</v>
      </c>
      <c r="Q15" s="241">
        <v>16.0</v>
      </c>
      <c r="R15" s="241">
        <v>6.0</v>
      </c>
      <c r="S15" s="241">
        <v>0.0</v>
      </c>
      <c r="T15" s="241" t="s">
        <v>55</v>
      </c>
      <c r="U15" s="241" t="s">
        <v>55</v>
      </c>
      <c r="V15" s="241">
        <v>0.0</v>
      </c>
      <c r="W15" s="241" t="s">
        <v>55</v>
      </c>
      <c r="X15" s="241">
        <v>6.0</v>
      </c>
      <c r="Y15" s="241">
        <v>18.0</v>
      </c>
      <c r="Z15" s="241" t="s">
        <v>55</v>
      </c>
      <c r="AA15" s="241">
        <v>49.0</v>
      </c>
      <c r="AB15" s="241" t="s">
        <v>55</v>
      </c>
      <c r="AC15" s="241">
        <v>148.0</v>
      </c>
      <c r="AD15" s="241" t="s">
        <v>55</v>
      </c>
      <c r="AE15" s="241" t="s">
        <v>55</v>
      </c>
      <c r="AF15" s="241" t="s">
        <v>55</v>
      </c>
      <c r="AG15" s="241" t="s">
        <v>55</v>
      </c>
      <c r="AH15" s="241">
        <v>0.0</v>
      </c>
      <c r="AI15" s="241" t="s">
        <v>55</v>
      </c>
      <c r="AJ15" s="241">
        <v>29.0</v>
      </c>
      <c r="AK15" s="241" t="s">
        <v>55</v>
      </c>
      <c r="AL15" s="241">
        <v>9.0</v>
      </c>
      <c r="AM15" s="241">
        <v>0.0</v>
      </c>
      <c r="AN15" s="241">
        <v>17.0</v>
      </c>
      <c r="AO15" s="241">
        <v>6.0</v>
      </c>
      <c r="AP15" s="241">
        <v>460.0</v>
      </c>
    </row>
    <row r="16">
      <c r="A16" s="240">
        <v>44136.0</v>
      </c>
      <c r="B16" s="241">
        <v>10.0</v>
      </c>
      <c r="C16" s="241">
        <v>15.0</v>
      </c>
      <c r="D16" s="241">
        <v>17.0</v>
      </c>
      <c r="E16" s="241">
        <v>18.0</v>
      </c>
      <c r="F16" s="241" t="s">
        <v>55</v>
      </c>
      <c r="G16" s="241">
        <v>29.0</v>
      </c>
      <c r="H16" s="241">
        <v>119.0</v>
      </c>
      <c r="I16" s="241">
        <v>30.0</v>
      </c>
      <c r="J16" s="241">
        <v>6.0</v>
      </c>
      <c r="K16" s="241">
        <v>54.0</v>
      </c>
      <c r="L16" s="241" t="s">
        <v>55</v>
      </c>
      <c r="M16" s="241" t="s">
        <v>55</v>
      </c>
      <c r="N16" s="241">
        <v>7.0</v>
      </c>
      <c r="O16" s="241">
        <v>6.0</v>
      </c>
      <c r="P16" s="241" t="s">
        <v>55</v>
      </c>
      <c r="Q16" s="241">
        <v>38.0</v>
      </c>
      <c r="R16" s="241">
        <v>35.0</v>
      </c>
      <c r="S16" s="241">
        <v>0.0</v>
      </c>
      <c r="T16" s="241">
        <v>5.0</v>
      </c>
      <c r="U16" s="241">
        <v>12.0</v>
      </c>
      <c r="V16" s="241">
        <v>0.0</v>
      </c>
      <c r="W16" s="241">
        <v>11.0</v>
      </c>
      <c r="X16" s="241">
        <v>21.0</v>
      </c>
      <c r="Y16" s="241">
        <v>41.0</v>
      </c>
      <c r="Z16" s="241">
        <v>12.0</v>
      </c>
      <c r="AA16" s="241">
        <v>108.0</v>
      </c>
      <c r="AB16" s="241" t="s">
        <v>55</v>
      </c>
      <c r="AC16" s="241">
        <v>291.0</v>
      </c>
      <c r="AD16" s="241" t="s">
        <v>55</v>
      </c>
      <c r="AE16" s="241">
        <v>8.0</v>
      </c>
      <c r="AF16" s="241">
        <v>14.0</v>
      </c>
      <c r="AG16" s="241">
        <v>10.0</v>
      </c>
      <c r="AH16" s="241" t="s">
        <v>55</v>
      </c>
      <c r="AI16" s="241">
        <v>6.0</v>
      </c>
      <c r="AJ16" s="241">
        <v>80.0</v>
      </c>
      <c r="AK16" s="241">
        <v>6.0</v>
      </c>
      <c r="AL16" s="241">
        <v>27.0</v>
      </c>
      <c r="AM16" s="241">
        <v>17.0</v>
      </c>
      <c r="AN16" s="241">
        <v>41.0</v>
      </c>
      <c r="AO16" s="241">
        <v>23.0</v>
      </c>
      <c r="AP16" s="241">
        <v>1134.0</v>
      </c>
    </row>
    <row r="17">
      <c r="A17" s="240">
        <v>44166.0</v>
      </c>
      <c r="B17" s="241">
        <v>8.0</v>
      </c>
      <c r="C17" s="241">
        <v>14.0</v>
      </c>
      <c r="D17" s="241">
        <v>10.0</v>
      </c>
      <c r="E17" s="241">
        <v>38.0</v>
      </c>
      <c r="F17" s="241">
        <v>8.0</v>
      </c>
      <c r="G17" s="241">
        <v>37.0</v>
      </c>
      <c r="H17" s="241">
        <v>151.0</v>
      </c>
      <c r="I17" s="241">
        <v>38.0</v>
      </c>
      <c r="J17" s="241">
        <v>14.0</v>
      </c>
      <c r="K17" s="241">
        <v>85.0</v>
      </c>
      <c r="L17" s="241">
        <v>8.0</v>
      </c>
      <c r="M17" s="241" t="s">
        <v>55</v>
      </c>
      <c r="N17" s="241">
        <v>5.0</v>
      </c>
      <c r="O17" s="241">
        <v>7.0</v>
      </c>
      <c r="P17" s="241" t="s">
        <v>55</v>
      </c>
      <c r="Q17" s="241">
        <v>70.0</v>
      </c>
      <c r="R17" s="241">
        <v>28.0</v>
      </c>
      <c r="S17" s="241">
        <v>0.0</v>
      </c>
      <c r="T17" s="241">
        <v>10.0</v>
      </c>
      <c r="U17" s="241">
        <v>5.0</v>
      </c>
      <c r="V17" s="241">
        <v>0.0</v>
      </c>
      <c r="W17" s="241">
        <v>12.0</v>
      </c>
      <c r="X17" s="241">
        <v>26.0</v>
      </c>
      <c r="Y17" s="241">
        <v>60.0</v>
      </c>
      <c r="Z17" s="241">
        <v>15.0</v>
      </c>
      <c r="AA17" s="241">
        <v>126.0</v>
      </c>
      <c r="AB17" s="241">
        <v>8.0</v>
      </c>
      <c r="AC17" s="241">
        <v>324.0</v>
      </c>
      <c r="AD17" s="241" t="s">
        <v>55</v>
      </c>
      <c r="AE17" s="241">
        <v>9.0</v>
      </c>
      <c r="AF17" s="241">
        <v>30.0</v>
      </c>
      <c r="AG17" s="241">
        <v>6.0</v>
      </c>
      <c r="AH17" s="241">
        <v>5.0</v>
      </c>
      <c r="AI17" s="241">
        <v>11.0</v>
      </c>
      <c r="AJ17" s="241">
        <v>123.0</v>
      </c>
      <c r="AK17" s="241" t="s">
        <v>55</v>
      </c>
      <c r="AL17" s="241">
        <v>39.0</v>
      </c>
      <c r="AM17" s="241">
        <v>22.0</v>
      </c>
      <c r="AN17" s="241">
        <v>68.0</v>
      </c>
      <c r="AO17" s="241">
        <v>44.0</v>
      </c>
      <c r="AP17" s="241">
        <v>1475.0</v>
      </c>
    </row>
    <row r="18">
      <c r="A18" s="240">
        <v>44197.0</v>
      </c>
      <c r="B18" s="241">
        <v>9.0</v>
      </c>
      <c r="C18" s="241">
        <v>30.0</v>
      </c>
      <c r="D18" s="241">
        <v>10.0</v>
      </c>
      <c r="E18" s="241">
        <v>34.0</v>
      </c>
      <c r="F18" s="241">
        <v>7.0</v>
      </c>
      <c r="G18" s="241">
        <v>46.0</v>
      </c>
      <c r="H18" s="241">
        <v>107.0</v>
      </c>
      <c r="I18" s="241">
        <v>46.0</v>
      </c>
      <c r="J18" s="241">
        <v>16.0</v>
      </c>
      <c r="K18" s="241">
        <v>68.0</v>
      </c>
      <c r="L18" s="241">
        <v>0.0</v>
      </c>
      <c r="M18" s="241">
        <v>6.0</v>
      </c>
      <c r="N18" s="241">
        <v>5.0</v>
      </c>
      <c r="O18" s="241">
        <v>13.0</v>
      </c>
      <c r="P18" s="241" t="s">
        <v>55</v>
      </c>
      <c r="Q18" s="241">
        <v>47.0</v>
      </c>
      <c r="R18" s="241">
        <v>21.0</v>
      </c>
      <c r="S18" s="241" t="s">
        <v>55</v>
      </c>
      <c r="T18" s="241">
        <v>16.0</v>
      </c>
      <c r="U18" s="241">
        <v>11.0</v>
      </c>
      <c r="V18" s="241">
        <v>0.0</v>
      </c>
      <c r="W18" s="241">
        <v>22.0</v>
      </c>
      <c r="X18" s="241">
        <v>18.0</v>
      </c>
      <c r="Y18" s="241">
        <v>40.0</v>
      </c>
      <c r="Z18" s="241">
        <v>13.0</v>
      </c>
      <c r="AA18" s="241">
        <v>119.0</v>
      </c>
      <c r="AB18" s="241">
        <v>6.0</v>
      </c>
      <c r="AC18" s="241">
        <v>296.0</v>
      </c>
      <c r="AD18" s="241" t="s">
        <v>55</v>
      </c>
      <c r="AE18" s="241">
        <v>10.0</v>
      </c>
      <c r="AF18" s="241">
        <v>27.0</v>
      </c>
      <c r="AG18" s="241">
        <v>10.0</v>
      </c>
      <c r="AH18" s="241" t="s">
        <v>55</v>
      </c>
      <c r="AI18" s="241">
        <v>12.0</v>
      </c>
      <c r="AJ18" s="241">
        <v>91.0</v>
      </c>
      <c r="AK18" s="241">
        <v>7.0</v>
      </c>
      <c r="AL18" s="241">
        <v>35.0</v>
      </c>
      <c r="AM18" s="241">
        <v>20.0</v>
      </c>
      <c r="AN18" s="241">
        <v>69.0</v>
      </c>
      <c r="AO18" s="241">
        <v>53.0</v>
      </c>
      <c r="AP18" s="241">
        <v>1346.0</v>
      </c>
    </row>
    <row r="19">
      <c r="A19" s="240">
        <v>44228.0</v>
      </c>
      <c r="B19" s="241">
        <v>11.0</v>
      </c>
      <c r="C19" s="241">
        <v>10.0</v>
      </c>
      <c r="D19" s="241">
        <v>5.0</v>
      </c>
      <c r="E19" s="241">
        <v>11.0</v>
      </c>
      <c r="F19" s="241" t="s">
        <v>55</v>
      </c>
      <c r="G19" s="241">
        <v>20.0</v>
      </c>
      <c r="H19" s="241">
        <v>65.0</v>
      </c>
      <c r="I19" s="241">
        <v>6.0</v>
      </c>
      <c r="J19" s="241">
        <v>11.0</v>
      </c>
      <c r="K19" s="241">
        <v>34.0</v>
      </c>
      <c r="L19" s="241" t="s">
        <v>55</v>
      </c>
      <c r="M19" s="241" t="s">
        <v>55</v>
      </c>
      <c r="N19" s="241" t="s">
        <v>55</v>
      </c>
      <c r="O19" s="241" t="s">
        <v>55</v>
      </c>
      <c r="P19" s="241" t="s">
        <v>55</v>
      </c>
      <c r="Q19" s="241">
        <v>25.0</v>
      </c>
      <c r="R19" s="241">
        <v>6.0</v>
      </c>
      <c r="S19" s="241">
        <v>0.0</v>
      </c>
      <c r="T19" s="241" t="s">
        <v>55</v>
      </c>
      <c r="U19" s="241" t="s">
        <v>55</v>
      </c>
      <c r="V19" s="241">
        <v>0.0</v>
      </c>
      <c r="W19" s="241" t="s">
        <v>55</v>
      </c>
      <c r="X19" s="241">
        <v>8.0</v>
      </c>
      <c r="Y19" s="241">
        <v>30.0</v>
      </c>
      <c r="Z19" s="241">
        <v>6.0</v>
      </c>
      <c r="AA19" s="241">
        <v>44.0</v>
      </c>
      <c r="AB19" s="241" t="s">
        <v>55</v>
      </c>
      <c r="AC19" s="241">
        <v>136.0</v>
      </c>
      <c r="AD19" s="241">
        <v>0.0</v>
      </c>
      <c r="AE19" s="241" t="s">
        <v>55</v>
      </c>
      <c r="AF19" s="241">
        <v>10.0</v>
      </c>
      <c r="AG19" s="241" t="s">
        <v>55</v>
      </c>
      <c r="AH19" s="241" t="s">
        <v>55</v>
      </c>
      <c r="AI19" s="241">
        <v>7.0</v>
      </c>
      <c r="AJ19" s="241">
        <v>44.0</v>
      </c>
      <c r="AK19" s="241" t="s">
        <v>55</v>
      </c>
      <c r="AL19" s="241">
        <v>25.0</v>
      </c>
      <c r="AM19" s="241">
        <v>14.0</v>
      </c>
      <c r="AN19" s="241">
        <v>22.0</v>
      </c>
      <c r="AO19" s="241">
        <v>20.0</v>
      </c>
      <c r="AP19" s="241">
        <v>603.0</v>
      </c>
    </row>
    <row r="20">
      <c r="A20" s="242" t="s">
        <v>105</v>
      </c>
      <c r="B20" s="243">
        <v>49.0</v>
      </c>
      <c r="C20" s="243">
        <v>86.0</v>
      </c>
      <c r="D20" s="243">
        <v>58.0</v>
      </c>
      <c r="E20" s="243">
        <v>227.0</v>
      </c>
      <c r="F20" s="243">
        <v>25.0</v>
      </c>
      <c r="G20" s="243">
        <v>159.0</v>
      </c>
      <c r="H20" s="243">
        <v>625.0</v>
      </c>
      <c r="I20" s="243">
        <v>171.0</v>
      </c>
      <c r="J20" s="243">
        <v>58.0</v>
      </c>
      <c r="K20" s="243">
        <v>304.0</v>
      </c>
      <c r="L20" s="243">
        <v>16.0</v>
      </c>
      <c r="M20" s="243">
        <v>18.0</v>
      </c>
      <c r="N20" s="243">
        <v>26.0</v>
      </c>
      <c r="O20" s="243">
        <v>35.0</v>
      </c>
      <c r="P20" s="243">
        <v>10.0</v>
      </c>
      <c r="Q20" s="243">
        <v>249.0</v>
      </c>
      <c r="R20" s="243">
        <v>118.0</v>
      </c>
      <c r="S20" s="243" t="s">
        <v>55</v>
      </c>
      <c r="T20" s="243">
        <v>42.0</v>
      </c>
      <c r="U20" s="243">
        <v>39.0</v>
      </c>
      <c r="V20" s="243">
        <v>0.0</v>
      </c>
      <c r="W20" s="243">
        <v>69.0</v>
      </c>
      <c r="X20" s="243">
        <v>94.0</v>
      </c>
      <c r="Y20" s="243">
        <v>271.0</v>
      </c>
      <c r="Z20" s="243">
        <v>66.0</v>
      </c>
      <c r="AA20" s="243">
        <v>631.0</v>
      </c>
      <c r="AB20" s="243">
        <v>19.0</v>
      </c>
      <c r="AC20" s="243">
        <v>1973.0</v>
      </c>
      <c r="AD20" s="243">
        <v>19.0</v>
      </c>
      <c r="AE20" s="243">
        <v>34.0</v>
      </c>
      <c r="AF20" s="243">
        <v>109.0</v>
      </c>
      <c r="AG20" s="243">
        <v>47.0</v>
      </c>
      <c r="AH20" s="243">
        <v>12.0</v>
      </c>
      <c r="AI20" s="243">
        <v>47.0</v>
      </c>
      <c r="AJ20" s="243">
        <v>444.0</v>
      </c>
      <c r="AK20" s="243">
        <v>21.0</v>
      </c>
      <c r="AL20" s="243">
        <v>172.0</v>
      </c>
      <c r="AM20" s="243">
        <v>85.0</v>
      </c>
      <c r="AN20" s="243">
        <v>311.0</v>
      </c>
      <c r="AO20" s="243">
        <v>215.0</v>
      </c>
      <c r="AP20" s="243">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336</v>
      </c>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ht="68.25" customHeight="1">
      <c r="A5" s="142" t="s">
        <v>337</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ht="31.5" customHeight="1">
      <c r="A7" s="238" t="s">
        <v>334</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266</v>
      </c>
    </row>
    <row r="8">
      <c r="A8" s="247" t="s">
        <v>314</v>
      </c>
      <c r="B8" s="135">
        <v>16178.0</v>
      </c>
      <c r="C8" s="135">
        <v>22234.0</v>
      </c>
      <c r="D8" s="135">
        <v>16453.0</v>
      </c>
      <c r="E8" s="135">
        <v>19382.0</v>
      </c>
      <c r="F8" s="135">
        <v>7780.0</v>
      </c>
      <c r="G8" s="135">
        <v>34575.0</v>
      </c>
      <c r="H8" s="135">
        <v>81196.0</v>
      </c>
      <c r="I8" s="135">
        <v>34652.0</v>
      </c>
      <c r="J8" s="135">
        <v>13073.0</v>
      </c>
      <c r="K8" s="135">
        <v>47449.0</v>
      </c>
      <c r="L8" s="135">
        <v>6782.0</v>
      </c>
      <c r="M8" s="135">
        <v>4689.0</v>
      </c>
      <c r="N8" s="135">
        <v>10062.0</v>
      </c>
      <c r="O8" s="135">
        <v>8111.0</v>
      </c>
      <c r="P8" s="135">
        <v>5496.0</v>
      </c>
      <c r="Q8" s="135">
        <v>29235.0</v>
      </c>
      <c r="R8" s="135">
        <v>21644.0</v>
      </c>
      <c r="S8" s="135">
        <v>3505.0</v>
      </c>
      <c r="T8" s="135">
        <v>16078.0</v>
      </c>
      <c r="U8" s="135">
        <v>15550.0</v>
      </c>
      <c r="V8" s="119">
        <v>827.0</v>
      </c>
      <c r="W8" s="135">
        <v>24762.0</v>
      </c>
      <c r="X8" s="135">
        <v>26207.0</v>
      </c>
      <c r="Y8" s="135">
        <v>32459.0</v>
      </c>
      <c r="Z8" s="135">
        <v>12349.0</v>
      </c>
      <c r="AA8" s="135">
        <v>71756.0</v>
      </c>
      <c r="AB8" s="135">
        <v>17418.0</v>
      </c>
      <c r="AC8" s="135">
        <v>179435.0</v>
      </c>
      <c r="AD8" s="135">
        <v>7626.0</v>
      </c>
      <c r="AE8" s="135">
        <v>10603.0</v>
      </c>
      <c r="AF8" s="135">
        <v>21630.0</v>
      </c>
      <c r="AG8" s="135">
        <v>30735.0</v>
      </c>
      <c r="AH8" s="135">
        <v>15816.0</v>
      </c>
      <c r="AI8" s="135">
        <v>10488.0</v>
      </c>
      <c r="AJ8" s="135">
        <v>81079.0</v>
      </c>
      <c r="AK8" s="135">
        <v>6179.0</v>
      </c>
      <c r="AL8" s="135">
        <v>28955.0</v>
      </c>
      <c r="AM8" s="135">
        <v>22624.0</v>
      </c>
      <c r="AN8" s="135">
        <v>41539.0</v>
      </c>
      <c r="AO8" s="135">
        <v>1056611.0</v>
      </c>
    </row>
    <row r="9">
      <c r="A9" s="240">
        <v>43891.0</v>
      </c>
      <c r="B9" s="119" t="s">
        <v>163</v>
      </c>
      <c r="C9" s="119" t="s">
        <v>163</v>
      </c>
      <c r="D9" s="119" t="s">
        <v>163</v>
      </c>
      <c r="E9" s="119" t="s">
        <v>163</v>
      </c>
      <c r="F9" s="119">
        <v>0.0</v>
      </c>
      <c r="G9" s="119" t="s">
        <v>163</v>
      </c>
      <c r="H9" s="119">
        <v>17.0</v>
      </c>
      <c r="I9" s="119" t="s">
        <v>163</v>
      </c>
      <c r="J9" s="119">
        <v>0.0</v>
      </c>
      <c r="K9" s="119">
        <v>13.0</v>
      </c>
      <c r="L9" s="119">
        <v>0.0</v>
      </c>
      <c r="M9" s="119">
        <v>0.0</v>
      </c>
      <c r="N9" s="119">
        <v>0.0</v>
      </c>
      <c r="O9" s="119">
        <v>0.0</v>
      </c>
      <c r="P9" s="119" t="s">
        <v>163</v>
      </c>
      <c r="Q9" s="119" t="s">
        <v>163</v>
      </c>
      <c r="R9" s="119" t="s">
        <v>163</v>
      </c>
      <c r="S9" s="119">
        <v>0.0</v>
      </c>
      <c r="T9" s="119" t="s">
        <v>163</v>
      </c>
      <c r="U9" s="119">
        <v>0.0</v>
      </c>
      <c r="V9" s="119">
        <v>0.0</v>
      </c>
      <c r="W9" s="119" t="s">
        <v>163</v>
      </c>
      <c r="X9" s="119" t="s">
        <v>163</v>
      </c>
      <c r="Y9" s="119">
        <v>15.0</v>
      </c>
      <c r="Z9" s="119" t="s">
        <v>163</v>
      </c>
      <c r="AA9" s="119">
        <v>15.0</v>
      </c>
      <c r="AB9" s="119" t="s">
        <v>163</v>
      </c>
      <c r="AC9" s="119">
        <v>18.0</v>
      </c>
      <c r="AD9" s="119">
        <v>0.0</v>
      </c>
      <c r="AE9" s="119">
        <v>0.0</v>
      </c>
      <c r="AF9" s="119" t="s">
        <v>163</v>
      </c>
      <c r="AG9" s="119" t="s">
        <v>163</v>
      </c>
      <c r="AH9" s="119">
        <v>0.0</v>
      </c>
      <c r="AI9" s="119">
        <v>0.0</v>
      </c>
      <c r="AJ9" s="119" t="s">
        <v>163</v>
      </c>
      <c r="AK9" s="119">
        <v>0.0</v>
      </c>
      <c r="AL9" s="119" t="s">
        <v>163</v>
      </c>
      <c r="AM9" s="119" t="s">
        <v>163</v>
      </c>
      <c r="AN9" s="119" t="s">
        <v>163</v>
      </c>
      <c r="AO9" s="119">
        <v>11.0</v>
      </c>
    </row>
    <row r="10">
      <c r="A10" s="240">
        <v>43922.0</v>
      </c>
      <c r="B10" s="119">
        <v>0.0</v>
      </c>
      <c r="C10" s="119">
        <v>27.0</v>
      </c>
      <c r="D10" s="119" t="s">
        <v>163</v>
      </c>
      <c r="E10" s="119">
        <v>201.0</v>
      </c>
      <c r="F10" s="119">
        <v>0.0</v>
      </c>
      <c r="G10" s="119" t="s">
        <v>163</v>
      </c>
      <c r="H10" s="119">
        <v>50.0</v>
      </c>
      <c r="I10" s="119">
        <v>35.0</v>
      </c>
      <c r="J10" s="119">
        <v>0.0</v>
      </c>
      <c r="K10" s="119">
        <v>34.0</v>
      </c>
      <c r="L10" s="119">
        <v>0.0</v>
      </c>
      <c r="M10" s="119">
        <v>0.0</v>
      </c>
      <c r="N10" s="119">
        <v>0.0</v>
      </c>
      <c r="O10" s="119" t="s">
        <v>163</v>
      </c>
      <c r="P10" s="119" t="s">
        <v>163</v>
      </c>
      <c r="Q10" s="119">
        <v>51.0</v>
      </c>
      <c r="R10" s="119">
        <v>28.0</v>
      </c>
      <c r="S10" s="119">
        <v>0.0</v>
      </c>
      <c r="T10" s="119" t="s">
        <v>163</v>
      </c>
      <c r="U10" s="119" t="s">
        <v>163</v>
      </c>
      <c r="V10" s="119">
        <v>0.0</v>
      </c>
      <c r="W10" s="119">
        <v>0.0</v>
      </c>
      <c r="X10" s="119" t="s">
        <v>163</v>
      </c>
      <c r="Y10" s="119">
        <v>99.0</v>
      </c>
      <c r="Z10" s="119" t="s">
        <v>163</v>
      </c>
      <c r="AA10" s="119">
        <v>84.0</v>
      </c>
      <c r="AB10" s="119">
        <v>0.0</v>
      </c>
      <c r="AC10" s="119">
        <v>157.0</v>
      </c>
      <c r="AD10" s="119" t="s">
        <v>163</v>
      </c>
      <c r="AE10" s="119">
        <v>0.0</v>
      </c>
      <c r="AF10" s="119">
        <v>28.0</v>
      </c>
      <c r="AG10" s="119">
        <v>23.0</v>
      </c>
      <c r="AH10" s="119">
        <v>0.0</v>
      </c>
      <c r="AI10" s="119" t="s">
        <v>163</v>
      </c>
      <c r="AJ10" s="119">
        <v>26.0</v>
      </c>
      <c r="AK10" s="119">
        <v>0.0</v>
      </c>
      <c r="AL10" s="119" t="s">
        <v>163</v>
      </c>
      <c r="AM10" s="119" t="s">
        <v>163</v>
      </c>
      <c r="AN10" s="119">
        <v>48.0</v>
      </c>
      <c r="AO10" s="119">
        <v>59.0</v>
      </c>
    </row>
    <row r="11">
      <c r="A11" s="240">
        <v>43952.0</v>
      </c>
      <c r="B11" s="119" t="s">
        <v>163</v>
      </c>
      <c r="C11" s="119" t="s">
        <v>163</v>
      </c>
      <c r="D11" s="119" t="s">
        <v>163</v>
      </c>
      <c r="E11" s="119">
        <v>196.0</v>
      </c>
      <c r="F11" s="119">
        <v>0.0</v>
      </c>
      <c r="G11" s="119" t="s">
        <v>163</v>
      </c>
      <c r="H11" s="119">
        <v>37.0</v>
      </c>
      <c r="I11" s="119">
        <v>20.0</v>
      </c>
      <c r="J11" s="119">
        <v>0.0</v>
      </c>
      <c r="K11" s="119">
        <v>11.0</v>
      </c>
      <c r="L11" s="119" t="s">
        <v>163</v>
      </c>
      <c r="M11" s="119" t="s">
        <v>163</v>
      </c>
      <c r="N11" s="119" t="s">
        <v>163</v>
      </c>
      <c r="O11" s="119">
        <v>0.0</v>
      </c>
      <c r="P11" s="119" t="s">
        <v>163</v>
      </c>
      <c r="Q11" s="119">
        <v>58.0</v>
      </c>
      <c r="R11" s="119">
        <v>23.0</v>
      </c>
      <c r="S11" s="119">
        <v>0.0</v>
      </c>
      <c r="T11" s="119" t="s">
        <v>163</v>
      </c>
      <c r="U11" s="119" t="s">
        <v>163</v>
      </c>
      <c r="V11" s="119">
        <v>0.0</v>
      </c>
      <c r="W11" s="119" t="s">
        <v>163</v>
      </c>
      <c r="X11" s="119" t="s">
        <v>163</v>
      </c>
      <c r="Y11" s="119">
        <v>59.0</v>
      </c>
      <c r="Z11" s="119">
        <v>49.0</v>
      </c>
      <c r="AA11" s="119">
        <v>61.0</v>
      </c>
      <c r="AB11" s="119">
        <v>0.0</v>
      </c>
      <c r="AC11" s="119">
        <v>97.0</v>
      </c>
      <c r="AD11" s="119" t="s">
        <v>163</v>
      </c>
      <c r="AE11" s="119">
        <v>0.0</v>
      </c>
      <c r="AF11" s="119" t="s">
        <v>163</v>
      </c>
      <c r="AG11" s="119">
        <v>20.0</v>
      </c>
      <c r="AH11" s="119" t="s">
        <v>163</v>
      </c>
      <c r="AI11" s="119" t="s">
        <v>163</v>
      </c>
      <c r="AJ11" s="119">
        <v>20.0</v>
      </c>
      <c r="AK11" s="119">
        <v>0.0</v>
      </c>
      <c r="AL11" s="119">
        <v>24.0</v>
      </c>
      <c r="AM11" s="119">
        <v>0.0</v>
      </c>
      <c r="AN11" s="119">
        <v>51.0</v>
      </c>
      <c r="AO11" s="119">
        <v>43.0</v>
      </c>
    </row>
    <row r="12">
      <c r="A12" s="240">
        <v>43983.0</v>
      </c>
      <c r="B12" s="119">
        <v>0.0</v>
      </c>
      <c r="C12" s="119" t="s">
        <v>163</v>
      </c>
      <c r="D12" s="119">
        <v>0.0</v>
      </c>
      <c r="E12" s="119">
        <v>57.0</v>
      </c>
      <c r="F12" s="119" t="s">
        <v>163</v>
      </c>
      <c r="G12" s="119">
        <v>0.0</v>
      </c>
      <c r="H12" s="119">
        <v>12.0</v>
      </c>
      <c r="I12" s="119" t="s">
        <v>163</v>
      </c>
      <c r="J12" s="119" t="s">
        <v>163</v>
      </c>
      <c r="K12" s="119">
        <v>11.0</v>
      </c>
      <c r="L12" s="119">
        <v>0.0</v>
      </c>
      <c r="M12" s="119">
        <v>0.0</v>
      </c>
      <c r="N12" s="119">
        <v>0.0</v>
      </c>
      <c r="O12" s="119">
        <v>0.0</v>
      </c>
      <c r="P12" s="119">
        <v>0.0</v>
      </c>
      <c r="Q12" s="119" t="s">
        <v>163</v>
      </c>
      <c r="R12" s="119" t="s">
        <v>163</v>
      </c>
      <c r="S12" s="119">
        <v>0.0</v>
      </c>
      <c r="T12" s="119">
        <v>0.0</v>
      </c>
      <c r="U12" s="119">
        <v>0.0</v>
      </c>
      <c r="V12" s="119">
        <v>0.0</v>
      </c>
      <c r="W12" s="119">
        <v>24.0</v>
      </c>
      <c r="X12" s="119">
        <v>0.0</v>
      </c>
      <c r="Y12" s="119" t="s">
        <v>163</v>
      </c>
      <c r="Z12" s="119" t="s">
        <v>163</v>
      </c>
      <c r="AA12" s="119">
        <v>25.0</v>
      </c>
      <c r="AB12" s="119">
        <v>0.0</v>
      </c>
      <c r="AC12" s="119">
        <v>47.0</v>
      </c>
      <c r="AD12" s="119">
        <v>0.0</v>
      </c>
      <c r="AE12" s="119">
        <v>0.0</v>
      </c>
      <c r="AF12" s="119" t="s">
        <v>163</v>
      </c>
      <c r="AG12" s="119">
        <v>0.0</v>
      </c>
      <c r="AH12" s="119">
        <v>0.0</v>
      </c>
      <c r="AI12" s="119" t="s">
        <v>163</v>
      </c>
      <c r="AJ12" s="119">
        <v>7.0</v>
      </c>
      <c r="AK12" s="119">
        <v>0.0</v>
      </c>
      <c r="AL12" s="119">
        <v>17.0</v>
      </c>
      <c r="AM12" s="119" t="s">
        <v>163</v>
      </c>
      <c r="AN12" s="119">
        <v>36.0</v>
      </c>
      <c r="AO12" s="119">
        <v>18.0</v>
      </c>
    </row>
    <row r="13">
      <c r="A13" s="240">
        <v>44013.0</v>
      </c>
      <c r="B13" s="119" t="s">
        <v>163</v>
      </c>
      <c r="C13" s="119">
        <v>0.0</v>
      </c>
      <c r="D13" s="119" t="s">
        <v>163</v>
      </c>
      <c r="E13" s="119" t="s">
        <v>163</v>
      </c>
      <c r="F13" s="119" t="s">
        <v>163</v>
      </c>
      <c r="G13" s="119" t="s">
        <v>163</v>
      </c>
      <c r="H13" s="119">
        <v>17.0</v>
      </c>
      <c r="I13" s="119" t="s">
        <v>163</v>
      </c>
      <c r="J13" s="119" t="s">
        <v>163</v>
      </c>
      <c r="K13" s="119">
        <v>13.0</v>
      </c>
      <c r="L13" s="119">
        <v>0.0</v>
      </c>
      <c r="M13" s="119">
        <v>0.0</v>
      </c>
      <c r="N13" s="119">
        <v>0.0</v>
      </c>
      <c r="O13" s="119">
        <v>0.0</v>
      </c>
      <c r="P13" s="119">
        <v>0.0</v>
      </c>
      <c r="Q13" s="119">
        <v>0.0</v>
      </c>
      <c r="R13" s="119" t="s">
        <v>163</v>
      </c>
      <c r="S13" s="119">
        <v>0.0</v>
      </c>
      <c r="T13" s="119" t="s">
        <v>163</v>
      </c>
      <c r="U13" s="119" t="s">
        <v>163</v>
      </c>
      <c r="V13" s="119">
        <v>0.0</v>
      </c>
      <c r="W13" s="119" t="s">
        <v>163</v>
      </c>
      <c r="X13" s="119" t="s">
        <v>163</v>
      </c>
      <c r="Y13" s="119" t="s">
        <v>163</v>
      </c>
      <c r="Z13" s="119" t="s">
        <v>163</v>
      </c>
      <c r="AA13" s="119">
        <v>20.0</v>
      </c>
      <c r="AB13" s="119">
        <v>0.0</v>
      </c>
      <c r="AC13" s="119">
        <v>33.0</v>
      </c>
      <c r="AD13" s="119">
        <v>0.0</v>
      </c>
      <c r="AE13" s="119">
        <v>0.0</v>
      </c>
      <c r="AF13" s="119">
        <v>32.0</v>
      </c>
      <c r="AG13" s="119">
        <v>0.0</v>
      </c>
      <c r="AH13" s="119">
        <v>0.0</v>
      </c>
      <c r="AI13" s="119">
        <v>0.0</v>
      </c>
      <c r="AJ13" s="119">
        <v>14.0</v>
      </c>
      <c r="AK13" s="119">
        <v>0.0</v>
      </c>
      <c r="AL13" s="119">
        <v>35.0</v>
      </c>
      <c r="AM13" s="119" t="s">
        <v>163</v>
      </c>
      <c r="AN13" s="119">
        <v>43.0</v>
      </c>
      <c r="AO13" s="119">
        <v>16.0</v>
      </c>
    </row>
    <row r="14">
      <c r="A14" s="240">
        <v>44044.0</v>
      </c>
      <c r="B14" s="119">
        <v>0.0</v>
      </c>
      <c r="C14" s="119" t="s">
        <v>163</v>
      </c>
      <c r="D14" s="119" t="s">
        <v>163</v>
      </c>
      <c r="E14" s="119">
        <v>57.0</v>
      </c>
      <c r="F14" s="119">
        <v>0.0</v>
      </c>
      <c r="G14" s="119" t="s">
        <v>163</v>
      </c>
      <c r="H14" s="119">
        <v>21.0</v>
      </c>
      <c r="I14" s="119" t="s">
        <v>163</v>
      </c>
      <c r="J14" s="119" t="s">
        <v>163</v>
      </c>
      <c r="K14" s="119" t="s">
        <v>163</v>
      </c>
      <c r="L14" s="119" t="s">
        <v>163</v>
      </c>
      <c r="M14" s="119">
        <v>0.0</v>
      </c>
      <c r="N14" s="119">
        <v>0.0</v>
      </c>
      <c r="O14" s="119">
        <v>0.0</v>
      </c>
      <c r="P14" s="119">
        <v>0.0</v>
      </c>
      <c r="Q14" s="119" t="s">
        <v>163</v>
      </c>
      <c r="R14" s="119" t="s">
        <v>163</v>
      </c>
      <c r="S14" s="119">
        <v>0.0</v>
      </c>
      <c r="T14" s="119">
        <v>0.0</v>
      </c>
      <c r="U14" s="119" t="s">
        <v>163</v>
      </c>
      <c r="V14" s="119">
        <v>0.0</v>
      </c>
      <c r="W14" s="119" t="s">
        <v>163</v>
      </c>
      <c r="X14" s="119" t="s">
        <v>163</v>
      </c>
      <c r="Y14" s="119">
        <v>40.0</v>
      </c>
      <c r="Z14" s="119">
        <v>0.0</v>
      </c>
      <c r="AA14" s="119">
        <v>31.0</v>
      </c>
      <c r="AB14" s="119">
        <v>0.0</v>
      </c>
      <c r="AC14" s="119">
        <v>53.0</v>
      </c>
      <c r="AD14" s="119">
        <v>0.0</v>
      </c>
      <c r="AE14" s="119">
        <v>0.0</v>
      </c>
      <c r="AF14" s="119" t="s">
        <v>163</v>
      </c>
      <c r="AG14" s="119" t="s">
        <v>163</v>
      </c>
      <c r="AH14" s="119" t="s">
        <v>163</v>
      </c>
      <c r="AI14" s="119" t="s">
        <v>163</v>
      </c>
      <c r="AJ14" s="119">
        <v>16.0</v>
      </c>
      <c r="AK14" s="119">
        <v>0.0</v>
      </c>
      <c r="AL14" s="119">
        <v>17.0</v>
      </c>
      <c r="AM14" s="119" t="s">
        <v>163</v>
      </c>
      <c r="AN14" s="119">
        <v>24.0</v>
      </c>
      <c r="AO14" s="119">
        <v>21.0</v>
      </c>
    </row>
    <row r="15">
      <c r="A15" s="240">
        <v>44075.0</v>
      </c>
      <c r="B15" s="119">
        <v>0.0</v>
      </c>
      <c r="C15" s="119">
        <v>0.0</v>
      </c>
      <c r="D15" s="119" t="s">
        <v>163</v>
      </c>
      <c r="E15" s="119" t="s">
        <v>163</v>
      </c>
      <c r="F15" s="119" t="s">
        <v>163</v>
      </c>
      <c r="G15" s="119" t="s">
        <v>163</v>
      </c>
      <c r="H15" s="119">
        <v>18.0</v>
      </c>
      <c r="I15" s="119">
        <v>20.0</v>
      </c>
      <c r="J15" s="119" t="s">
        <v>163</v>
      </c>
      <c r="K15" s="119" t="s">
        <v>163</v>
      </c>
      <c r="L15" s="119">
        <v>0.0</v>
      </c>
      <c r="M15" s="119">
        <v>0.0</v>
      </c>
      <c r="N15" s="119" t="s">
        <v>163</v>
      </c>
      <c r="O15" s="119">
        <v>0.0</v>
      </c>
      <c r="P15" s="119">
        <v>0.0</v>
      </c>
      <c r="Q15" s="119">
        <v>48.0</v>
      </c>
      <c r="R15" s="119" t="s">
        <v>163</v>
      </c>
      <c r="S15" s="119">
        <v>0.0</v>
      </c>
      <c r="T15" s="119">
        <v>0.0</v>
      </c>
      <c r="U15" s="119" t="s">
        <v>163</v>
      </c>
      <c r="V15" s="119">
        <v>0.0</v>
      </c>
      <c r="W15" s="119" t="s">
        <v>163</v>
      </c>
      <c r="X15" s="119" t="s">
        <v>163</v>
      </c>
      <c r="Y15" s="119">
        <v>18.0</v>
      </c>
      <c r="Z15" s="119" t="s">
        <v>163</v>
      </c>
      <c r="AA15" s="119">
        <v>22.0</v>
      </c>
      <c r="AB15" s="119">
        <v>0.0</v>
      </c>
      <c r="AC15" s="119">
        <v>28.0</v>
      </c>
      <c r="AD15" s="119" t="s">
        <v>163</v>
      </c>
      <c r="AE15" s="119" t="s">
        <v>163</v>
      </c>
      <c r="AF15" s="119" t="s">
        <v>163</v>
      </c>
      <c r="AG15" s="119" t="s">
        <v>163</v>
      </c>
      <c r="AH15" s="119">
        <v>0.0</v>
      </c>
      <c r="AI15" s="119">
        <v>0.0</v>
      </c>
      <c r="AJ15" s="119">
        <v>7.0</v>
      </c>
      <c r="AK15" s="119">
        <v>0.0</v>
      </c>
      <c r="AL15" s="119" t="s">
        <v>163</v>
      </c>
      <c r="AM15" s="119" t="s">
        <v>163</v>
      </c>
      <c r="AN15" s="119">
        <v>17.0</v>
      </c>
      <c r="AO15" s="119">
        <v>15.0</v>
      </c>
    </row>
    <row r="16">
      <c r="A16" s="240">
        <v>44105.0</v>
      </c>
      <c r="B16" s="119" t="s">
        <v>163</v>
      </c>
      <c r="C16" s="119" t="s">
        <v>163</v>
      </c>
      <c r="D16" s="119" t="s">
        <v>163</v>
      </c>
      <c r="E16" s="119">
        <v>93.0</v>
      </c>
      <c r="F16" s="119" t="s">
        <v>163</v>
      </c>
      <c r="G16" s="119">
        <v>38.0</v>
      </c>
      <c r="H16" s="119">
        <v>52.0</v>
      </c>
      <c r="I16" s="119">
        <v>40.0</v>
      </c>
      <c r="J16" s="119">
        <v>38.0</v>
      </c>
      <c r="K16" s="119">
        <v>38.0</v>
      </c>
      <c r="L16" s="119" t="s">
        <v>163</v>
      </c>
      <c r="M16" s="119">
        <v>0.0</v>
      </c>
      <c r="N16" s="119">
        <v>50.0</v>
      </c>
      <c r="O16" s="119" t="s">
        <v>163</v>
      </c>
      <c r="P16" s="119">
        <v>0.0</v>
      </c>
      <c r="Q16" s="119">
        <v>55.0</v>
      </c>
      <c r="R16" s="119">
        <v>28.0</v>
      </c>
      <c r="S16" s="119">
        <v>0.0</v>
      </c>
      <c r="T16" s="119" t="s">
        <v>163</v>
      </c>
      <c r="U16" s="119" t="s">
        <v>163</v>
      </c>
      <c r="V16" s="119">
        <v>0.0</v>
      </c>
      <c r="W16" s="119" t="s">
        <v>163</v>
      </c>
      <c r="X16" s="119">
        <v>23.0</v>
      </c>
      <c r="Y16" s="119">
        <v>55.0</v>
      </c>
      <c r="Z16" s="119" t="s">
        <v>163</v>
      </c>
      <c r="AA16" s="119">
        <v>68.0</v>
      </c>
      <c r="AB16" s="119" t="s">
        <v>163</v>
      </c>
      <c r="AC16" s="119">
        <v>82.0</v>
      </c>
      <c r="AD16" s="119" t="s">
        <v>163</v>
      </c>
      <c r="AE16" s="119" t="s">
        <v>163</v>
      </c>
      <c r="AF16" s="119" t="s">
        <v>163</v>
      </c>
      <c r="AG16" s="119" t="s">
        <v>163</v>
      </c>
      <c r="AH16" s="119">
        <v>0.0</v>
      </c>
      <c r="AI16" s="119" t="s">
        <v>163</v>
      </c>
      <c r="AJ16" s="119">
        <v>36.0</v>
      </c>
      <c r="AK16" s="119" t="s">
        <v>163</v>
      </c>
      <c r="AL16" s="119">
        <v>31.0</v>
      </c>
      <c r="AM16" s="119">
        <v>0.0</v>
      </c>
      <c r="AN16" s="119">
        <v>41.0</v>
      </c>
      <c r="AO16" s="119">
        <v>44.0</v>
      </c>
    </row>
    <row r="17">
      <c r="A17" s="240">
        <v>44136.0</v>
      </c>
      <c r="B17" s="119">
        <v>62.0</v>
      </c>
      <c r="C17" s="119">
        <v>67.0</v>
      </c>
      <c r="D17" s="119">
        <v>103.0</v>
      </c>
      <c r="E17" s="119">
        <v>93.0</v>
      </c>
      <c r="F17" s="119" t="s">
        <v>163</v>
      </c>
      <c r="G17" s="119">
        <v>84.0</v>
      </c>
      <c r="H17" s="119">
        <v>147.0</v>
      </c>
      <c r="I17" s="119">
        <v>87.0</v>
      </c>
      <c r="J17" s="119">
        <v>46.0</v>
      </c>
      <c r="K17" s="119">
        <v>114.0</v>
      </c>
      <c r="L17" s="119" t="s">
        <v>163</v>
      </c>
      <c r="M17" s="119" t="s">
        <v>163</v>
      </c>
      <c r="N17" s="119">
        <v>70.0</v>
      </c>
      <c r="O17" s="119">
        <v>74.0</v>
      </c>
      <c r="P17" s="119" t="s">
        <v>163</v>
      </c>
      <c r="Q17" s="119">
        <v>130.0</v>
      </c>
      <c r="R17" s="119">
        <v>162.0</v>
      </c>
      <c r="S17" s="119">
        <v>0.0</v>
      </c>
      <c r="T17" s="119">
        <v>31.0</v>
      </c>
      <c r="U17" s="119">
        <v>77.0</v>
      </c>
      <c r="V17" s="119">
        <v>0.0</v>
      </c>
      <c r="W17" s="119">
        <v>44.0</v>
      </c>
      <c r="X17" s="119">
        <v>80.0</v>
      </c>
      <c r="Y17" s="119">
        <v>126.0</v>
      </c>
      <c r="Z17" s="119">
        <v>97.0</v>
      </c>
      <c r="AA17" s="119">
        <v>151.0</v>
      </c>
      <c r="AB17" s="119" t="s">
        <v>163</v>
      </c>
      <c r="AC17" s="119">
        <v>162.0</v>
      </c>
      <c r="AD17" s="119" t="s">
        <v>163</v>
      </c>
      <c r="AE17" s="119">
        <v>75.0</v>
      </c>
      <c r="AF17" s="119">
        <v>65.0</v>
      </c>
      <c r="AG17" s="119">
        <v>33.0</v>
      </c>
      <c r="AH17" s="119" t="s">
        <v>163</v>
      </c>
      <c r="AI17" s="119">
        <v>57.0</v>
      </c>
      <c r="AJ17" s="119">
        <v>99.0</v>
      </c>
      <c r="AK17" s="119">
        <v>97.0</v>
      </c>
      <c r="AL17" s="119">
        <v>93.0</v>
      </c>
      <c r="AM17" s="119">
        <v>75.0</v>
      </c>
      <c r="AN17" s="119">
        <v>99.0</v>
      </c>
      <c r="AO17" s="119">
        <v>107.0</v>
      </c>
    </row>
    <row r="18">
      <c r="A18" s="240">
        <v>44166.0</v>
      </c>
      <c r="B18" s="119">
        <v>49.0</v>
      </c>
      <c r="C18" s="119">
        <v>63.0</v>
      </c>
      <c r="D18" s="119">
        <v>61.0</v>
      </c>
      <c r="E18" s="119">
        <v>196.0</v>
      </c>
      <c r="F18" s="119">
        <v>103.0</v>
      </c>
      <c r="G18" s="119">
        <v>107.0</v>
      </c>
      <c r="H18" s="119">
        <v>186.0</v>
      </c>
      <c r="I18" s="119">
        <v>110.0</v>
      </c>
      <c r="J18" s="119">
        <v>107.0</v>
      </c>
      <c r="K18" s="119">
        <v>179.0</v>
      </c>
      <c r="L18" s="119">
        <v>118.0</v>
      </c>
      <c r="M18" s="119" t="s">
        <v>163</v>
      </c>
      <c r="N18" s="119">
        <v>50.0</v>
      </c>
      <c r="O18" s="119">
        <v>86.0</v>
      </c>
      <c r="P18" s="119" t="s">
        <v>163</v>
      </c>
      <c r="Q18" s="119">
        <v>239.0</v>
      </c>
      <c r="R18" s="119">
        <v>129.0</v>
      </c>
      <c r="S18" s="119">
        <v>0.0</v>
      </c>
      <c r="T18" s="119">
        <v>62.0</v>
      </c>
      <c r="U18" s="119">
        <v>32.0</v>
      </c>
      <c r="V18" s="119">
        <v>0.0</v>
      </c>
      <c r="W18" s="119">
        <v>48.0</v>
      </c>
      <c r="X18" s="119">
        <v>99.0</v>
      </c>
      <c r="Y18" s="119">
        <v>185.0</v>
      </c>
      <c r="Z18" s="119">
        <v>121.0</v>
      </c>
      <c r="AA18" s="119">
        <v>176.0</v>
      </c>
      <c r="AB18" s="119">
        <v>46.0</v>
      </c>
      <c r="AC18" s="119">
        <v>181.0</v>
      </c>
      <c r="AD18" s="119" t="s">
        <v>163</v>
      </c>
      <c r="AE18" s="119">
        <v>85.0</v>
      </c>
      <c r="AF18" s="119">
        <v>139.0</v>
      </c>
      <c r="AG18" s="119">
        <v>20.0</v>
      </c>
      <c r="AH18" s="119">
        <v>32.0</v>
      </c>
      <c r="AI18" s="119">
        <v>105.0</v>
      </c>
      <c r="AJ18" s="119">
        <v>152.0</v>
      </c>
      <c r="AK18" s="119" t="s">
        <v>163</v>
      </c>
      <c r="AL18" s="119">
        <v>135.0</v>
      </c>
      <c r="AM18" s="119">
        <v>97.0</v>
      </c>
      <c r="AN18" s="119">
        <v>164.0</v>
      </c>
      <c r="AO18" s="119">
        <v>140.0</v>
      </c>
    </row>
    <row r="19">
      <c r="A19" s="240">
        <v>44197.0</v>
      </c>
      <c r="B19" s="119">
        <v>56.0</v>
      </c>
      <c r="C19" s="119">
        <v>135.0</v>
      </c>
      <c r="D19" s="119">
        <v>61.0</v>
      </c>
      <c r="E19" s="119">
        <v>175.0</v>
      </c>
      <c r="F19" s="119">
        <v>90.0</v>
      </c>
      <c r="G19" s="119">
        <v>133.0</v>
      </c>
      <c r="H19" s="119">
        <v>132.0</v>
      </c>
      <c r="I19" s="119">
        <v>133.0</v>
      </c>
      <c r="J19" s="119">
        <v>122.0</v>
      </c>
      <c r="K19" s="119">
        <v>143.0</v>
      </c>
      <c r="L19" s="119">
        <v>0.0</v>
      </c>
      <c r="M19" s="119">
        <v>128.0</v>
      </c>
      <c r="N19" s="119">
        <v>50.0</v>
      </c>
      <c r="O19" s="119">
        <v>160.0</v>
      </c>
      <c r="P19" s="119" t="s">
        <v>163</v>
      </c>
      <c r="Q19" s="119">
        <v>161.0</v>
      </c>
      <c r="R19" s="119">
        <v>97.0</v>
      </c>
      <c r="S19" s="119" t="s">
        <v>163</v>
      </c>
      <c r="T19" s="119">
        <v>100.0</v>
      </c>
      <c r="U19" s="119">
        <v>71.0</v>
      </c>
      <c r="V19" s="119">
        <v>0.0</v>
      </c>
      <c r="W19" s="119">
        <v>89.0</v>
      </c>
      <c r="X19" s="119">
        <v>69.0</v>
      </c>
      <c r="Y19" s="119">
        <v>123.0</v>
      </c>
      <c r="Z19" s="119">
        <v>105.0</v>
      </c>
      <c r="AA19" s="119">
        <v>166.0</v>
      </c>
      <c r="AB19" s="119">
        <v>34.0</v>
      </c>
      <c r="AC19" s="119">
        <v>165.0</v>
      </c>
      <c r="AD19" s="119" t="s">
        <v>163</v>
      </c>
      <c r="AE19" s="119">
        <v>94.0</v>
      </c>
      <c r="AF19" s="119">
        <v>125.0</v>
      </c>
      <c r="AG19" s="119">
        <v>33.0</v>
      </c>
      <c r="AH19" s="119" t="s">
        <v>163</v>
      </c>
      <c r="AI19" s="119">
        <v>114.0</v>
      </c>
      <c r="AJ19" s="119">
        <v>112.0</v>
      </c>
      <c r="AK19" s="119">
        <v>113.0</v>
      </c>
      <c r="AL19" s="119">
        <v>121.0</v>
      </c>
      <c r="AM19" s="119">
        <v>88.0</v>
      </c>
      <c r="AN19" s="119">
        <v>166.0</v>
      </c>
      <c r="AO19" s="119">
        <v>127.0</v>
      </c>
    </row>
    <row r="20">
      <c r="A20" s="240">
        <v>44228.0</v>
      </c>
      <c r="B20" s="119">
        <v>68.0</v>
      </c>
      <c r="C20" s="119">
        <v>45.0</v>
      </c>
      <c r="D20" s="119">
        <v>30.0</v>
      </c>
      <c r="E20" s="119">
        <v>57.0</v>
      </c>
      <c r="F20" s="119" t="s">
        <v>163</v>
      </c>
      <c r="G20" s="119">
        <v>58.0</v>
      </c>
      <c r="H20" s="119">
        <v>80.0</v>
      </c>
      <c r="I20" s="119">
        <v>17.0</v>
      </c>
      <c r="J20" s="119">
        <v>84.0</v>
      </c>
      <c r="K20" s="119">
        <v>72.0</v>
      </c>
      <c r="L20" s="119" t="s">
        <v>163</v>
      </c>
      <c r="M20" s="119" t="s">
        <v>163</v>
      </c>
      <c r="N20" s="119" t="s">
        <v>163</v>
      </c>
      <c r="O20" s="119" t="s">
        <v>163</v>
      </c>
      <c r="P20" s="119" t="s">
        <v>163</v>
      </c>
      <c r="Q20" s="119">
        <v>86.0</v>
      </c>
      <c r="R20" s="119">
        <v>28.0</v>
      </c>
      <c r="S20" s="119">
        <v>0.0</v>
      </c>
      <c r="T20" s="119" t="s">
        <v>163</v>
      </c>
      <c r="U20" s="119" t="s">
        <v>163</v>
      </c>
      <c r="V20" s="119">
        <v>0.0</v>
      </c>
      <c r="W20" s="119" t="s">
        <v>163</v>
      </c>
      <c r="X20" s="119">
        <v>31.0</v>
      </c>
      <c r="Y20" s="119">
        <v>92.0</v>
      </c>
      <c r="Z20" s="119">
        <v>49.0</v>
      </c>
      <c r="AA20" s="119">
        <v>61.0</v>
      </c>
      <c r="AB20" s="119" t="s">
        <v>163</v>
      </c>
      <c r="AC20" s="119">
        <v>76.0</v>
      </c>
      <c r="AD20" s="119">
        <v>0.0</v>
      </c>
      <c r="AE20" s="119" t="s">
        <v>163</v>
      </c>
      <c r="AF20" s="119">
        <v>46.0</v>
      </c>
      <c r="AG20" s="119" t="s">
        <v>163</v>
      </c>
      <c r="AH20" s="119" t="s">
        <v>163</v>
      </c>
      <c r="AI20" s="119">
        <v>67.0</v>
      </c>
      <c r="AJ20" s="119">
        <v>54.0</v>
      </c>
      <c r="AK20" s="119" t="s">
        <v>163</v>
      </c>
      <c r="AL20" s="119">
        <v>86.0</v>
      </c>
      <c r="AM20" s="119">
        <v>62.0</v>
      </c>
      <c r="AN20" s="119">
        <v>53.0</v>
      </c>
      <c r="AO20" s="119">
        <v>57.0</v>
      </c>
    </row>
    <row r="21">
      <c r="A21" s="242" t="s">
        <v>105</v>
      </c>
      <c r="B21" s="246">
        <v>303.0</v>
      </c>
      <c r="C21" s="246">
        <v>387.0</v>
      </c>
      <c r="D21" s="246">
        <v>353.0</v>
      </c>
      <c r="E21" s="246">
        <v>1171.0</v>
      </c>
      <c r="F21" s="246">
        <v>321.0</v>
      </c>
      <c r="G21" s="246">
        <v>460.0</v>
      </c>
      <c r="H21" s="246">
        <v>770.0</v>
      </c>
      <c r="I21" s="246">
        <v>493.0</v>
      </c>
      <c r="J21" s="246">
        <v>444.0</v>
      </c>
      <c r="K21" s="246">
        <v>641.0</v>
      </c>
      <c r="L21" s="246">
        <v>236.0</v>
      </c>
      <c r="M21" s="246">
        <v>384.0</v>
      </c>
      <c r="N21" s="246">
        <v>258.0</v>
      </c>
      <c r="O21" s="246">
        <v>432.0</v>
      </c>
      <c r="P21" s="246">
        <v>182.0</v>
      </c>
      <c r="Q21" s="246">
        <v>852.0</v>
      </c>
      <c r="R21" s="246">
        <v>545.0</v>
      </c>
      <c r="S21" s="246" t="s">
        <v>163</v>
      </c>
      <c r="T21" s="246">
        <v>261.0</v>
      </c>
      <c r="U21" s="246">
        <v>251.0</v>
      </c>
      <c r="V21" s="246">
        <v>0.0</v>
      </c>
      <c r="W21" s="246">
        <v>279.0</v>
      </c>
      <c r="X21" s="246">
        <v>359.0</v>
      </c>
      <c r="Y21" s="246">
        <v>835.0</v>
      </c>
      <c r="Z21" s="246">
        <v>534.0</v>
      </c>
      <c r="AA21" s="246">
        <v>879.0</v>
      </c>
      <c r="AB21" s="246">
        <v>109.0</v>
      </c>
      <c r="AC21" s="246">
        <v>1100.0</v>
      </c>
      <c r="AD21" s="246">
        <v>249.0</v>
      </c>
      <c r="AE21" s="246">
        <v>321.0</v>
      </c>
      <c r="AF21" s="246">
        <v>504.0</v>
      </c>
      <c r="AG21" s="246">
        <v>153.0</v>
      </c>
      <c r="AH21" s="246">
        <v>76.0</v>
      </c>
      <c r="AI21" s="246">
        <v>448.0</v>
      </c>
      <c r="AJ21" s="246">
        <v>548.0</v>
      </c>
      <c r="AK21" s="246">
        <v>340.0</v>
      </c>
      <c r="AL21" s="246">
        <v>594.0</v>
      </c>
      <c r="AM21" s="246">
        <v>376.0</v>
      </c>
      <c r="AN21" s="246">
        <v>749.0</v>
      </c>
      <c r="AO21" s="246">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338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339</v>
      </c>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ht="78.0" customHeight="1">
      <c r="A5" s="142" t="s">
        <v>340</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ht="31.5" customHeight="1">
      <c r="A7" s="238" t="s">
        <v>167</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327</v>
      </c>
      <c r="AP7" s="239" t="s">
        <v>266</v>
      </c>
    </row>
    <row r="8">
      <c r="A8" s="240">
        <v>43891.0</v>
      </c>
      <c r="B8" s="241">
        <v>0.0</v>
      </c>
      <c r="C8" s="241">
        <v>0.0</v>
      </c>
      <c r="D8" s="241">
        <v>0.0</v>
      </c>
      <c r="E8" s="241">
        <v>0.0</v>
      </c>
      <c r="F8" s="241">
        <v>0.0</v>
      </c>
      <c r="G8" s="241">
        <v>0.0</v>
      </c>
      <c r="H8" s="241" t="s">
        <v>55</v>
      </c>
      <c r="I8" s="241" t="s">
        <v>55</v>
      </c>
      <c r="J8" s="241">
        <v>0.0</v>
      </c>
      <c r="K8" s="241">
        <v>0.0</v>
      </c>
      <c r="L8" s="241">
        <v>0.0</v>
      </c>
      <c r="M8" s="241">
        <v>0.0</v>
      </c>
      <c r="N8" s="241">
        <v>0.0</v>
      </c>
      <c r="O8" s="241">
        <v>0.0</v>
      </c>
      <c r="P8" s="241">
        <v>0.0</v>
      </c>
      <c r="Q8" s="241">
        <v>0.0</v>
      </c>
      <c r="R8" s="241">
        <v>0.0</v>
      </c>
      <c r="S8" s="241" t="s">
        <v>55</v>
      </c>
      <c r="T8" s="241">
        <v>0.0</v>
      </c>
      <c r="U8" s="241">
        <v>0.0</v>
      </c>
      <c r="V8" s="241">
        <v>0.0</v>
      </c>
      <c r="W8" s="241">
        <v>0.0</v>
      </c>
      <c r="X8" s="241">
        <v>0.0</v>
      </c>
      <c r="Y8" s="241">
        <v>0.0</v>
      </c>
      <c r="Z8" s="241">
        <v>0.0</v>
      </c>
      <c r="AA8" s="241">
        <v>0.0</v>
      </c>
      <c r="AB8" s="241">
        <v>0.0</v>
      </c>
      <c r="AC8" s="241" t="s">
        <v>55</v>
      </c>
      <c r="AD8" s="241">
        <v>0.0</v>
      </c>
      <c r="AE8" s="241">
        <v>0.0</v>
      </c>
      <c r="AF8" s="241" t="s">
        <v>55</v>
      </c>
      <c r="AG8" s="241">
        <v>0.0</v>
      </c>
      <c r="AH8" s="241">
        <v>0.0</v>
      </c>
      <c r="AI8" s="241">
        <v>0.0</v>
      </c>
      <c r="AJ8" s="241">
        <v>0.0</v>
      </c>
      <c r="AK8" s="241">
        <v>0.0</v>
      </c>
      <c r="AL8" s="241">
        <v>0.0</v>
      </c>
      <c r="AM8" s="241">
        <v>0.0</v>
      </c>
      <c r="AN8" s="241">
        <v>0.0</v>
      </c>
      <c r="AO8" s="241">
        <v>0.0</v>
      </c>
      <c r="AP8" s="241">
        <v>6.0</v>
      </c>
    </row>
    <row r="9">
      <c r="A9" s="240">
        <v>43922.0</v>
      </c>
      <c r="B9" s="241">
        <v>0.0</v>
      </c>
      <c r="C9" s="241">
        <v>0.0</v>
      </c>
      <c r="D9" s="241">
        <v>0.0</v>
      </c>
      <c r="E9" s="241" t="s">
        <v>55</v>
      </c>
      <c r="F9" s="241">
        <v>0.0</v>
      </c>
      <c r="G9" s="241" t="s">
        <v>55</v>
      </c>
      <c r="H9" s="241" t="s">
        <v>55</v>
      </c>
      <c r="I9" s="241" t="s">
        <v>55</v>
      </c>
      <c r="J9" s="241">
        <v>0.0</v>
      </c>
      <c r="K9" s="241" t="s">
        <v>55</v>
      </c>
      <c r="L9" s="241">
        <v>0.0</v>
      </c>
      <c r="M9" s="241">
        <v>0.0</v>
      </c>
      <c r="N9" s="241">
        <v>0.0</v>
      </c>
      <c r="O9" s="241" t="s">
        <v>55</v>
      </c>
      <c r="P9" s="241">
        <v>0.0</v>
      </c>
      <c r="Q9" s="241" t="s">
        <v>55</v>
      </c>
      <c r="R9" s="241">
        <v>0.0</v>
      </c>
      <c r="S9" s="241">
        <v>0.0</v>
      </c>
      <c r="T9" s="241">
        <v>0.0</v>
      </c>
      <c r="U9" s="241">
        <v>0.0</v>
      </c>
      <c r="V9" s="241">
        <v>0.0</v>
      </c>
      <c r="W9" s="241" t="s">
        <v>55</v>
      </c>
      <c r="X9" s="241" t="s">
        <v>55</v>
      </c>
      <c r="Y9" s="241" t="s">
        <v>55</v>
      </c>
      <c r="Z9" s="241">
        <v>0.0</v>
      </c>
      <c r="AA9" s="241">
        <v>5.0</v>
      </c>
      <c r="AB9" s="241">
        <v>0.0</v>
      </c>
      <c r="AC9" s="241">
        <v>29.0</v>
      </c>
      <c r="AD9" s="241">
        <v>0.0</v>
      </c>
      <c r="AE9" s="241" t="s">
        <v>55</v>
      </c>
      <c r="AF9" s="241">
        <v>0.0</v>
      </c>
      <c r="AG9" s="241" t="s">
        <v>55</v>
      </c>
      <c r="AH9" s="241" t="s">
        <v>55</v>
      </c>
      <c r="AI9" s="241">
        <v>0.0</v>
      </c>
      <c r="AJ9" s="241">
        <v>6.0</v>
      </c>
      <c r="AK9" s="241">
        <v>0.0</v>
      </c>
      <c r="AL9" s="241" t="s">
        <v>55</v>
      </c>
      <c r="AM9" s="241" t="s">
        <v>55</v>
      </c>
      <c r="AN9" s="241" t="s">
        <v>55</v>
      </c>
      <c r="AO9" s="241" t="s">
        <v>55</v>
      </c>
      <c r="AP9" s="241">
        <v>70.0</v>
      </c>
    </row>
    <row r="10">
      <c r="A10" s="240">
        <v>43952.0</v>
      </c>
      <c r="B10" s="241">
        <v>0.0</v>
      </c>
      <c r="C10" s="241" t="s">
        <v>55</v>
      </c>
      <c r="D10" s="241" t="s">
        <v>55</v>
      </c>
      <c r="E10" s="241" t="s">
        <v>55</v>
      </c>
      <c r="F10" s="241">
        <v>0.0</v>
      </c>
      <c r="G10" s="241">
        <v>0.0</v>
      </c>
      <c r="H10" s="241" t="s">
        <v>55</v>
      </c>
      <c r="I10" s="241" t="s">
        <v>55</v>
      </c>
      <c r="J10" s="241">
        <v>0.0</v>
      </c>
      <c r="K10" s="241" t="s">
        <v>55</v>
      </c>
      <c r="L10" s="241" t="s">
        <v>55</v>
      </c>
      <c r="M10" s="241">
        <v>0.0</v>
      </c>
      <c r="N10" s="241">
        <v>0.0</v>
      </c>
      <c r="O10" s="241">
        <v>0.0</v>
      </c>
      <c r="P10" s="241">
        <v>0.0</v>
      </c>
      <c r="Q10" s="241" t="s">
        <v>55</v>
      </c>
      <c r="R10" s="241" t="s">
        <v>55</v>
      </c>
      <c r="S10" s="241">
        <v>0.0</v>
      </c>
      <c r="T10" s="241" t="s">
        <v>55</v>
      </c>
      <c r="U10" s="241">
        <v>0.0</v>
      </c>
      <c r="V10" s="241">
        <v>0.0</v>
      </c>
      <c r="W10" s="241">
        <v>0.0</v>
      </c>
      <c r="X10" s="241" t="s">
        <v>55</v>
      </c>
      <c r="Y10" s="241" t="s">
        <v>55</v>
      </c>
      <c r="Z10" s="241" t="s">
        <v>55</v>
      </c>
      <c r="AA10" s="241" t="s">
        <v>55</v>
      </c>
      <c r="AB10" s="241">
        <v>0.0</v>
      </c>
      <c r="AC10" s="241">
        <v>28.0</v>
      </c>
      <c r="AD10" s="241">
        <v>0.0</v>
      </c>
      <c r="AE10" s="241">
        <v>0.0</v>
      </c>
      <c r="AF10" s="241" t="s">
        <v>55</v>
      </c>
      <c r="AG10" s="241">
        <v>0.0</v>
      </c>
      <c r="AH10" s="241" t="s">
        <v>55</v>
      </c>
      <c r="AI10" s="241" t="s">
        <v>55</v>
      </c>
      <c r="AJ10" s="241">
        <v>0.0</v>
      </c>
      <c r="AK10" s="241">
        <v>0.0</v>
      </c>
      <c r="AL10" s="241" t="s">
        <v>55</v>
      </c>
      <c r="AM10" s="241">
        <v>0.0</v>
      </c>
      <c r="AN10" s="241">
        <v>7.0</v>
      </c>
      <c r="AO10" s="241">
        <v>0.0</v>
      </c>
      <c r="AP10" s="241">
        <v>66.0</v>
      </c>
    </row>
    <row r="11">
      <c r="A11" s="240">
        <v>43983.0</v>
      </c>
      <c r="B11" s="241">
        <v>0.0</v>
      </c>
      <c r="C11" s="241" t="s">
        <v>55</v>
      </c>
      <c r="D11" s="241">
        <v>0.0</v>
      </c>
      <c r="E11" s="241" t="s">
        <v>55</v>
      </c>
      <c r="F11" s="241">
        <v>0.0</v>
      </c>
      <c r="G11" s="241">
        <v>0.0</v>
      </c>
      <c r="H11" s="241">
        <v>5.0</v>
      </c>
      <c r="I11" s="241">
        <v>0.0</v>
      </c>
      <c r="J11" s="241">
        <v>0.0</v>
      </c>
      <c r="K11" s="241" t="s">
        <v>55</v>
      </c>
      <c r="L11" s="241">
        <v>0.0</v>
      </c>
      <c r="M11" s="241">
        <v>0.0</v>
      </c>
      <c r="N11" s="241">
        <v>0.0</v>
      </c>
      <c r="O11" s="241">
        <v>0.0</v>
      </c>
      <c r="P11" s="241">
        <v>0.0</v>
      </c>
      <c r="Q11" s="241">
        <v>5.0</v>
      </c>
      <c r="R11" s="241">
        <v>0.0</v>
      </c>
      <c r="S11" s="241">
        <v>0.0</v>
      </c>
      <c r="T11" s="241">
        <v>0.0</v>
      </c>
      <c r="U11" s="241">
        <v>0.0</v>
      </c>
      <c r="V11" s="241">
        <v>0.0</v>
      </c>
      <c r="W11" s="241">
        <v>0.0</v>
      </c>
      <c r="X11" s="241">
        <v>0.0</v>
      </c>
      <c r="Y11" s="241" t="s">
        <v>55</v>
      </c>
      <c r="Z11" s="241" t="s">
        <v>55</v>
      </c>
      <c r="AA11" s="241">
        <v>5.0</v>
      </c>
      <c r="AB11" s="241">
        <v>0.0</v>
      </c>
      <c r="AC11" s="241">
        <v>15.0</v>
      </c>
      <c r="AD11" s="241">
        <v>0.0</v>
      </c>
      <c r="AE11" s="241">
        <v>0.0</v>
      </c>
      <c r="AF11" s="241">
        <v>0.0</v>
      </c>
      <c r="AG11" s="241">
        <v>0.0</v>
      </c>
      <c r="AH11" s="241">
        <v>0.0</v>
      </c>
      <c r="AI11" s="241" t="s">
        <v>55</v>
      </c>
      <c r="AJ11" s="241" t="s">
        <v>55</v>
      </c>
      <c r="AK11" s="241">
        <v>0.0</v>
      </c>
      <c r="AL11" s="241">
        <v>0.0</v>
      </c>
      <c r="AM11" s="241">
        <v>0.0</v>
      </c>
      <c r="AN11" s="241" t="s">
        <v>55</v>
      </c>
      <c r="AO11" s="241">
        <v>0.0</v>
      </c>
      <c r="AP11" s="241">
        <v>44.0</v>
      </c>
    </row>
    <row r="12">
      <c r="A12" s="240">
        <v>44013.0</v>
      </c>
      <c r="B12" s="241">
        <v>0.0</v>
      </c>
      <c r="C12" s="241">
        <v>0.0</v>
      </c>
      <c r="D12" s="241" t="s">
        <v>55</v>
      </c>
      <c r="E12" s="241" t="s">
        <v>55</v>
      </c>
      <c r="F12" s="241" t="s">
        <v>55</v>
      </c>
      <c r="G12" s="241">
        <v>0.0</v>
      </c>
      <c r="H12" s="241">
        <v>0.0</v>
      </c>
      <c r="I12" s="241">
        <v>0.0</v>
      </c>
      <c r="J12" s="241">
        <v>0.0</v>
      </c>
      <c r="K12" s="241">
        <v>0.0</v>
      </c>
      <c r="L12" s="241">
        <v>0.0</v>
      </c>
      <c r="M12" s="241">
        <v>0.0</v>
      </c>
      <c r="N12" s="241">
        <v>0.0</v>
      </c>
      <c r="O12" s="241">
        <v>0.0</v>
      </c>
      <c r="P12" s="241">
        <v>0.0</v>
      </c>
      <c r="Q12" s="241">
        <v>0.0</v>
      </c>
      <c r="R12" s="241">
        <v>0.0</v>
      </c>
      <c r="S12" s="241">
        <v>0.0</v>
      </c>
      <c r="T12" s="241" t="s">
        <v>55</v>
      </c>
      <c r="U12" s="241">
        <v>0.0</v>
      </c>
      <c r="V12" s="241">
        <v>0.0</v>
      </c>
      <c r="W12" s="241">
        <v>0.0</v>
      </c>
      <c r="X12" s="241">
        <v>0.0</v>
      </c>
      <c r="Y12" s="241">
        <v>0.0</v>
      </c>
      <c r="Z12" s="241">
        <v>0.0</v>
      </c>
      <c r="AA12" s="241">
        <v>0.0</v>
      </c>
      <c r="AB12" s="241">
        <v>0.0</v>
      </c>
      <c r="AC12" s="241">
        <v>7.0</v>
      </c>
      <c r="AD12" s="241">
        <v>0.0</v>
      </c>
      <c r="AE12" s="241">
        <v>0.0</v>
      </c>
      <c r="AF12" s="241" t="s">
        <v>55</v>
      </c>
      <c r="AG12" s="241">
        <v>0.0</v>
      </c>
      <c r="AH12" s="241" t="s">
        <v>55</v>
      </c>
      <c r="AI12" s="241">
        <v>0.0</v>
      </c>
      <c r="AJ12" s="241" t="s">
        <v>55</v>
      </c>
      <c r="AK12" s="241">
        <v>0.0</v>
      </c>
      <c r="AL12" s="241">
        <v>0.0</v>
      </c>
      <c r="AM12" s="241">
        <v>0.0</v>
      </c>
      <c r="AN12" s="241" t="s">
        <v>55</v>
      </c>
      <c r="AO12" s="241">
        <v>0.0</v>
      </c>
      <c r="AP12" s="241">
        <v>20.0</v>
      </c>
    </row>
    <row r="13">
      <c r="A13" s="240">
        <v>44044.0</v>
      </c>
      <c r="B13" s="241">
        <v>0.0</v>
      </c>
      <c r="C13" s="241">
        <v>0.0</v>
      </c>
      <c r="D13" s="241" t="s">
        <v>55</v>
      </c>
      <c r="E13" s="241">
        <v>0.0</v>
      </c>
      <c r="F13" s="241">
        <v>0.0</v>
      </c>
      <c r="G13" s="241">
        <v>0.0</v>
      </c>
      <c r="H13" s="241" t="s">
        <v>55</v>
      </c>
      <c r="I13" s="241">
        <v>0.0</v>
      </c>
      <c r="J13" s="241">
        <v>0.0</v>
      </c>
      <c r="K13" s="241">
        <v>0.0</v>
      </c>
      <c r="L13" s="241" t="s">
        <v>55</v>
      </c>
      <c r="M13" s="241">
        <v>0.0</v>
      </c>
      <c r="N13" s="241">
        <v>0.0</v>
      </c>
      <c r="O13" s="241">
        <v>0.0</v>
      </c>
      <c r="P13" s="241">
        <v>0.0</v>
      </c>
      <c r="Q13" s="241">
        <v>0.0</v>
      </c>
      <c r="R13" s="241" t="s">
        <v>55</v>
      </c>
      <c r="S13" s="241">
        <v>0.0</v>
      </c>
      <c r="T13" s="241">
        <v>0.0</v>
      </c>
      <c r="U13" s="241">
        <v>0.0</v>
      </c>
      <c r="V13" s="241">
        <v>0.0</v>
      </c>
      <c r="W13" s="241">
        <v>0.0</v>
      </c>
      <c r="X13" s="241" t="s">
        <v>55</v>
      </c>
      <c r="Y13" s="241" t="s">
        <v>55</v>
      </c>
      <c r="Z13" s="241" t="s">
        <v>55</v>
      </c>
      <c r="AA13" s="241">
        <v>0.0</v>
      </c>
      <c r="AB13" s="241">
        <v>0.0</v>
      </c>
      <c r="AC13" s="241">
        <v>6.0</v>
      </c>
      <c r="AD13" s="241">
        <v>0.0</v>
      </c>
      <c r="AE13" s="241">
        <v>0.0</v>
      </c>
      <c r="AF13" s="241">
        <v>0.0</v>
      </c>
      <c r="AG13" s="241">
        <v>0.0</v>
      </c>
      <c r="AH13" s="241">
        <v>0.0</v>
      </c>
      <c r="AI13" s="241">
        <v>0.0</v>
      </c>
      <c r="AJ13" s="241" t="s">
        <v>55</v>
      </c>
      <c r="AK13" s="241">
        <v>0.0</v>
      </c>
      <c r="AL13" s="241">
        <v>0.0</v>
      </c>
      <c r="AM13" s="241">
        <v>0.0</v>
      </c>
      <c r="AN13" s="241" t="s">
        <v>55</v>
      </c>
      <c r="AO13" s="241">
        <v>0.0</v>
      </c>
      <c r="AP13" s="241">
        <v>16.0</v>
      </c>
    </row>
    <row r="14">
      <c r="A14" s="240">
        <v>44075.0</v>
      </c>
      <c r="B14" s="241">
        <v>0.0</v>
      </c>
      <c r="C14" s="241">
        <v>0.0</v>
      </c>
      <c r="D14" s="241">
        <v>0.0</v>
      </c>
      <c r="E14" s="241" t="s">
        <v>55</v>
      </c>
      <c r="F14" s="241">
        <v>0.0</v>
      </c>
      <c r="G14" s="241">
        <v>0.0</v>
      </c>
      <c r="H14" s="241" t="s">
        <v>55</v>
      </c>
      <c r="I14" s="241" t="s">
        <v>55</v>
      </c>
      <c r="J14" s="241">
        <v>0.0</v>
      </c>
      <c r="K14" s="241">
        <v>0.0</v>
      </c>
      <c r="L14" s="241">
        <v>0.0</v>
      </c>
      <c r="M14" s="241">
        <v>0.0</v>
      </c>
      <c r="N14" s="241">
        <v>0.0</v>
      </c>
      <c r="O14" s="241">
        <v>0.0</v>
      </c>
      <c r="P14" s="241">
        <v>0.0</v>
      </c>
      <c r="Q14" s="241">
        <v>0.0</v>
      </c>
      <c r="R14" s="241">
        <v>0.0</v>
      </c>
      <c r="S14" s="241">
        <v>0.0</v>
      </c>
      <c r="T14" s="241">
        <v>0.0</v>
      </c>
      <c r="U14" s="241">
        <v>0.0</v>
      </c>
      <c r="V14" s="241">
        <v>0.0</v>
      </c>
      <c r="W14" s="241">
        <v>0.0</v>
      </c>
      <c r="X14" s="241">
        <v>0.0</v>
      </c>
      <c r="Y14" s="241" t="s">
        <v>55</v>
      </c>
      <c r="Z14" s="241">
        <v>0.0</v>
      </c>
      <c r="AA14" s="241" t="s">
        <v>55</v>
      </c>
      <c r="AB14" s="241">
        <v>0.0</v>
      </c>
      <c r="AC14" s="241" t="s">
        <v>55</v>
      </c>
      <c r="AD14" s="241">
        <v>0.0</v>
      </c>
      <c r="AE14" s="241">
        <v>0.0</v>
      </c>
      <c r="AF14" s="241">
        <v>0.0</v>
      </c>
      <c r="AG14" s="241">
        <v>0.0</v>
      </c>
      <c r="AH14" s="241">
        <v>0.0</v>
      </c>
      <c r="AI14" s="241">
        <v>0.0</v>
      </c>
      <c r="AJ14" s="241" t="s">
        <v>55</v>
      </c>
      <c r="AK14" s="241">
        <v>0.0</v>
      </c>
      <c r="AL14" s="241">
        <v>0.0</v>
      </c>
      <c r="AM14" s="241" t="s">
        <v>55</v>
      </c>
      <c r="AN14" s="241">
        <v>0.0</v>
      </c>
      <c r="AO14" s="241">
        <v>0.0</v>
      </c>
      <c r="AP14" s="241">
        <v>11.0</v>
      </c>
    </row>
    <row r="15">
      <c r="A15" s="240">
        <v>44105.0</v>
      </c>
      <c r="B15" s="241">
        <v>0.0</v>
      </c>
      <c r="C15" s="241">
        <v>0.0</v>
      </c>
      <c r="D15" s="241" t="s">
        <v>55</v>
      </c>
      <c r="E15" s="241">
        <v>0.0</v>
      </c>
      <c r="F15" s="241">
        <v>0.0</v>
      </c>
      <c r="G15" s="241" t="s">
        <v>55</v>
      </c>
      <c r="H15" s="241">
        <v>5.0</v>
      </c>
      <c r="I15" s="241" t="s">
        <v>55</v>
      </c>
      <c r="J15" s="241">
        <v>0.0</v>
      </c>
      <c r="K15" s="241">
        <v>0.0</v>
      </c>
      <c r="L15" s="241">
        <v>0.0</v>
      </c>
      <c r="M15" s="241">
        <v>0.0</v>
      </c>
      <c r="N15" s="241">
        <v>0.0</v>
      </c>
      <c r="O15" s="241">
        <v>0.0</v>
      </c>
      <c r="P15" s="241">
        <v>0.0</v>
      </c>
      <c r="Q15" s="241" t="s">
        <v>55</v>
      </c>
      <c r="R15" s="241">
        <v>0.0</v>
      </c>
      <c r="S15" s="241">
        <v>0.0</v>
      </c>
      <c r="T15" s="241">
        <v>0.0</v>
      </c>
      <c r="U15" s="241" t="s">
        <v>55</v>
      </c>
      <c r="V15" s="241">
        <v>0.0</v>
      </c>
      <c r="W15" s="241">
        <v>0.0</v>
      </c>
      <c r="X15" s="241">
        <v>0.0</v>
      </c>
      <c r="Y15" s="241" t="s">
        <v>55</v>
      </c>
      <c r="Z15" s="241" t="s">
        <v>55</v>
      </c>
      <c r="AA15" s="241" t="s">
        <v>55</v>
      </c>
      <c r="AB15" s="241">
        <v>0.0</v>
      </c>
      <c r="AC15" s="241">
        <v>10.0</v>
      </c>
      <c r="AD15" s="241">
        <v>0.0</v>
      </c>
      <c r="AE15" s="241">
        <v>0.0</v>
      </c>
      <c r="AF15" s="241">
        <v>0.0</v>
      </c>
      <c r="AG15" s="241">
        <v>0.0</v>
      </c>
      <c r="AH15" s="241">
        <v>0.0</v>
      </c>
      <c r="AI15" s="241">
        <v>0.0</v>
      </c>
      <c r="AJ15" s="241" t="s">
        <v>55</v>
      </c>
      <c r="AK15" s="241">
        <v>0.0</v>
      </c>
      <c r="AL15" s="241">
        <v>0.0</v>
      </c>
      <c r="AM15" s="241">
        <v>0.0</v>
      </c>
      <c r="AN15" s="241" t="s">
        <v>55</v>
      </c>
      <c r="AO15" s="241">
        <v>0.0</v>
      </c>
      <c r="AP15" s="241">
        <v>34.0</v>
      </c>
    </row>
    <row r="16">
      <c r="A16" s="240">
        <v>44136.0</v>
      </c>
      <c r="B16" s="241" t="s">
        <v>55</v>
      </c>
      <c r="C16" s="241">
        <v>0.0</v>
      </c>
      <c r="D16" s="241">
        <v>0.0</v>
      </c>
      <c r="E16" s="241" t="s">
        <v>55</v>
      </c>
      <c r="F16" s="241">
        <v>0.0</v>
      </c>
      <c r="G16" s="241" t="s">
        <v>55</v>
      </c>
      <c r="H16" s="241">
        <v>6.0</v>
      </c>
      <c r="I16" s="241" t="s">
        <v>55</v>
      </c>
      <c r="J16" s="241">
        <v>0.0</v>
      </c>
      <c r="K16" s="241">
        <v>6.0</v>
      </c>
      <c r="L16" s="241">
        <v>0.0</v>
      </c>
      <c r="M16" s="241" t="s">
        <v>55</v>
      </c>
      <c r="N16" s="241" t="s">
        <v>55</v>
      </c>
      <c r="O16" s="241">
        <v>0.0</v>
      </c>
      <c r="P16" s="241">
        <v>0.0</v>
      </c>
      <c r="Q16" s="241" t="s">
        <v>55</v>
      </c>
      <c r="R16" s="241" t="s">
        <v>55</v>
      </c>
      <c r="S16" s="241">
        <v>0.0</v>
      </c>
      <c r="T16" s="241">
        <v>0.0</v>
      </c>
      <c r="U16" s="241" t="s">
        <v>55</v>
      </c>
      <c r="V16" s="241">
        <v>0.0</v>
      </c>
      <c r="W16" s="241">
        <v>0.0</v>
      </c>
      <c r="X16" s="241" t="s">
        <v>55</v>
      </c>
      <c r="Y16" s="241">
        <v>5.0</v>
      </c>
      <c r="Z16" s="241">
        <v>0.0</v>
      </c>
      <c r="AA16" s="241">
        <v>7.0</v>
      </c>
      <c r="AB16" s="241">
        <v>0.0</v>
      </c>
      <c r="AC16" s="241">
        <v>20.0</v>
      </c>
      <c r="AD16" s="241">
        <v>0.0</v>
      </c>
      <c r="AE16" s="241" t="s">
        <v>55</v>
      </c>
      <c r="AF16" s="241" t="s">
        <v>55</v>
      </c>
      <c r="AG16" s="241">
        <v>0.0</v>
      </c>
      <c r="AH16" s="241" t="s">
        <v>55</v>
      </c>
      <c r="AI16" s="241" t="s">
        <v>55</v>
      </c>
      <c r="AJ16" s="241">
        <v>8.0</v>
      </c>
      <c r="AK16" s="241">
        <v>0.0</v>
      </c>
      <c r="AL16" s="241" t="s">
        <v>55</v>
      </c>
      <c r="AM16" s="241" t="s">
        <v>55</v>
      </c>
      <c r="AN16" s="241">
        <v>5.0</v>
      </c>
      <c r="AO16" s="241" t="s">
        <v>55</v>
      </c>
      <c r="AP16" s="241">
        <v>90.0</v>
      </c>
    </row>
    <row r="17">
      <c r="A17" s="240">
        <v>44166.0</v>
      </c>
      <c r="B17" s="241" t="s">
        <v>55</v>
      </c>
      <c r="C17" s="241" t="s">
        <v>55</v>
      </c>
      <c r="D17" s="241" t="s">
        <v>55</v>
      </c>
      <c r="E17" s="241" t="s">
        <v>55</v>
      </c>
      <c r="F17" s="241">
        <v>0.0</v>
      </c>
      <c r="G17" s="241">
        <v>7.0</v>
      </c>
      <c r="H17" s="241">
        <v>23.0</v>
      </c>
      <c r="I17" s="241">
        <v>9.0</v>
      </c>
      <c r="J17" s="241" t="s">
        <v>55</v>
      </c>
      <c r="K17" s="241">
        <v>16.0</v>
      </c>
      <c r="L17" s="241" t="s">
        <v>55</v>
      </c>
      <c r="M17" s="241" t="s">
        <v>55</v>
      </c>
      <c r="N17" s="241" t="s">
        <v>55</v>
      </c>
      <c r="O17" s="241">
        <v>0.0</v>
      </c>
      <c r="P17" s="241">
        <v>0.0</v>
      </c>
      <c r="Q17" s="241">
        <v>6.0</v>
      </c>
      <c r="R17" s="241" t="s">
        <v>55</v>
      </c>
      <c r="S17" s="241">
        <v>0.0</v>
      </c>
      <c r="T17" s="241">
        <v>0.0</v>
      </c>
      <c r="U17" s="241" t="s">
        <v>55</v>
      </c>
      <c r="V17" s="241">
        <v>0.0</v>
      </c>
      <c r="W17" s="241" t="s">
        <v>55</v>
      </c>
      <c r="X17" s="241" t="s">
        <v>55</v>
      </c>
      <c r="Y17" s="241">
        <v>10.0</v>
      </c>
      <c r="Z17" s="241" t="s">
        <v>55</v>
      </c>
      <c r="AA17" s="241">
        <v>16.0</v>
      </c>
      <c r="AB17" s="241">
        <v>0.0</v>
      </c>
      <c r="AC17" s="241">
        <v>48.0</v>
      </c>
      <c r="AD17" s="241">
        <v>0.0</v>
      </c>
      <c r="AE17" s="241">
        <v>0.0</v>
      </c>
      <c r="AF17" s="241">
        <v>5.0</v>
      </c>
      <c r="AG17" s="241" t="s">
        <v>55</v>
      </c>
      <c r="AH17" s="241" t="s">
        <v>55</v>
      </c>
      <c r="AI17" s="241">
        <v>0.0</v>
      </c>
      <c r="AJ17" s="241">
        <v>13.0</v>
      </c>
      <c r="AK17" s="241">
        <v>0.0</v>
      </c>
      <c r="AL17" s="241">
        <v>10.0</v>
      </c>
      <c r="AM17" s="241">
        <v>5.0</v>
      </c>
      <c r="AN17" s="241">
        <v>21.0</v>
      </c>
      <c r="AO17" s="241" t="s">
        <v>55</v>
      </c>
      <c r="AP17" s="241">
        <v>224.0</v>
      </c>
    </row>
    <row r="18">
      <c r="A18" s="240">
        <v>44197.0</v>
      </c>
      <c r="B18" s="241" t="s">
        <v>55</v>
      </c>
      <c r="C18" s="241" t="s">
        <v>55</v>
      </c>
      <c r="D18" s="241" t="s">
        <v>55</v>
      </c>
      <c r="E18" s="241" t="s">
        <v>55</v>
      </c>
      <c r="F18" s="241" t="s">
        <v>55</v>
      </c>
      <c r="G18" s="241" t="s">
        <v>55</v>
      </c>
      <c r="H18" s="241">
        <v>16.0</v>
      </c>
      <c r="I18" s="241">
        <v>10.0</v>
      </c>
      <c r="J18" s="241" t="s">
        <v>55</v>
      </c>
      <c r="K18" s="241">
        <v>15.0</v>
      </c>
      <c r="L18" s="241" t="s">
        <v>55</v>
      </c>
      <c r="M18" s="241" t="s">
        <v>55</v>
      </c>
      <c r="N18" s="241" t="s">
        <v>55</v>
      </c>
      <c r="O18" s="241">
        <v>0.0</v>
      </c>
      <c r="P18" s="241" t="s">
        <v>55</v>
      </c>
      <c r="Q18" s="241">
        <v>5.0</v>
      </c>
      <c r="R18" s="241">
        <v>8.0</v>
      </c>
      <c r="S18" s="241" t="s">
        <v>55</v>
      </c>
      <c r="T18" s="241" t="s">
        <v>55</v>
      </c>
      <c r="U18" s="241" t="s">
        <v>55</v>
      </c>
      <c r="V18" s="241">
        <v>0.0</v>
      </c>
      <c r="W18" s="241" t="s">
        <v>55</v>
      </c>
      <c r="X18" s="241">
        <v>5.0</v>
      </c>
      <c r="Y18" s="241">
        <v>7.0</v>
      </c>
      <c r="Z18" s="241" t="s">
        <v>55</v>
      </c>
      <c r="AA18" s="241">
        <v>17.0</v>
      </c>
      <c r="AB18" s="241" t="s">
        <v>55</v>
      </c>
      <c r="AC18" s="241">
        <v>40.0</v>
      </c>
      <c r="AD18" s="241">
        <v>0.0</v>
      </c>
      <c r="AE18" s="241" t="s">
        <v>55</v>
      </c>
      <c r="AF18" s="241">
        <v>8.0</v>
      </c>
      <c r="AG18" s="241" t="s">
        <v>55</v>
      </c>
      <c r="AH18" s="241" t="s">
        <v>55</v>
      </c>
      <c r="AI18" s="241" t="s">
        <v>55</v>
      </c>
      <c r="AJ18" s="241">
        <v>14.0</v>
      </c>
      <c r="AK18" s="241" t="s">
        <v>55</v>
      </c>
      <c r="AL18" s="241" t="s">
        <v>55</v>
      </c>
      <c r="AM18" s="241">
        <v>7.0</v>
      </c>
      <c r="AN18" s="241">
        <v>12.0</v>
      </c>
      <c r="AO18" s="241" t="s">
        <v>55</v>
      </c>
      <c r="AP18" s="241">
        <v>210.0</v>
      </c>
    </row>
    <row r="19">
      <c r="A19" s="240">
        <v>44228.0</v>
      </c>
      <c r="B19" s="241">
        <v>0.0</v>
      </c>
      <c r="C19" s="241" t="s">
        <v>55</v>
      </c>
      <c r="D19" s="241">
        <v>0.0</v>
      </c>
      <c r="E19" s="241">
        <v>0.0</v>
      </c>
      <c r="F19" s="241">
        <v>0.0</v>
      </c>
      <c r="G19" s="241">
        <v>5.0</v>
      </c>
      <c r="H19" s="241" t="s">
        <v>55</v>
      </c>
      <c r="I19" s="241" t="s">
        <v>55</v>
      </c>
      <c r="J19" s="241" t="s">
        <v>55</v>
      </c>
      <c r="K19" s="241" t="s">
        <v>55</v>
      </c>
      <c r="L19" s="241">
        <v>0.0</v>
      </c>
      <c r="M19" s="241" t="s">
        <v>55</v>
      </c>
      <c r="N19" s="241" t="s">
        <v>55</v>
      </c>
      <c r="O19" s="241">
        <v>0.0</v>
      </c>
      <c r="P19" s="241">
        <v>0.0</v>
      </c>
      <c r="Q19" s="241" t="s">
        <v>55</v>
      </c>
      <c r="R19" s="241" t="s">
        <v>55</v>
      </c>
      <c r="S19" s="241" t="s">
        <v>55</v>
      </c>
      <c r="T19" s="241">
        <v>0.0</v>
      </c>
      <c r="U19" s="241" t="s">
        <v>55</v>
      </c>
      <c r="V19" s="241">
        <v>0.0</v>
      </c>
      <c r="W19" s="241" t="s">
        <v>55</v>
      </c>
      <c r="X19" s="241">
        <v>0.0</v>
      </c>
      <c r="Y19" s="241">
        <v>5.0</v>
      </c>
      <c r="Z19" s="241" t="s">
        <v>55</v>
      </c>
      <c r="AA19" s="241">
        <v>7.0</v>
      </c>
      <c r="AB19" s="241" t="s">
        <v>55</v>
      </c>
      <c r="AC19" s="241">
        <v>21.0</v>
      </c>
      <c r="AD19" s="241">
        <v>0.0</v>
      </c>
      <c r="AE19" s="241" t="s">
        <v>55</v>
      </c>
      <c r="AF19" s="241" t="s">
        <v>55</v>
      </c>
      <c r="AG19" s="241" t="s">
        <v>55</v>
      </c>
      <c r="AH19" s="241" t="s">
        <v>55</v>
      </c>
      <c r="AI19" s="241" t="s">
        <v>55</v>
      </c>
      <c r="AJ19" s="241">
        <v>7.0</v>
      </c>
      <c r="AK19" s="241">
        <v>0.0</v>
      </c>
      <c r="AL19" s="241" t="s">
        <v>55</v>
      </c>
      <c r="AM19" s="241" t="s">
        <v>55</v>
      </c>
      <c r="AN19" s="241">
        <v>10.0</v>
      </c>
      <c r="AO19" s="241">
        <v>0.0</v>
      </c>
      <c r="AP19" s="241">
        <v>97.0</v>
      </c>
    </row>
    <row r="20">
      <c r="A20" s="242" t="s">
        <v>105</v>
      </c>
      <c r="B20" s="243">
        <v>6.0</v>
      </c>
      <c r="C20" s="243">
        <v>11.0</v>
      </c>
      <c r="D20" s="243">
        <v>10.0</v>
      </c>
      <c r="E20" s="243">
        <v>20.0</v>
      </c>
      <c r="F20" s="243" t="s">
        <v>55</v>
      </c>
      <c r="G20" s="243">
        <v>21.0</v>
      </c>
      <c r="H20" s="243">
        <v>72.0</v>
      </c>
      <c r="I20" s="243">
        <v>32.0</v>
      </c>
      <c r="J20" s="243">
        <v>5.0</v>
      </c>
      <c r="K20" s="243">
        <v>45.0</v>
      </c>
      <c r="L20" s="243" t="s">
        <v>55</v>
      </c>
      <c r="M20" s="243">
        <v>5.0</v>
      </c>
      <c r="N20" s="243">
        <v>7.0</v>
      </c>
      <c r="O20" s="243" t="s">
        <v>55</v>
      </c>
      <c r="P20" s="243" t="s">
        <v>55</v>
      </c>
      <c r="Q20" s="243">
        <v>24.0</v>
      </c>
      <c r="R20" s="243">
        <v>21.0</v>
      </c>
      <c r="S20" s="243" t="s">
        <v>55</v>
      </c>
      <c r="T20" s="243" t="s">
        <v>55</v>
      </c>
      <c r="U20" s="243">
        <v>7.0</v>
      </c>
      <c r="V20" s="243">
        <v>0.0</v>
      </c>
      <c r="W20" s="243">
        <v>6.0</v>
      </c>
      <c r="X20" s="243">
        <v>12.0</v>
      </c>
      <c r="Y20" s="243">
        <v>39.0</v>
      </c>
      <c r="Z20" s="243">
        <v>13.0</v>
      </c>
      <c r="AA20" s="243">
        <v>66.0</v>
      </c>
      <c r="AB20" s="243">
        <v>5.0</v>
      </c>
      <c r="AC20" s="243">
        <v>226.0</v>
      </c>
      <c r="AD20" s="243">
        <v>0.0</v>
      </c>
      <c r="AE20" s="243" t="s">
        <v>55</v>
      </c>
      <c r="AF20" s="243">
        <v>20.0</v>
      </c>
      <c r="AG20" s="243">
        <v>8.0</v>
      </c>
      <c r="AH20" s="243">
        <v>8.0</v>
      </c>
      <c r="AI20" s="243">
        <v>6.0</v>
      </c>
      <c r="AJ20" s="243">
        <v>59.0</v>
      </c>
      <c r="AK20" s="243" t="s">
        <v>55</v>
      </c>
      <c r="AL20" s="243">
        <v>20.0</v>
      </c>
      <c r="AM20" s="243">
        <v>18.0</v>
      </c>
      <c r="AN20" s="243">
        <v>67.0</v>
      </c>
      <c r="AO20" s="243">
        <v>7.0</v>
      </c>
      <c r="AP20" s="243">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342</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0</v>
      </c>
      <c r="B3" s="196">
        <v>44259.0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ht="81.0" customHeight="1">
      <c r="A5" s="142" t="s">
        <v>343</v>
      </c>
      <c r="B5" s="111"/>
      <c r="C5" s="111"/>
      <c r="D5" s="111"/>
      <c r="E5" s="111"/>
      <c r="F5" s="111"/>
      <c r="G5" s="111"/>
      <c r="H5" s="111"/>
      <c r="I5" s="111"/>
      <c r="J5" s="111"/>
      <c r="K5" s="41"/>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ht="31.5" customHeight="1">
      <c r="A7" s="238" t="s">
        <v>167</v>
      </c>
      <c r="B7" s="239" t="s">
        <v>272</v>
      </c>
      <c r="C7" s="239" t="s">
        <v>273</v>
      </c>
      <c r="D7" s="239" t="s">
        <v>274</v>
      </c>
      <c r="E7" s="239" t="s">
        <v>275</v>
      </c>
      <c r="F7" s="239" t="s">
        <v>276</v>
      </c>
      <c r="G7" s="239" t="s">
        <v>277</v>
      </c>
      <c r="H7" s="239" t="s">
        <v>278</v>
      </c>
      <c r="I7" s="239" t="s">
        <v>279</v>
      </c>
      <c r="J7" s="239" t="s">
        <v>280</v>
      </c>
      <c r="K7" s="239" t="s">
        <v>281</v>
      </c>
      <c r="L7" s="239" t="s">
        <v>282</v>
      </c>
      <c r="M7" s="239" t="s">
        <v>283</v>
      </c>
      <c r="N7" s="239" t="s">
        <v>284</v>
      </c>
      <c r="O7" s="239" t="s">
        <v>285</v>
      </c>
      <c r="P7" s="239" t="s">
        <v>286</v>
      </c>
      <c r="Q7" s="239" t="s">
        <v>287</v>
      </c>
      <c r="R7" s="239" t="s">
        <v>288</v>
      </c>
      <c r="S7" s="239" t="s">
        <v>289</v>
      </c>
      <c r="T7" s="239" t="s">
        <v>290</v>
      </c>
      <c r="U7" s="239" t="s">
        <v>291</v>
      </c>
      <c r="V7" s="239" t="s">
        <v>292</v>
      </c>
      <c r="W7" s="239" t="s">
        <v>293</v>
      </c>
      <c r="X7" s="239" t="s">
        <v>294</v>
      </c>
      <c r="Y7" s="239" t="s">
        <v>295</v>
      </c>
      <c r="Z7" s="239" t="s">
        <v>296</v>
      </c>
      <c r="AA7" s="239" t="s">
        <v>297</v>
      </c>
      <c r="AB7" s="239" t="s">
        <v>298</v>
      </c>
      <c r="AC7" s="239" t="s">
        <v>299</v>
      </c>
      <c r="AD7" s="239" t="s">
        <v>300</v>
      </c>
      <c r="AE7" s="239" t="s">
        <v>301</v>
      </c>
      <c r="AF7" s="239" t="s">
        <v>302</v>
      </c>
      <c r="AG7" s="239" t="s">
        <v>303</v>
      </c>
      <c r="AH7" s="239" t="s">
        <v>304</v>
      </c>
      <c r="AI7" s="239" t="s">
        <v>305</v>
      </c>
      <c r="AJ7" s="239" t="s">
        <v>306</v>
      </c>
      <c r="AK7" s="239" t="s">
        <v>307</v>
      </c>
      <c r="AL7" s="239" t="s">
        <v>308</v>
      </c>
      <c r="AM7" s="239" t="s">
        <v>309</v>
      </c>
      <c r="AN7" s="239" t="s">
        <v>310</v>
      </c>
      <c r="AO7" s="239" t="s">
        <v>266</v>
      </c>
    </row>
    <row r="8">
      <c r="A8" s="247" t="s">
        <v>314</v>
      </c>
      <c r="B8" s="135">
        <v>16178.0</v>
      </c>
      <c r="C8" s="135">
        <v>22234.0</v>
      </c>
      <c r="D8" s="135">
        <v>16453.0</v>
      </c>
      <c r="E8" s="135">
        <v>19382.0</v>
      </c>
      <c r="F8" s="135">
        <v>7780.0</v>
      </c>
      <c r="G8" s="135">
        <v>34575.0</v>
      </c>
      <c r="H8" s="135">
        <v>81196.0</v>
      </c>
      <c r="I8" s="135">
        <v>34652.0</v>
      </c>
      <c r="J8" s="135">
        <v>13073.0</v>
      </c>
      <c r="K8" s="135">
        <v>47449.0</v>
      </c>
      <c r="L8" s="135">
        <v>6782.0</v>
      </c>
      <c r="M8" s="135">
        <v>4689.0</v>
      </c>
      <c r="N8" s="135">
        <v>10062.0</v>
      </c>
      <c r="O8" s="135">
        <v>8111.0</v>
      </c>
      <c r="P8" s="135">
        <v>5496.0</v>
      </c>
      <c r="Q8" s="135">
        <v>29235.0</v>
      </c>
      <c r="R8" s="135">
        <v>21644.0</v>
      </c>
      <c r="S8" s="135">
        <v>3505.0</v>
      </c>
      <c r="T8" s="135">
        <v>16078.0</v>
      </c>
      <c r="U8" s="135">
        <v>15550.0</v>
      </c>
      <c r="V8" s="119">
        <v>827.0</v>
      </c>
      <c r="W8" s="135">
        <v>24762.0</v>
      </c>
      <c r="X8" s="135">
        <v>26207.0</v>
      </c>
      <c r="Y8" s="135">
        <v>32459.0</v>
      </c>
      <c r="Z8" s="135">
        <v>12349.0</v>
      </c>
      <c r="AA8" s="135">
        <v>71756.0</v>
      </c>
      <c r="AB8" s="135">
        <v>17418.0</v>
      </c>
      <c r="AC8" s="135">
        <v>179435.0</v>
      </c>
      <c r="AD8" s="135">
        <v>7626.0</v>
      </c>
      <c r="AE8" s="135">
        <v>10603.0</v>
      </c>
      <c r="AF8" s="135">
        <v>21630.0</v>
      </c>
      <c r="AG8" s="135">
        <v>30735.0</v>
      </c>
      <c r="AH8" s="135">
        <v>15816.0</v>
      </c>
      <c r="AI8" s="135">
        <v>10488.0</v>
      </c>
      <c r="AJ8" s="135">
        <v>81079.0</v>
      </c>
      <c r="AK8" s="135">
        <v>6179.0</v>
      </c>
      <c r="AL8" s="135">
        <v>28955.0</v>
      </c>
      <c r="AM8" s="135">
        <v>22624.0</v>
      </c>
      <c r="AN8" s="135">
        <v>41539.0</v>
      </c>
      <c r="AO8" s="135">
        <v>1056611.0</v>
      </c>
    </row>
    <row r="9">
      <c r="A9" s="240">
        <v>43891.0</v>
      </c>
      <c r="B9" s="119">
        <v>0.0</v>
      </c>
      <c r="C9" s="119">
        <v>0.0</v>
      </c>
      <c r="D9" s="119">
        <v>0.0</v>
      </c>
      <c r="E9" s="119">
        <v>0.0</v>
      </c>
      <c r="F9" s="119">
        <v>0.0</v>
      </c>
      <c r="G9" s="119">
        <v>0.0</v>
      </c>
      <c r="H9" s="119" t="s">
        <v>163</v>
      </c>
      <c r="I9" s="119" t="s">
        <v>163</v>
      </c>
      <c r="J9" s="119">
        <v>0.0</v>
      </c>
      <c r="K9" s="119">
        <v>0.0</v>
      </c>
      <c r="L9" s="119">
        <v>0.0</v>
      </c>
      <c r="M9" s="119">
        <v>0.0</v>
      </c>
      <c r="N9" s="119">
        <v>0.0</v>
      </c>
      <c r="O9" s="119">
        <v>0.0</v>
      </c>
      <c r="P9" s="119">
        <v>0.0</v>
      </c>
      <c r="Q9" s="119">
        <v>0.0</v>
      </c>
      <c r="R9" s="119">
        <v>0.0</v>
      </c>
      <c r="S9" s="119" t="s">
        <v>163</v>
      </c>
      <c r="T9" s="119">
        <v>0.0</v>
      </c>
      <c r="U9" s="119">
        <v>0.0</v>
      </c>
      <c r="V9" s="119">
        <v>0.0</v>
      </c>
      <c r="W9" s="119">
        <v>0.0</v>
      </c>
      <c r="X9" s="119">
        <v>0.0</v>
      </c>
      <c r="Y9" s="119">
        <v>0.0</v>
      </c>
      <c r="Z9" s="119">
        <v>0.0</v>
      </c>
      <c r="AA9" s="119">
        <v>0.0</v>
      </c>
      <c r="AB9" s="119">
        <v>0.0</v>
      </c>
      <c r="AC9" s="119" t="s">
        <v>163</v>
      </c>
      <c r="AD9" s="119">
        <v>0.0</v>
      </c>
      <c r="AE9" s="119">
        <v>0.0</v>
      </c>
      <c r="AF9" s="119" t="s">
        <v>163</v>
      </c>
      <c r="AG9" s="119">
        <v>0.0</v>
      </c>
      <c r="AH9" s="119">
        <v>0.0</v>
      </c>
      <c r="AI9" s="119">
        <v>0.0</v>
      </c>
      <c r="AJ9" s="119">
        <v>0.0</v>
      </c>
      <c r="AK9" s="119">
        <v>0.0</v>
      </c>
      <c r="AL9" s="119">
        <v>0.0</v>
      </c>
      <c r="AM9" s="119">
        <v>0.0</v>
      </c>
      <c r="AN9" s="119">
        <v>0.0</v>
      </c>
      <c r="AO9" s="119">
        <v>1.0</v>
      </c>
    </row>
    <row r="10">
      <c r="A10" s="240">
        <v>43922.0</v>
      </c>
      <c r="B10" s="119">
        <v>0.0</v>
      </c>
      <c r="C10" s="119">
        <v>0.0</v>
      </c>
      <c r="D10" s="119">
        <v>0.0</v>
      </c>
      <c r="E10" s="119" t="s">
        <v>163</v>
      </c>
      <c r="F10" s="119">
        <v>0.0</v>
      </c>
      <c r="G10" s="119" t="s">
        <v>163</v>
      </c>
      <c r="H10" s="119" t="s">
        <v>163</v>
      </c>
      <c r="I10" s="119" t="s">
        <v>163</v>
      </c>
      <c r="J10" s="119">
        <v>0.0</v>
      </c>
      <c r="K10" s="119" t="s">
        <v>163</v>
      </c>
      <c r="L10" s="119">
        <v>0.0</v>
      </c>
      <c r="M10" s="119">
        <v>0.0</v>
      </c>
      <c r="N10" s="119">
        <v>0.0</v>
      </c>
      <c r="O10" s="119" t="s">
        <v>163</v>
      </c>
      <c r="P10" s="119">
        <v>0.0</v>
      </c>
      <c r="Q10" s="119" t="s">
        <v>163</v>
      </c>
      <c r="R10" s="119">
        <v>0.0</v>
      </c>
      <c r="S10" s="119">
        <v>0.0</v>
      </c>
      <c r="T10" s="119">
        <v>0.0</v>
      </c>
      <c r="U10" s="119">
        <v>0.0</v>
      </c>
      <c r="V10" s="119">
        <v>0.0</v>
      </c>
      <c r="W10" s="119" t="s">
        <v>163</v>
      </c>
      <c r="X10" s="119" t="s">
        <v>163</v>
      </c>
      <c r="Y10" s="119" t="s">
        <v>163</v>
      </c>
      <c r="Z10" s="119">
        <v>0.0</v>
      </c>
      <c r="AA10" s="119">
        <v>7.0</v>
      </c>
      <c r="AB10" s="119">
        <v>0.0</v>
      </c>
      <c r="AC10" s="119">
        <v>16.0</v>
      </c>
      <c r="AD10" s="119">
        <v>0.0</v>
      </c>
      <c r="AE10" s="119" t="s">
        <v>163</v>
      </c>
      <c r="AF10" s="119">
        <v>0.0</v>
      </c>
      <c r="AG10" s="119" t="s">
        <v>163</v>
      </c>
      <c r="AH10" s="119" t="s">
        <v>163</v>
      </c>
      <c r="AI10" s="119">
        <v>0.0</v>
      </c>
      <c r="AJ10" s="119">
        <v>7.0</v>
      </c>
      <c r="AK10" s="119">
        <v>0.0</v>
      </c>
      <c r="AL10" s="119" t="s">
        <v>163</v>
      </c>
      <c r="AM10" s="119" t="s">
        <v>163</v>
      </c>
      <c r="AN10" s="119" t="s">
        <v>163</v>
      </c>
      <c r="AO10" s="119">
        <v>7.0</v>
      </c>
    </row>
    <row r="11">
      <c r="A11" s="240">
        <v>43952.0</v>
      </c>
      <c r="B11" s="119">
        <v>0.0</v>
      </c>
      <c r="C11" s="119" t="s">
        <v>163</v>
      </c>
      <c r="D11" s="119" t="s">
        <v>163</v>
      </c>
      <c r="E11" s="119" t="s">
        <v>163</v>
      </c>
      <c r="F11" s="119">
        <v>0.0</v>
      </c>
      <c r="G11" s="119">
        <v>0.0</v>
      </c>
      <c r="H11" s="119" t="s">
        <v>163</v>
      </c>
      <c r="I11" s="119" t="s">
        <v>163</v>
      </c>
      <c r="J11" s="119">
        <v>0.0</v>
      </c>
      <c r="K11" s="119" t="s">
        <v>163</v>
      </c>
      <c r="L11" s="119" t="s">
        <v>163</v>
      </c>
      <c r="M11" s="119">
        <v>0.0</v>
      </c>
      <c r="N11" s="119">
        <v>0.0</v>
      </c>
      <c r="O11" s="119">
        <v>0.0</v>
      </c>
      <c r="P11" s="119">
        <v>0.0</v>
      </c>
      <c r="Q11" s="119" t="s">
        <v>163</v>
      </c>
      <c r="R11" s="119" t="s">
        <v>163</v>
      </c>
      <c r="S11" s="119">
        <v>0.0</v>
      </c>
      <c r="T11" s="119" t="s">
        <v>163</v>
      </c>
      <c r="U11" s="119">
        <v>0.0</v>
      </c>
      <c r="V11" s="119">
        <v>0.0</v>
      </c>
      <c r="W11" s="119">
        <v>0.0</v>
      </c>
      <c r="X11" s="119" t="s">
        <v>163</v>
      </c>
      <c r="Y11" s="119" t="s">
        <v>163</v>
      </c>
      <c r="Z11" s="119" t="s">
        <v>163</v>
      </c>
      <c r="AA11" s="119" t="s">
        <v>163</v>
      </c>
      <c r="AB11" s="119">
        <v>0.0</v>
      </c>
      <c r="AC11" s="119">
        <v>16.0</v>
      </c>
      <c r="AD11" s="119">
        <v>0.0</v>
      </c>
      <c r="AE11" s="119">
        <v>0.0</v>
      </c>
      <c r="AF11" s="119" t="s">
        <v>163</v>
      </c>
      <c r="AG11" s="119">
        <v>0.0</v>
      </c>
      <c r="AH11" s="119" t="s">
        <v>163</v>
      </c>
      <c r="AI11" s="119" t="s">
        <v>163</v>
      </c>
      <c r="AJ11" s="119">
        <v>0.0</v>
      </c>
      <c r="AK11" s="119">
        <v>0.0</v>
      </c>
      <c r="AL11" s="119" t="s">
        <v>163</v>
      </c>
      <c r="AM11" s="119">
        <v>0.0</v>
      </c>
      <c r="AN11" s="119">
        <v>17.0</v>
      </c>
      <c r="AO11" s="119">
        <v>6.0</v>
      </c>
    </row>
    <row r="12">
      <c r="A12" s="240">
        <v>43983.0</v>
      </c>
      <c r="B12" s="119">
        <v>0.0</v>
      </c>
      <c r="C12" s="119" t="s">
        <v>163</v>
      </c>
      <c r="D12" s="119">
        <v>0.0</v>
      </c>
      <c r="E12" s="119" t="s">
        <v>163</v>
      </c>
      <c r="F12" s="119">
        <v>0.0</v>
      </c>
      <c r="G12" s="119">
        <v>0.0</v>
      </c>
      <c r="H12" s="119">
        <v>6.0</v>
      </c>
      <c r="I12" s="119">
        <v>0.0</v>
      </c>
      <c r="J12" s="119">
        <v>0.0</v>
      </c>
      <c r="K12" s="119" t="s">
        <v>163</v>
      </c>
      <c r="L12" s="119">
        <v>0.0</v>
      </c>
      <c r="M12" s="119">
        <v>0.0</v>
      </c>
      <c r="N12" s="119">
        <v>0.0</v>
      </c>
      <c r="O12" s="119">
        <v>0.0</v>
      </c>
      <c r="P12" s="119">
        <v>0.0</v>
      </c>
      <c r="Q12" s="119">
        <v>17.0</v>
      </c>
      <c r="R12" s="119">
        <v>0.0</v>
      </c>
      <c r="S12" s="119">
        <v>0.0</v>
      </c>
      <c r="T12" s="119">
        <v>0.0</v>
      </c>
      <c r="U12" s="119">
        <v>0.0</v>
      </c>
      <c r="V12" s="119">
        <v>0.0</v>
      </c>
      <c r="W12" s="119">
        <v>0.0</v>
      </c>
      <c r="X12" s="119">
        <v>0.0</v>
      </c>
      <c r="Y12" s="119" t="s">
        <v>163</v>
      </c>
      <c r="Z12" s="119" t="s">
        <v>163</v>
      </c>
      <c r="AA12" s="119">
        <v>7.0</v>
      </c>
      <c r="AB12" s="119">
        <v>0.0</v>
      </c>
      <c r="AC12" s="119">
        <v>8.0</v>
      </c>
      <c r="AD12" s="119">
        <v>0.0</v>
      </c>
      <c r="AE12" s="119">
        <v>0.0</v>
      </c>
      <c r="AF12" s="119">
        <v>0.0</v>
      </c>
      <c r="AG12" s="119">
        <v>0.0</v>
      </c>
      <c r="AH12" s="119">
        <v>0.0</v>
      </c>
      <c r="AI12" s="119" t="s">
        <v>163</v>
      </c>
      <c r="AJ12" s="119" t="s">
        <v>163</v>
      </c>
      <c r="AK12" s="119">
        <v>0.0</v>
      </c>
      <c r="AL12" s="119">
        <v>0.0</v>
      </c>
      <c r="AM12" s="119">
        <v>0.0</v>
      </c>
      <c r="AN12" s="119" t="s">
        <v>163</v>
      </c>
      <c r="AO12" s="119">
        <v>4.0</v>
      </c>
    </row>
    <row r="13">
      <c r="A13" s="240">
        <v>44013.0</v>
      </c>
      <c r="B13" s="119">
        <v>0.0</v>
      </c>
      <c r="C13" s="119">
        <v>0.0</v>
      </c>
      <c r="D13" s="119" t="s">
        <v>163</v>
      </c>
      <c r="E13" s="119" t="s">
        <v>163</v>
      </c>
      <c r="F13" s="119" t="s">
        <v>163</v>
      </c>
      <c r="G13" s="119">
        <v>0.0</v>
      </c>
      <c r="H13" s="119">
        <v>0.0</v>
      </c>
      <c r="I13" s="119">
        <v>0.0</v>
      </c>
      <c r="J13" s="119">
        <v>0.0</v>
      </c>
      <c r="K13" s="119">
        <v>0.0</v>
      </c>
      <c r="L13" s="119">
        <v>0.0</v>
      </c>
      <c r="M13" s="119">
        <v>0.0</v>
      </c>
      <c r="N13" s="119">
        <v>0.0</v>
      </c>
      <c r="O13" s="119">
        <v>0.0</v>
      </c>
      <c r="P13" s="119">
        <v>0.0</v>
      </c>
      <c r="Q13" s="119">
        <v>0.0</v>
      </c>
      <c r="R13" s="119">
        <v>0.0</v>
      </c>
      <c r="S13" s="119">
        <v>0.0</v>
      </c>
      <c r="T13" s="119" t="s">
        <v>163</v>
      </c>
      <c r="U13" s="119">
        <v>0.0</v>
      </c>
      <c r="V13" s="119">
        <v>0.0</v>
      </c>
      <c r="W13" s="119">
        <v>0.0</v>
      </c>
      <c r="X13" s="119">
        <v>0.0</v>
      </c>
      <c r="Y13" s="119">
        <v>0.0</v>
      </c>
      <c r="Z13" s="119">
        <v>0.0</v>
      </c>
      <c r="AA13" s="119">
        <v>0.0</v>
      </c>
      <c r="AB13" s="119">
        <v>0.0</v>
      </c>
      <c r="AC13" s="119">
        <v>4.0</v>
      </c>
      <c r="AD13" s="119">
        <v>0.0</v>
      </c>
      <c r="AE13" s="119">
        <v>0.0</v>
      </c>
      <c r="AF13" s="119" t="s">
        <v>163</v>
      </c>
      <c r="AG13" s="119">
        <v>0.0</v>
      </c>
      <c r="AH13" s="119" t="s">
        <v>163</v>
      </c>
      <c r="AI13" s="119">
        <v>0.0</v>
      </c>
      <c r="AJ13" s="119" t="s">
        <v>163</v>
      </c>
      <c r="AK13" s="119">
        <v>0.0</v>
      </c>
      <c r="AL13" s="119">
        <v>0.0</v>
      </c>
      <c r="AM13" s="119">
        <v>0.0</v>
      </c>
      <c r="AN13" s="119" t="s">
        <v>163</v>
      </c>
      <c r="AO13" s="119">
        <v>2.0</v>
      </c>
    </row>
    <row r="14">
      <c r="A14" s="240">
        <v>44044.0</v>
      </c>
      <c r="B14" s="119">
        <v>0.0</v>
      </c>
      <c r="C14" s="119">
        <v>0.0</v>
      </c>
      <c r="D14" s="119" t="s">
        <v>163</v>
      </c>
      <c r="E14" s="119">
        <v>0.0</v>
      </c>
      <c r="F14" s="119">
        <v>0.0</v>
      </c>
      <c r="G14" s="119">
        <v>0.0</v>
      </c>
      <c r="H14" s="119" t="s">
        <v>163</v>
      </c>
      <c r="I14" s="119">
        <v>0.0</v>
      </c>
      <c r="J14" s="119">
        <v>0.0</v>
      </c>
      <c r="K14" s="119">
        <v>0.0</v>
      </c>
      <c r="L14" s="119" t="s">
        <v>163</v>
      </c>
      <c r="M14" s="119">
        <v>0.0</v>
      </c>
      <c r="N14" s="119">
        <v>0.0</v>
      </c>
      <c r="O14" s="119">
        <v>0.0</v>
      </c>
      <c r="P14" s="119">
        <v>0.0</v>
      </c>
      <c r="Q14" s="119">
        <v>0.0</v>
      </c>
      <c r="R14" s="119" t="s">
        <v>163</v>
      </c>
      <c r="S14" s="119">
        <v>0.0</v>
      </c>
      <c r="T14" s="119">
        <v>0.0</v>
      </c>
      <c r="U14" s="119">
        <v>0.0</v>
      </c>
      <c r="V14" s="119">
        <v>0.0</v>
      </c>
      <c r="W14" s="119">
        <v>0.0</v>
      </c>
      <c r="X14" s="119" t="s">
        <v>163</v>
      </c>
      <c r="Y14" s="119" t="s">
        <v>163</v>
      </c>
      <c r="Z14" s="119" t="s">
        <v>163</v>
      </c>
      <c r="AA14" s="119">
        <v>0.0</v>
      </c>
      <c r="AB14" s="119">
        <v>0.0</v>
      </c>
      <c r="AC14" s="119">
        <v>3.0</v>
      </c>
      <c r="AD14" s="119">
        <v>0.0</v>
      </c>
      <c r="AE14" s="119">
        <v>0.0</v>
      </c>
      <c r="AF14" s="119">
        <v>0.0</v>
      </c>
      <c r="AG14" s="119">
        <v>0.0</v>
      </c>
      <c r="AH14" s="119">
        <v>0.0</v>
      </c>
      <c r="AI14" s="119">
        <v>0.0</v>
      </c>
      <c r="AJ14" s="119" t="s">
        <v>163</v>
      </c>
      <c r="AK14" s="119">
        <v>0.0</v>
      </c>
      <c r="AL14" s="119">
        <v>0.0</v>
      </c>
      <c r="AM14" s="119">
        <v>0.0</v>
      </c>
      <c r="AN14" s="119" t="s">
        <v>163</v>
      </c>
      <c r="AO14" s="119">
        <v>2.0</v>
      </c>
    </row>
    <row r="15">
      <c r="A15" s="240">
        <v>44075.0</v>
      </c>
      <c r="B15" s="119">
        <v>0.0</v>
      </c>
      <c r="C15" s="119">
        <v>0.0</v>
      </c>
      <c r="D15" s="119">
        <v>0.0</v>
      </c>
      <c r="E15" s="119" t="s">
        <v>163</v>
      </c>
      <c r="F15" s="119">
        <v>0.0</v>
      </c>
      <c r="G15" s="119">
        <v>0.0</v>
      </c>
      <c r="H15" s="119" t="s">
        <v>163</v>
      </c>
      <c r="I15" s="119" t="s">
        <v>163</v>
      </c>
      <c r="J15" s="119">
        <v>0.0</v>
      </c>
      <c r="K15" s="119">
        <v>0.0</v>
      </c>
      <c r="L15" s="119">
        <v>0.0</v>
      </c>
      <c r="M15" s="119">
        <v>0.0</v>
      </c>
      <c r="N15" s="119">
        <v>0.0</v>
      </c>
      <c r="O15" s="119">
        <v>0.0</v>
      </c>
      <c r="P15" s="119">
        <v>0.0</v>
      </c>
      <c r="Q15" s="119">
        <v>0.0</v>
      </c>
      <c r="R15" s="119">
        <v>0.0</v>
      </c>
      <c r="S15" s="119">
        <v>0.0</v>
      </c>
      <c r="T15" s="119">
        <v>0.0</v>
      </c>
      <c r="U15" s="119">
        <v>0.0</v>
      </c>
      <c r="V15" s="119">
        <v>0.0</v>
      </c>
      <c r="W15" s="119">
        <v>0.0</v>
      </c>
      <c r="X15" s="119">
        <v>0.0</v>
      </c>
      <c r="Y15" s="119" t="s">
        <v>163</v>
      </c>
      <c r="Z15" s="119">
        <v>0.0</v>
      </c>
      <c r="AA15" s="119" t="s">
        <v>163</v>
      </c>
      <c r="AB15" s="119">
        <v>0.0</v>
      </c>
      <c r="AC15" s="119" t="s">
        <v>163</v>
      </c>
      <c r="AD15" s="119">
        <v>0.0</v>
      </c>
      <c r="AE15" s="119">
        <v>0.0</v>
      </c>
      <c r="AF15" s="119">
        <v>0.0</v>
      </c>
      <c r="AG15" s="119">
        <v>0.0</v>
      </c>
      <c r="AH15" s="119">
        <v>0.0</v>
      </c>
      <c r="AI15" s="119">
        <v>0.0</v>
      </c>
      <c r="AJ15" s="119" t="s">
        <v>163</v>
      </c>
      <c r="AK15" s="119">
        <v>0.0</v>
      </c>
      <c r="AL15" s="119">
        <v>0.0</v>
      </c>
      <c r="AM15" s="119" t="s">
        <v>163</v>
      </c>
      <c r="AN15" s="119">
        <v>0.0</v>
      </c>
      <c r="AO15" s="119">
        <v>1.0</v>
      </c>
    </row>
    <row r="16">
      <c r="A16" s="240">
        <v>44105.0</v>
      </c>
      <c r="B16" s="119">
        <v>0.0</v>
      </c>
      <c r="C16" s="119">
        <v>0.0</v>
      </c>
      <c r="D16" s="119" t="s">
        <v>163</v>
      </c>
      <c r="E16" s="119">
        <v>0.0</v>
      </c>
      <c r="F16" s="119">
        <v>0.0</v>
      </c>
      <c r="G16" s="119" t="s">
        <v>163</v>
      </c>
      <c r="H16" s="119">
        <v>6.0</v>
      </c>
      <c r="I16" s="119" t="s">
        <v>163</v>
      </c>
      <c r="J16" s="119">
        <v>0.0</v>
      </c>
      <c r="K16" s="119">
        <v>0.0</v>
      </c>
      <c r="L16" s="119">
        <v>0.0</v>
      </c>
      <c r="M16" s="119">
        <v>0.0</v>
      </c>
      <c r="N16" s="119">
        <v>0.0</v>
      </c>
      <c r="O16" s="119">
        <v>0.0</v>
      </c>
      <c r="P16" s="119">
        <v>0.0</v>
      </c>
      <c r="Q16" s="119" t="s">
        <v>163</v>
      </c>
      <c r="R16" s="119">
        <v>0.0</v>
      </c>
      <c r="S16" s="119">
        <v>0.0</v>
      </c>
      <c r="T16" s="119">
        <v>0.0</v>
      </c>
      <c r="U16" s="119" t="s">
        <v>163</v>
      </c>
      <c r="V16" s="119">
        <v>0.0</v>
      </c>
      <c r="W16" s="119">
        <v>0.0</v>
      </c>
      <c r="X16" s="119">
        <v>0.0</v>
      </c>
      <c r="Y16" s="119" t="s">
        <v>163</v>
      </c>
      <c r="Z16" s="119" t="s">
        <v>163</v>
      </c>
      <c r="AA16" s="119" t="s">
        <v>163</v>
      </c>
      <c r="AB16" s="119">
        <v>0.0</v>
      </c>
      <c r="AC16" s="119">
        <v>6.0</v>
      </c>
      <c r="AD16" s="119">
        <v>0.0</v>
      </c>
      <c r="AE16" s="119">
        <v>0.0</v>
      </c>
      <c r="AF16" s="119">
        <v>0.0</v>
      </c>
      <c r="AG16" s="119">
        <v>0.0</v>
      </c>
      <c r="AH16" s="119">
        <v>0.0</v>
      </c>
      <c r="AI16" s="119">
        <v>0.0</v>
      </c>
      <c r="AJ16" s="119" t="s">
        <v>163</v>
      </c>
      <c r="AK16" s="119">
        <v>0.0</v>
      </c>
      <c r="AL16" s="119">
        <v>0.0</v>
      </c>
      <c r="AM16" s="119">
        <v>0.0</v>
      </c>
      <c r="AN16" s="119" t="s">
        <v>163</v>
      </c>
      <c r="AO16" s="119">
        <v>3.0</v>
      </c>
    </row>
    <row r="17">
      <c r="A17" s="240">
        <v>44136.0</v>
      </c>
      <c r="B17" s="119" t="s">
        <v>163</v>
      </c>
      <c r="C17" s="119">
        <v>0.0</v>
      </c>
      <c r="D17" s="119">
        <v>0.0</v>
      </c>
      <c r="E17" s="119" t="s">
        <v>163</v>
      </c>
      <c r="F17" s="119">
        <v>0.0</v>
      </c>
      <c r="G17" s="119" t="s">
        <v>163</v>
      </c>
      <c r="H17" s="119">
        <v>7.0</v>
      </c>
      <c r="I17" s="119" t="s">
        <v>163</v>
      </c>
      <c r="J17" s="119">
        <v>0.0</v>
      </c>
      <c r="K17" s="119">
        <v>13.0</v>
      </c>
      <c r="L17" s="119">
        <v>0.0</v>
      </c>
      <c r="M17" s="119" t="s">
        <v>163</v>
      </c>
      <c r="N17" s="119" t="s">
        <v>163</v>
      </c>
      <c r="O17" s="119">
        <v>0.0</v>
      </c>
      <c r="P17" s="119">
        <v>0.0</v>
      </c>
      <c r="Q17" s="119" t="s">
        <v>163</v>
      </c>
      <c r="R17" s="119" t="s">
        <v>163</v>
      </c>
      <c r="S17" s="119">
        <v>0.0</v>
      </c>
      <c r="T17" s="119">
        <v>0.0</v>
      </c>
      <c r="U17" s="119" t="s">
        <v>163</v>
      </c>
      <c r="V17" s="119">
        <v>0.0</v>
      </c>
      <c r="W17" s="119">
        <v>0.0</v>
      </c>
      <c r="X17" s="119" t="s">
        <v>163</v>
      </c>
      <c r="Y17" s="119">
        <v>15.0</v>
      </c>
      <c r="Z17" s="119">
        <v>0.0</v>
      </c>
      <c r="AA17" s="119">
        <v>10.0</v>
      </c>
      <c r="AB17" s="119">
        <v>0.0</v>
      </c>
      <c r="AC17" s="119">
        <v>11.0</v>
      </c>
      <c r="AD17" s="119">
        <v>0.0</v>
      </c>
      <c r="AE17" s="119" t="s">
        <v>163</v>
      </c>
      <c r="AF17" s="119" t="s">
        <v>163</v>
      </c>
      <c r="AG17" s="119">
        <v>0.0</v>
      </c>
      <c r="AH17" s="119" t="s">
        <v>163</v>
      </c>
      <c r="AI17" s="119" t="s">
        <v>163</v>
      </c>
      <c r="AJ17" s="119">
        <v>10.0</v>
      </c>
      <c r="AK17" s="119">
        <v>0.0</v>
      </c>
      <c r="AL17" s="119" t="s">
        <v>163</v>
      </c>
      <c r="AM17" s="119" t="s">
        <v>163</v>
      </c>
      <c r="AN17" s="119">
        <v>12.0</v>
      </c>
      <c r="AO17" s="119">
        <v>9.0</v>
      </c>
    </row>
    <row r="18">
      <c r="A18" s="240">
        <v>44166.0</v>
      </c>
      <c r="B18" s="119" t="s">
        <v>163</v>
      </c>
      <c r="C18" s="119" t="s">
        <v>163</v>
      </c>
      <c r="D18" s="119" t="s">
        <v>163</v>
      </c>
      <c r="E18" s="119" t="s">
        <v>163</v>
      </c>
      <c r="F18" s="119">
        <v>0.0</v>
      </c>
      <c r="G18" s="119">
        <v>20.0</v>
      </c>
      <c r="H18" s="119">
        <v>28.0</v>
      </c>
      <c r="I18" s="119">
        <v>26.0</v>
      </c>
      <c r="J18" s="119" t="s">
        <v>163</v>
      </c>
      <c r="K18" s="119">
        <v>34.0</v>
      </c>
      <c r="L18" s="119" t="s">
        <v>163</v>
      </c>
      <c r="M18" s="119" t="s">
        <v>163</v>
      </c>
      <c r="N18" s="119" t="s">
        <v>163</v>
      </c>
      <c r="O18" s="119">
        <v>0.0</v>
      </c>
      <c r="P18" s="119">
        <v>0.0</v>
      </c>
      <c r="Q18" s="119">
        <v>21.0</v>
      </c>
      <c r="R18" s="119" t="s">
        <v>163</v>
      </c>
      <c r="S18" s="119">
        <v>0.0</v>
      </c>
      <c r="T18" s="119">
        <v>0.0</v>
      </c>
      <c r="U18" s="119" t="s">
        <v>163</v>
      </c>
      <c r="V18" s="119">
        <v>0.0</v>
      </c>
      <c r="W18" s="119" t="s">
        <v>163</v>
      </c>
      <c r="X18" s="119" t="s">
        <v>163</v>
      </c>
      <c r="Y18" s="119">
        <v>31.0</v>
      </c>
      <c r="Z18" s="119" t="s">
        <v>163</v>
      </c>
      <c r="AA18" s="119">
        <v>22.0</v>
      </c>
      <c r="AB18" s="119">
        <v>0.0</v>
      </c>
      <c r="AC18" s="119">
        <v>27.0</v>
      </c>
      <c r="AD18" s="119">
        <v>0.0</v>
      </c>
      <c r="AE18" s="119">
        <v>0.0</v>
      </c>
      <c r="AF18" s="119">
        <v>23.0</v>
      </c>
      <c r="AG18" s="119" t="s">
        <v>163</v>
      </c>
      <c r="AH18" s="119" t="s">
        <v>163</v>
      </c>
      <c r="AI18" s="119">
        <v>0.0</v>
      </c>
      <c r="AJ18" s="119">
        <v>16.0</v>
      </c>
      <c r="AK18" s="119">
        <v>0.0</v>
      </c>
      <c r="AL18" s="119">
        <v>35.0</v>
      </c>
      <c r="AM18" s="119">
        <v>22.0</v>
      </c>
      <c r="AN18" s="119">
        <v>51.0</v>
      </c>
      <c r="AO18" s="119">
        <v>21.0</v>
      </c>
    </row>
    <row r="19">
      <c r="A19" s="240">
        <v>44197.0</v>
      </c>
      <c r="B19" s="119" t="s">
        <v>163</v>
      </c>
      <c r="C19" s="119" t="s">
        <v>163</v>
      </c>
      <c r="D19" s="119" t="s">
        <v>163</v>
      </c>
      <c r="E19" s="119" t="s">
        <v>163</v>
      </c>
      <c r="F19" s="119" t="s">
        <v>163</v>
      </c>
      <c r="G19" s="119" t="s">
        <v>163</v>
      </c>
      <c r="H19" s="119">
        <v>20.0</v>
      </c>
      <c r="I19" s="119">
        <v>29.0</v>
      </c>
      <c r="J19" s="119" t="s">
        <v>163</v>
      </c>
      <c r="K19" s="119">
        <v>32.0</v>
      </c>
      <c r="L19" s="119" t="s">
        <v>163</v>
      </c>
      <c r="M19" s="119" t="s">
        <v>163</v>
      </c>
      <c r="N19" s="119" t="s">
        <v>163</v>
      </c>
      <c r="O19" s="119">
        <v>0.0</v>
      </c>
      <c r="P19" s="119" t="s">
        <v>163</v>
      </c>
      <c r="Q19" s="119">
        <v>17.0</v>
      </c>
      <c r="R19" s="119">
        <v>37.0</v>
      </c>
      <c r="S19" s="119" t="s">
        <v>163</v>
      </c>
      <c r="T19" s="119" t="s">
        <v>163</v>
      </c>
      <c r="U19" s="119" t="s">
        <v>163</v>
      </c>
      <c r="V19" s="119">
        <v>0.0</v>
      </c>
      <c r="W19" s="119" t="s">
        <v>163</v>
      </c>
      <c r="X19" s="119">
        <v>19.0</v>
      </c>
      <c r="Y19" s="119">
        <v>22.0</v>
      </c>
      <c r="Z19" s="119" t="s">
        <v>163</v>
      </c>
      <c r="AA19" s="119">
        <v>24.0</v>
      </c>
      <c r="AB19" s="119" t="s">
        <v>163</v>
      </c>
      <c r="AC19" s="119">
        <v>22.0</v>
      </c>
      <c r="AD19" s="119">
        <v>0.0</v>
      </c>
      <c r="AE19" s="119" t="s">
        <v>163</v>
      </c>
      <c r="AF19" s="119">
        <v>37.0</v>
      </c>
      <c r="AG19" s="119" t="s">
        <v>163</v>
      </c>
      <c r="AH19" s="119" t="s">
        <v>163</v>
      </c>
      <c r="AI19" s="119" t="s">
        <v>163</v>
      </c>
      <c r="AJ19" s="119">
        <v>17.0</v>
      </c>
      <c r="AK19" s="119" t="s">
        <v>163</v>
      </c>
      <c r="AL19" s="119" t="s">
        <v>163</v>
      </c>
      <c r="AM19" s="119">
        <v>31.0</v>
      </c>
      <c r="AN19" s="119">
        <v>29.0</v>
      </c>
      <c r="AO19" s="119">
        <v>20.0</v>
      </c>
    </row>
    <row r="20">
      <c r="A20" s="240">
        <v>44228.0</v>
      </c>
      <c r="B20" s="119">
        <v>0.0</v>
      </c>
      <c r="C20" s="119" t="s">
        <v>163</v>
      </c>
      <c r="D20" s="119">
        <v>0.0</v>
      </c>
      <c r="E20" s="119">
        <v>0.0</v>
      </c>
      <c r="F20" s="119">
        <v>0.0</v>
      </c>
      <c r="G20" s="119">
        <v>14.0</v>
      </c>
      <c r="H20" s="119" t="s">
        <v>163</v>
      </c>
      <c r="I20" s="119" t="s">
        <v>163</v>
      </c>
      <c r="J20" s="119" t="s">
        <v>163</v>
      </c>
      <c r="K20" s="119" t="s">
        <v>163</v>
      </c>
      <c r="L20" s="119">
        <v>0.0</v>
      </c>
      <c r="M20" s="119" t="s">
        <v>163</v>
      </c>
      <c r="N20" s="119" t="s">
        <v>163</v>
      </c>
      <c r="O20" s="119">
        <v>0.0</v>
      </c>
      <c r="P20" s="119">
        <v>0.0</v>
      </c>
      <c r="Q20" s="119" t="s">
        <v>163</v>
      </c>
      <c r="R20" s="119" t="s">
        <v>163</v>
      </c>
      <c r="S20" s="119" t="s">
        <v>163</v>
      </c>
      <c r="T20" s="119">
        <v>0.0</v>
      </c>
      <c r="U20" s="119" t="s">
        <v>163</v>
      </c>
      <c r="V20" s="119">
        <v>0.0</v>
      </c>
      <c r="W20" s="119" t="s">
        <v>163</v>
      </c>
      <c r="X20" s="119">
        <v>0.0</v>
      </c>
      <c r="Y20" s="119">
        <v>15.0</v>
      </c>
      <c r="Z20" s="119" t="s">
        <v>163</v>
      </c>
      <c r="AA20" s="119">
        <v>10.0</v>
      </c>
      <c r="AB20" s="119" t="s">
        <v>163</v>
      </c>
      <c r="AC20" s="119">
        <v>12.0</v>
      </c>
      <c r="AD20" s="119">
        <v>0.0</v>
      </c>
      <c r="AE20" s="119" t="s">
        <v>163</v>
      </c>
      <c r="AF20" s="119" t="s">
        <v>163</v>
      </c>
      <c r="AG20" s="119" t="s">
        <v>163</v>
      </c>
      <c r="AH20" s="119" t="s">
        <v>163</v>
      </c>
      <c r="AI20" s="119" t="s">
        <v>163</v>
      </c>
      <c r="AJ20" s="119">
        <v>9.0</v>
      </c>
      <c r="AK20" s="119">
        <v>0.0</v>
      </c>
      <c r="AL20" s="119" t="s">
        <v>163</v>
      </c>
      <c r="AM20" s="119" t="s">
        <v>163</v>
      </c>
      <c r="AN20" s="119">
        <v>24.0</v>
      </c>
      <c r="AO20" s="119">
        <v>9.0</v>
      </c>
    </row>
    <row r="21">
      <c r="A21" s="242" t="s">
        <v>105</v>
      </c>
      <c r="B21" s="246">
        <v>37.0</v>
      </c>
      <c r="C21" s="246">
        <v>49.0</v>
      </c>
      <c r="D21" s="246">
        <v>61.0</v>
      </c>
      <c r="E21" s="246">
        <v>103.0</v>
      </c>
      <c r="F21" s="246" t="s">
        <v>163</v>
      </c>
      <c r="G21" s="246">
        <v>61.0</v>
      </c>
      <c r="H21" s="246">
        <v>89.0</v>
      </c>
      <c r="I21" s="246">
        <v>92.0</v>
      </c>
      <c r="J21" s="246">
        <v>38.0</v>
      </c>
      <c r="K21" s="246">
        <v>95.0</v>
      </c>
      <c r="L21" s="246" t="s">
        <v>163</v>
      </c>
      <c r="M21" s="246">
        <v>107.0</v>
      </c>
      <c r="N21" s="246">
        <v>70.0</v>
      </c>
      <c r="O21" s="246" t="s">
        <v>163</v>
      </c>
      <c r="P21" s="246" t="s">
        <v>163</v>
      </c>
      <c r="Q21" s="246">
        <v>82.0</v>
      </c>
      <c r="R21" s="246">
        <v>97.0</v>
      </c>
      <c r="S21" s="246" t="s">
        <v>163</v>
      </c>
      <c r="T21" s="246" t="s">
        <v>163</v>
      </c>
      <c r="U21" s="246">
        <v>45.0</v>
      </c>
      <c r="V21" s="246">
        <v>0.0</v>
      </c>
      <c r="W21" s="246">
        <v>24.0</v>
      </c>
      <c r="X21" s="246">
        <v>46.0</v>
      </c>
      <c r="Y21" s="246">
        <v>120.0</v>
      </c>
      <c r="Z21" s="246">
        <v>105.0</v>
      </c>
      <c r="AA21" s="246">
        <v>92.0</v>
      </c>
      <c r="AB21" s="246">
        <v>29.0</v>
      </c>
      <c r="AC21" s="246">
        <v>126.0</v>
      </c>
      <c r="AD21" s="246">
        <v>0.0</v>
      </c>
      <c r="AE21" s="246" t="s">
        <v>163</v>
      </c>
      <c r="AF21" s="246">
        <v>92.0</v>
      </c>
      <c r="AG21" s="246">
        <v>26.0</v>
      </c>
      <c r="AH21" s="246">
        <v>51.0</v>
      </c>
      <c r="AI21" s="246">
        <v>57.0</v>
      </c>
      <c r="AJ21" s="246">
        <v>73.0</v>
      </c>
      <c r="AK21" s="246" t="s">
        <v>163</v>
      </c>
      <c r="AL21" s="246">
        <v>69.0</v>
      </c>
      <c r="AM21" s="246">
        <v>80.0</v>
      </c>
      <c r="AN21" s="246">
        <v>161.0</v>
      </c>
      <c r="AO21" s="246">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1" t="s">
        <v>344</v>
      </c>
      <c r="H1" s="102"/>
      <c r="I1" s="102"/>
      <c r="J1" s="102"/>
      <c r="K1" s="102"/>
      <c r="L1" s="104"/>
      <c r="M1" s="105"/>
      <c r="N1" s="104"/>
      <c r="O1" s="105"/>
      <c r="P1" s="104"/>
      <c r="Q1" s="12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172</v>
      </c>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0</v>
      </c>
      <c r="B3" s="195">
        <v>44265.0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9"/>
      <c r="B4" s="143"/>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c r="A5" s="197" t="s">
        <v>345</v>
      </c>
      <c r="B5" s="111"/>
      <c r="C5" s="111"/>
      <c r="D5" s="111"/>
      <c r="E5" s="111"/>
      <c r="F5" s="111"/>
      <c r="G5" s="111"/>
      <c r="H5" s="111"/>
      <c r="I5" s="111"/>
      <c r="J5" s="111"/>
      <c r="K5" s="41"/>
      <c r="L5" s="112"/>
      <c r="M5" s="112"/>
      <c r="N5" s="112"/>
      <c r="O5" s="112"/>
      <c r="P5" s="112"/>
      <c r="Q5" s="112"/>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04"/>
      <c r="B6" s="11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ht="26.25" customHeight="1">
      <c r="A7" s="159" t="s">
        <v>174</v>
      </c>
      <c r="B7" s="248" t="s">
        <v>272</v>
      </c>
      <c r="C7" s="248" t="s">
        <v>273</v>
      </c>
      <c r="D7" s="248" t="s">
        <v>274</v>
      </c>
      <c r="E7" s="248" t="s">
        <v>275</v>
      </c>
      <c r="F7" s="248" t="s">
        <v>276</v>
      </c>
      <c r="G7" s="248" t="s">
        <v>277</v>
      </c>
      <c r="H7" s="248" t="s">
        <v>278</v>
      </c>
      <c r="I7" s="248" t="s">
        <v>279</v>
      </c>
      <c r="J7" s="249" t="s">
        <v>280</v>
      </c>
      <c r="K7" s="249" t="s">
        <v>281</v>
      </c>
      <c r="L7" s="248" t="s">
        <v>282</v>
      </c>
      <c r="M7" s="248" t="s">
        <v>283</v>
      </c>
      <c r="N7" s="248" t="s">
        <v>284</v>
      </c>
      <c r="O7" s="248" t="s">
        <v>285</v>
      </c>
      <c r="P7" s="248" t="s">
        <v>286</v>
      </c>
      <c r="Q7" s="248" t="s">
        <v>287</v>
      </c>
      <c r="R7" s="248" t="s">
        <v>288</v>
      </c>
      <c r="S7" s="249" t="s">
        <v>289</v>
      </c>
      <c r="T7" s="248" t="s">
        <v>290</v>
      </c>
      <c r="U7" s="248" t="s">
        <v>291</v>
      </c>
      <c r="V7" s="249" t="s">
        <v>292</v>
      </c>
      <c r="W7" s="248" t="s">
        <v>293</v>
      </c>
      <c r="X7" s="249" t="s">
        <v>294</v>
      </c>
      <c r="Y7" s="249" t="s">
        <v>295</v>
      </c>
      <c r="Z7" s="249" t="s">
        <v>296</v>
      </c>
      <c r="AA7" s="248" t="s">
        <v>297</v>
      </c>
      <c r="AB7" s="248" t="s">
        <v>298</v>
      </c>
      <c r="AC7" s="248" t="s">
        <v>299</v>
      </c>
      <c r="AD7" s="248" t="s">
        <v>300</v>
      </c>
      <c r="AE7" s="248" t="s">
        <v>301</v>
      </c>
      <c r="AF7" s="248" t="s">
        <v>302</v>
      </c>
      <c r="AG7" s="249" t="s">
        <v>303</v>
      </c>
      <c r="AH7" s="248" t="s">
        <v>304</v>
      </c>
      <c r="AI7" s="248" t="s">
        <v>305</v>
      </c>
      <c r="AJ7" s="248" t="s">
        <v>306</v>
      </c>
      <c r="AK7" s="249" t="s">
        <v>307</v>
      </c>
      <c r="AL7" s="249" t="s">
        <v>308</v>
      </c>
      <c r="AM7" s="248" t="s">
        <v>309</v>
      </c>
      <c r="AN7" s="248" t="s">
        <v>310</v>
      </c>
      <c r="AO7" s="248" t="s">
        <v>346</v>
      </c>
      <c r="AP7" s="248" t="s">
        <v>105</v>
      </c>
    </row>
    <row r="8">
      <c r="A8" s="250" t="s">
        <v>147</v>
      </c>
      <c r="B8" s="74">
        <v>162.0</v>
      </c>
      <c r="C8" s="74">
        <v>42.0</v>
      </c>
      <c r="D8" s="74">
        <v>59.0</v>
      </c>
      <c r="E8" s="74" t="s">
        <v>55</v>
      </c>
      <c r="F8" s="74">
        <v>26.0</v>
      </c>
      <c r="G8" s="74">
        <v>119.0</v>
      </c>
      <c r="H8" s="74">
        <v>281.0</v>
      </c>
      <c r="I8" s="74">
        <v>99.0</v>
      </c>
      <c r="J8" s="74">
        <v>143.0</v>
      </c>
      <c r="K8" s="74">
        <v>150.0</v>
      </c>
      <c r="L8" s="74">
        <v>28.0</v>
      </c>
      <c r="M8" s="74">
        <v>15.0</v>
      </c>
      <c r="N8" s="74">
        <v>32.0</v>
      </c>
      <c r="O8" s="74">
        <v>21.0</v>
      </c>
      <c r="P8" s="74">
        <v>19.0</v>
      </c>
      <c r="Q8" s="74">
        <v>68.0</v>
      </c>
      <c r="R8" s="74">
        <v>71.0</v>
      </c>
      <c r="S8" s="74" t="s">
        <v>55</v>
      </c>
      <c r="T8" s="74">
        <v>43.0</v>
      </c>
      <c r="U8" s="74">
        <v>78.0</v>
      </c>
      <c r="V8" s="74">
        <v>0.0</v>
      </c>
      <c r="W8" s="74">
        <v>74.0</v>
      </c>
      <c r="X8" s="74">
        <v>133.0</v>
      </c>
      <c r="Y8" s="74">
        <v>98.0</v>
      </c>
      <c r="Z8" s="74">
        <v>29.0</v>
      </c>
      <c r="AA8" s="74">
        <v>117.0</v>
      </c>
      <c r="AB8" s="74">
        <v>58.0</v>
      </c>
      <c r="AC8" s="74">
        <v>680.0</v>
      </c>
      <c r="AD8" s="74">
        <v>32.0</v>
      </c>
      <c r="AE8" s="74">
        <v>34.0</v>
      </c>
      <c r="AF8" s="74">
        <v>73.0</v>
      </c>
      <c r="AG8" s="74">
        <v>168.0</v>
      </c>
      <c r="AH8" s="74">
        <v>21.0</v>
      </c>
      <c r="AI8" s="74">
        <v>25.0</v>
      </c>
      <c r="AJ8" s="74">
        <v>328.0</v>
      </c>
      <c r="AK8" s="74">
        <v>30.0</v>
      </c>
      <c r="AL8" s="74">
        <v>75.0</v>
      </c>
      <c r="AM8" s="74">
        <v>72.0</v>
      </c>
      <c r="AN8" s="74">
        <v>25.0</v>
      </c>
      <c r="AO8" s="74">
        <v>60.0</v>
      </c>
      <c r="AP8" s="118">
        <v>3596.0</v>
      </c>
    </row>
    <row r="9">
      <c r="A9" s="250" t="s">
        <v>148</v>
      </c>
      <c r="B9" s="74">
        <v>199.0</v>
      </c>
      <c r="C9" s="74">
        <v>107.0</v>
      </c>
      <c r="D9" s="74">
        <v>134.0</v>
      </c>
      <c r="E9" s="74">
        <v>21.0</v>
      </c>
      <c r="F9" s="74">
        <v>60.0</v>
      </c>
      <c r="G9" s="74">
        <v>251.0</v>
      </c>
      <c r="H9" s="74">
        <v>541.0</v>
      </c>
      <c r="I9" s="74">
        <v>235.0</v>
      </c>
      <c r="J9" s="74">
        <v>170.0</v>
      </c>
      <c r="K9" s="74">
        <v>328.0</v>
      </c>
      <c r="L9" s="74">
        <v>60.0</v>
      </c>
      <c r="M9" s="74">
        <v>28.0</v>
      </c>
      <c r="N9" s="74">
        <v>62.0</v>
      </c>
      <c r="O9" s="74">
        <v>43.0</v>
      </c>
      <c r="P9" s="74">
        <v>23.0</v>
      </c>
      <c r="Q9" s="74">
        <v>171.0</v>
      </c>
      <c r="R9" s="74">
        <v>151.0</v>
      </c>
      <c r="S9" s="74">
        <v>6.0</v>
      </c>
      <c r="T9" s="74">
        <v>76.0</v>
      </c>
      <c r="U9" s="74">
        <v>106.0</v>
      </c>
      <c r="V9" s="74">
        <v>0.0</v>
      </c>
      <c r="W9" s="74">
        <v>69.0</v>
      </c>
      <c r="X9" s="74">
        <v>199.0</v>
      </c>
      <c r="Y9" s="74">
        <v>201.0</v>
      </c>
      <c r="Z9" s="74">
        <v>102.0</v>
      </c>
      <c r="AA9" s="74">
        <v>242.0</v>
      </c>
      <c r="AB9" s="74">
        <v>74.0</v>
      </c>
      <c r="AC9" s="74">
        <v>938.0</v>
      </c>
      <c r="AD9" s="74">
        <v>52.0</v>
      </c>
      <c r="AE9" s="74">
        <v>89.0</v>
      </c>
      <c r="AF9" s="74">
        <v>117.0</v>
      </c>
      <c r="AG9" s="74">
        <v>225.0</v>
      </c>
      <c r="AH9" s="74">
        <v>46.0</v>
      </c>
      <c r="AI9" s="74">
        <v>46.0</v>
      </c>
      <c r="AJ9" s="74">
        <v>565.0</v>
      </c>
      <c r="AK9" s="74">
        <v>42.0</v>
      </c>
      <c r="AL9" s="74">
        <v>144.0</v>
      </c>
      <c r="AM9" s="74">
        <v>102.0</v>
      </c>
      <c r="AN9" s="74">
        <v>110.0</v>
      </c>
      <c r="AO9" s="74">
        <v>156.0</v>
      </c>
      <c r="AP9" s="118">
        <v>6291.0</v>
      </c>
    </row>
    <row r="10">
      <c r="A10" s="250" t="s">
        <v>149</v>
      </c>
      <c r="B10" s="74">
        <v>198.0</v>
      </c>
      <c r="C10" s="74">
        <v>526.0</v>
      </c>
      <c r="D10" s="74">
        <v>153.0</v>
      </c>
      <c r="E10" s="74">
        <v>836.0</v>
      </c>
      <c r="F10" s="74">
        <v>122.0</v>
      </c>
      <c r="G10" s="74">
        <v>418.0</v>
      </c>
      <c r="H10" s="74">
        <v>666.0</v>
      </c>
      <c r="I10" s="74">
        <v>312.0</v>
      </c>
      <c r="J10" s="74">
        <v>161.0</v>
      </c>
      <c r="K10" s="74">
        <v>523.0</v>
      </c>
      <c r="L10" s="74">
        <v>105.0</v>
      </c>
      <c r="M10" s="74">
        <v>44.0</v>
      </c>
      <c r="N10" s="74">
        <v>104.0</v>
      </c>
      <c r="O10" s="74">
        <v>157.0</v>
      </c>
      <c r="P10" s="74">
        <v>119.0</v>
      </c>
      <c r="Q10" s="74">
        <v>270.0</v>
      </c>
      <c r="R10" s="74">
        <v>217.0</v>
      </c>
      <c r="S10" s="74">
        <v>33.0</v>
      </c>
      <c r="T10" s="74">
        <v>148.0</v>
      </c>
      <c r="U10" s="74">
        <v>179.0</v>
      </c>
      <c r="V10" s="74">
        <v>71.0</v>
      </c>
      <c r="W10" s="74">
        <v>164.0</v>
      </c>
      <c r="X10" s="74">
        <v>324.0</v>
      </c>
      <c r="Y10" s="74">
        <v>267.0</v>
      </c>
      <c r="Z10" s="74">
        <v>206.0</v>
      </c>
      <c r="AA10" s="74">
        <v>675.0</v>
      </c>
      <c r="AB10" s="74">
        <v>212.0</v>
      </c>
      <c r="AC10" s="118">
        <v>1175.0</v>
      </c>
      <c r="AD10" s="74">
        <v>157.0</v>
      </c>
      <c r="AE10" s="74">
        <v>128.0</v>
      </c>
      <c r="AF10" s="74">
        <v>195.0</v>
      </c>
      <c r="AG10" s="74">
        <v>481.0</v>
      </c>
      <c r="AH10" s="74">
        <v>123.0</v>
      </c>
      <c r="AI10" s="74">
        <v>147.0</v>
      </c>
      <c r="AJ10" s="118">
        <v>1074.0</v>
      </c>
      <c r="AK10" s="74">
        <v>80.0</v>
      </c>
      <c r="AL10" s="74">
        <v>330.0</v>
      </c>
      <c r="AM10" s="74">
        <v>348.0</v>
      </c>
      <c r="AN10" s="74">
        <v>274.0</v>
      </c>
      <c r="AO10" s="74">
        <v>188.0</v>
      </c>
      <c r="AP10" s="118">
        <v>11910.0</v>
      </c>
    </row>
    <row r="11">
      <c r="A11" s="250" t="s">
        <v>150</v>
      </c>
      <c r="B11" s="74">
        <v>155.0</v>
      </c>
      <c r="C11" s="74">
        <v>211.0</v>
      </c>
      <c r="D11" s="74">
        <v>177.0</v>
      </c>
      <c r="E11" s="74">
        <v>389.0</v>
      </c>
      <c r="F11" s="74">
        <v>57.0</v>
      </c>
      <c r="G11" s="74">
        <v>569.0</v>
      </c>
      <c r="H11" s="74">
        <v>828.0</v>
      </c>
      <c r="I11" s="74">
        <v>346.0</v>
      </c>
      <c r="J11" s="74">
        <v>324.0</v>
      </c>
      <c r="K11" s="74">
        <v>743.0</v>
      </c>
      <c r="L11" s="74">
        <v>64.0</v>
      </c>
      <c r="M11" s="74">
        <v>65.0</v>
      </c>
      <c r="N11" s="74">
        <v>143.0</v>
      </c>
      <c r="O11" s="74">
        <v>69.0</v>
      </c>
      <c r="P11" s="74">
        <v>43.0</v>
      </c>
      <c r="Q11" s="74">
        <v>397.0</v>
      </c>
      <c r="R11" s="74">
        <v>287.0</v>
      </c>
      <c r="S11" s="74">
        <v>28.0</v>
      </c>
      <c r="T11" s="74">
        <v>254.0</v>
      </c>
      <c r="U11" s="74">
        <v>115.0</v>
      </c>
      <c r="V11" s="74" t="s">
        <v>55</v>
      </c>
      <c r="W11" s="74">
        <v>292.0</v>
      </c>
      <c r="X11" s="74">
        <v>314.0</v>
      </c>
      <c r="Y11" s="74">
        <v>344.0</v>
      </c>
      <c r="Z11" s="74">
        <v>144.0</v>
      </c>
      <c r="AA11" s="74">
        <v>675.0</v>
      </c>
      <c r="AB11" s="74">
        <v>169.0</v>
      </c>
      <c r="AC11" s="118">
        <v>1521.0</v>
      </c>
      <c r="AD11" s="74">
        <v>62.0</v>
      </c>
      <c r="AE11" s="74">
        <v>157.0</v>
      </c>
      <c r="AF11" s="74">
        <v>458.0</v>
      </c>
      <c r="AG11" s="74">
        <v>249.0</v>
      </c>
      <c r="AH11" s="74">
        <v>94.0</v>
      </c>
      <c r="AI11" s="74">
        <v>182.0</v>
      </c>
      <c r="AJ11" s="74">
        <v>988.0</v>
      </c>
      <c r="AK11" s="74">
        <v>82.0</v>
      </c>
      <c r="AL11" s="74">
        <v>251.0</v>
      </c>
      <c r="AM11" s="74">
        <v>162.0</v>
      </c>
      <c r="AN11" s="74">
        <v>470.0</v>
      </c>
      <c r="AO11" s="74">
        <v>74.0</v>
      </c>
      <c r="AP11" s="118">
        <v>11953.0</v>
      </c>
    </row>
    <row r="12">
      <c r="A12" s="250" t="s">
        <v>151</v>
      </c>
      <c r="B12" s="74">
        <v>137.0</v>
      </c>
      <c r="C12" s="74">
        <v>239.0</v>
      </c>
      <c r="D12" s="74">
        <v>260.0</v>
      </c>
      <c r="E12" s="74">
        <v>510.0</v>
      </c>
      <c r="F12" s="74">
        <v>50.0</v>
      </c>
      <c r="G12" s="74">
        <v>370.0</v>
      </c>
      <c r="H12" s="74">
        <v>848.0</v>
      </c>
      <c r="I12" s="74">
        <v>267.0</v>
      </c>
      <c r="J12" s="74">
        <v>96.0</v>
      </c>
      <c r="K12" s="74">
        <v>449.0</v>
      </c>
      <c r="L12" s="74">
        <v>67.0</v>
      </c>
      <c r="M12" s="74">
        <v>49.0</v>
      </c>
      <c r="N12" s="74">
        <v>123.0</v>
      </c>
      <c r="O12" s="74">
        <v>50.0</v>
      </c>
      <c r="P12" s="74">
        <v>43.0</v>
      </c>
      <c r="Q12" s="74">
        <v>295.0</v>
      </c>
      <c r="R12" s="74">
        <v>301.0</v>
      </c>
      <c r="S12" s="74">
        <v>9.0</v>
      </c>
      <c r="T12" s="74">
        <v>161.0</v>
      </c>
      <c r="U12" s="74">
        <v>130.0</v>
      </c>
      <c r="V12" s="74">
        <v>0.0</v>
      </c>
      <c r="W12" s="74">
        <v>168.0</v>
      </c>
      <c r="X12" s="74">
        <v>251.0</v>
      </c>
      <c r="Y12" s="74">
        <v>360.0</v>
      </c>
      <c r="Z12" s="74">
        <v>123.0</v>
      </c>
      <c r="AA12" s="74">
        <v>538.0</v>
      </c>
      <c r="AB12" s="74">
        <v>122.0</v>
      </c>
      <c r="AC12" s="118">
        <v>1161.0</v>
      </c>
      <c r="AD12" s="74">
        <v>60.0</v>
      </c>
      <c r="AE12" s="74">
        <v>123.0</v>
      </c>
      <c r="AF12" s="74">
        <v>333.0</v>
      </c>
      <c r="AG12" s="74">
        <v>248.0</v>
      </c>
      <c r="AH12" s="74">
        <v>81.0</v>
      </c>
      <c r="AI12" s="74">
        <v>139.0</v>
      </c>
      <c r="AJ12" s="74">
        <v>868.0</v>
      </c>
      <c r="AK12" s="74">
        <v>58.0</v>
      </c>
      <c r="AL12" s="74">
        <v>283.0</v>
      </c>
      <c r="AM12" s="74">
        <v>209.0</v>
      </c>
      <c r="AN12" s="74">
        <v>195.0</v>
      </c>
      <c r="AO12" s="74">
        <v>249.0</v>
      </c>
      <c r="AP12" s="118">
        <v>10023.0</v>
      </c>
    </row>
    <row r="13">
      <c r="A13" s="250" t="s">
        <v>152</v>
      </c>
      <c r="B13" s="74">
        <v>146.0</v>
      </c>
      <c r="C13" s="74">
        <v>296.0</v>
      </c>
      <c r="D13" s="74">
        <v>159.0</v>
      </c>
      <c r="E13" s="74">
        <v>877.0</v>
      </c>
      <c r="F13" s="74">
        <v>71.0</v>
      </c>
      <c r="G13" s="74">
        <v>280.0</v>
      </c>
      <c r="H13" s="74">
        <v>872.0</v>
      </c>
      <c r="I13" s="74">
        <v>376.0</v>
      </c>
      <c r="J13" s="74">
        <v>125.0</v>
      </c>
      <c r="K13" s="74">
        <v>610.0</v>
      </c>
      <c r="L13" s="74">
        <v>59.0</v>
      </c>
      <c r="M13" s="74">
        <v>36.0</v>
      </c>
      <c r="N13" s="74">
        <v>95.0</v>
      </c>
      <c r="O13" s="74">
        <v>144.0</v>
      </c>
      <c r="P13" s="74">
        <v>32.0</v>
      </c>
      <c r="Q13" s="74">
        <v>405.0</v>
      </c>
      <c r="R13" s="74">
        <v>199.0</v>
      </c>
      <c r="S13" s="74">
        <v>14.0</v>
      </c>
      <c r="T13" s="74">
        <v>75.0</v>
      </c>
      <c r="U13" s="74">
        <v>145.0</v>
      </c>
      <c r="V13" s="74" t="s">
        <v>55</v>
      </c>
      <c r="W13" s="74">
        <v>92.0</v>
      </c>
      <c r="X13" s="74">
        <v>290.0</v>
      </c>
      <c r="Y13" s="74">
        <v>433.0</v>
      </c>
      <c r="Z13" s="74">
        <v>115.0</v>
      </c>
      <c r="AA13" s="74">
        <v>703.0</v>
      </c>
      <c r="AB13" s="74">
        <v>86.0</v>
      </c>
      <c r="AC13" s="118">
        <v>1327.0</v>
      </c>
      <c r="AD13" s="74">
        <v>48.0</v>
      </c>
      <c r="AE13" s="74">
        <v>91.0</v>
      </c>
      <c r="AF13" s="74">
        <v>205.0</v>
      </c>
      <c r="AG13" s="74">
        <v>213.0</v>
      </c>
      <c r="AH13" s="74">
        <v>150.0</v>
      </c>
      <c r="AI13" s="74">
        <v>116.0</v>
      </c>
      <c r="AJ13" s="118">
        <v>1265.0</v>
      </c>
      <c r="AK13" s="74">
        <v>43.0</v>
      </c>
      <c r="AL13" s="74">
        <v>289.0</v>
      </c>
      <c r="AM13" s="74">
        <v>245.0</v>
      </c>
      <c r="AN13" s="74">
        <v>364.0</v>
      </c>
      <c r="AO13" s="74">
        <v>80.0</v>
      </c>
      <c r="AP13" s="118">
        <v>11172.0</v>
      </c>
    </row>
    <row r="14">
      <c r="A14" s="250" t="s">
        <v>153</v>
      </c>
      <c r="B14" s="74">
        <v>133.0</v>
      </c>
      <c r="C14" s="74">
        <v>278.0</v>
      </c>
      <c r="D14" s="74">
        <v>181.0</v>
      </c>
      <c r="E14" s="74">
        <v>526.0</v>
      </c>
      <c r="F14" s="74">
        <v>85.0</v>
      </c>
      <c r="G14" s="74">
        <v>609.0</v>
      </c>
      <c r="H14" s="74">
        <v>990.0</v>
      </c>
      <c r="I14" s="74">
        <v>359.0</v>
      </c>
      <c r="J14" s="74">
        <v>259.0</v>
      </c>
      <c r="K14" s="74">
        <v>667.0</v>
      </c>
      <c r="L14" s="74">
        <v>62.0</v>
      </c>
      <c r="M14" s="74">
        <v>61.0</v>
      </c>
      <c r="N14" s="74">
        <v>126.0</v>
      </c>
      <c r="O14" s="74">
        <v>73.0</v>
      </c>
      <c r="P14" s="74">
        <v>53.0</v>
      </c>
      <c r="Q14" s="74">
        <v>482.0</v>
      </c>
      <c r="R14" s="74">
        <v>366.0</v>
      </c>
      <c r="S14" s="74">
        <v>38.0</v>
      </c>
      <c r="T14" s="74">
        <v>318.0</v>
      </c>
      <c r="U14" s="74">
        <v>133.0</v>
      </c>
      <c r="V14" s="74">
        <v>7.0</v>
      </c>
      <c r="W14" s="74">
        <v>308.0</v>
      </c>
      <c r="X14" s="74">
        <v>446.0</v>
      </c>
      <c r="Y14" s="74">
        <v>408.0</v>
      </c>
      <c r="Z14" s="74">
        <v>314.0</v>
      </c>
      <c r="AA14" s="74">
        <v>863.0</v>
      </c>
      <c r="AB14" s="74">
        <v>127.0</v>
      </c>
      <c r="AC14" s="118">
        <v>1799.0</v>
      </c>
      <c r="AD14" s="74">
        <v>94.0</v>
      </c>
      <c r="AE14" s="74">
        <v>182.0</v>
      </c>
      <c r="AF14" s="74">
        <v>552.0</v>
      </c>
      <c r="AG14" s="74">
        <v>311.0</v>
      </c>
      <c r="AH14" s="74">
        <v>76.0</v>
      </c>
      <c r="AI14" s="74">
        <v>234.0</v>
      </c>
      <c r="AJ14" s="74">
        <v>918.0</v>
      </c>
      <c r="AK14" s="74">
        <v>64.0</v>
      </c>
      <c r="AL14" s="74">
        <v>532.0</v>
      </c>
      <c r="AM14" s="74">
        <v>124.0</v>
      </c>
      <c r="AN14" s="74">
        <v>543.0</v>
      </c>
      <c r="AO14" s="74">
        <v>424.0</v>
      </c>
      <c r="AP14" s="118">
        <v>14125.0</v>
      </c>
    </row>
    <row r="15">
      <c r="A15" s="250" t="s">
        <v>154</v>
      </c>
      <c r="B15" s="74">
        <v>281.0</v>
      </c>
      <c r="C15" s="74">
        <v>192.0</v>
      </c>
      <c r="D15" s="74">
        <v>205.0</v>
      </c>
      <c r="E15" s="74">
        <v>785.0</v>
      </c>
      <c r="F15" s="74">
        <v>104.0</v>
      </c>
      <c r="G15" s="74">
        <v>426.0</v>
      </c>
      <c r="H15" s="118">
        <v>1395.0</v>
      </c>
      <c r="I15" s="118">
        <v>1039.0</v>
      </c>
      <c r="J15" s="74">
        <v>354.0</v>
      </c>
      <c r="K15" s="74">
        <v>679.0</v>
      </c>
      <c r="L15" s="74">
        <v>88.0</v>
      </c>
      <c r="M15" s="74">
        <v>33.0</v>
      </c>
      <c r="N15" s="74">
        <v>93.0</v>
      </c>
      <c r="O15" s="74">
        <v>96.0</v>
      </c>
      <c r="P15" s="74">
        <v>115.0</v>
      </c>
      <c r="Q15" s="74">
        <v>291.0</v>
      </c>
      <c r="R15" s="74">
        <v>606.0</v>
      </c>
      <c r="S15" s="74">
        <v>31.0</v>
      </c>
      <c r="T15" s="74">
        <v>215.0</v>
      </c>
      <c r="U15" s="74">
        <v>262.0</v>
      </c>
      <c r="V15" s="74">
        <v>14.0</v>
      </c>
      <c r="W15" s="74">
        <v>388.0</v>
      </c>
      <c r="X15" s="74">
        <v>457.0</v>
      </c>
      <c r="Y15" s="74">
        <v>570.0</v>
      </c>
      <c r="Z15" s="74">
        <v>106.0</v>
      </c>
      <c r="AA15" s="118">
        <v>1081.0</v>
      </c>
      <c r="AB15" s="74">
        <v>383.0</v>
      </c>
      <c r="AC15" s="118">
        <v>1764.0</v>
      </c>
      <c r="AD15" s="74">
        <v>110.0</v>
      </c>
      <c r="AE15" s="74">
        <v>93.0</v>
      </c>
      <c r="AF15" s="74">
        <v>344.0</v>
      </c>
      <c r="AG15" s="74">
        <v>487.0</v>
      </c>
      <c r="AH15" s="74">
        <v>205.0</v>
      </c>
      <c r="AI15" s="74">
        <v>165.0</v>
      </c>
      <c r="AJ15" s="118">
        <v>1565.0</v>
      </c>
      <c r="AK15" s="74">
        <v>88.0</v>
      </c>
      <c r="AL15" s="74">
        <v>305.0</v>
      </c>
      <c r="AM15" s="74">
        <v>362.0</v>
      </c>
      <c r="AN15" s="74">
        <v>621.0</v>
      </c>
      <c r="AO15" s="74">
        <v>231.0</v>
      </c>
      <c r="AP15" s="118">
        <v>16629.0</v>
      </c>
    </row>
    <row r="16">
      <c r="A16" s="250" t="s">
        <v>155</v>
      </c>
      <c r="B16" s="74">
        <v>353.0</v>
      </c>
      <c r="C16" s="74">
        <v>318.0</v>
      </c>
      <c r="D16" s="74">
        <v>227.0</v>
      </c>
      <c r="E16" s="74">
        <v>507.0</v>
      </c>
      <c r="F16" s="74">
        <v>124.0</v>
      </c>
      <c r="G16" s="74">
        <v>772.0</v>
      </c>
      <c r="H16" s="118">
        <v>1417.0</v>
      </c>
      <c r="I16" s="74">
        <v>437.0</v>
      </c>
      <c r="J16" s="74">
        <v>302.0</v>
      </c>
      <c r="K16" s="74">
        <v>733.0</v>
      </c>
      <c r="L16" s="74">
        <v>129.0</v>
      </c>
      <c r="M16" s="74">
        <v>82.0</v>
      </c>
      <c r="N16" s="74">
        <v>126.0</v>
      </c>
      <c r="O16" s="74">
        <v>133.0</v>
      </c>
      <c r="P16" s="74">
        <v>94.0</v>
      </c>
      <c r="Q16" s="74">
        <v>619.0</v>
      </c>
      <c r="R16" s="74">
        <v>409.0</v>
      </c>
      <c r="S16" s="74">
        <v>55.0</v>
      </c>
      <c r="T16" s="74">
        <v>224.0</v>
      </c>
      <c r="U16" s="74">
        <v>278.0</v>
      </c>
      <c r="V16" s="74">
        <v>10.0</v>
      </c>
      <c r="W16" s="74">
        <v>276.0</v>
      </c>
      <c r="X16" s="74">
        <v>522.0</v>
      </c>
      <c r="Y16" s="74">
        <v>447.0</v>
      </c>
      <c r="Z16" s="74">
        <v>184.0</v>
      </c>
      <c r="AA16" s="74">
        <v>934.0</v>
      </c>
      <c r="AB16" s="74">
        <v>254.0</v>
      </c>
      <c r="AC16" s="118">
        <v>1694.0</v>
      </c>
      <c r="AD16" s="74">
        <v>106.0</v>
      </c>
      <c r="AE16" s="74">
        <v>171.0</v>
      </c>
      <c r="AF16" s="74">
        <v>383.0</v>
      </c>
      <c r="AG16" s="74">
        <v>570.0</v>
      </c>
      <c r="AH16" s="74">
        <v>185.0</v>
      </c>
      <c r="AI16" s="74">
        <v>132.0</v>
      </c>
      <c r="AJ16" s="118">
        <v>1548.0</v>
      </c>
      <c r="AK16" s="74">
        <v>96.0</v>
      </c>
      <c r="AL16" s="74">
        <v>536.0</v>
      </c>
      <c r="AM16" s="74">
        <v>289.0</v>
      </c>
      <c r="AN16" s="74">
        <v>408.0</v>
      </c>
      <c r="AO16" s="74">
        <v>287.0</v>
      </c>
      <c r="AP16" s="118">
        <v>16371.0</v>
      </c>
    </row>
    <row r="17">
      <c r="A17" s="250" t="s">
        <v>156</v>
      </c>
      <c r="B17" s="74">
        <v>640.0</v>
      </c>
      <c r="C17" s="74">
        <v>711.0</v>
      </c>
      <c r="D17" s="74">
        <v>279.0</v>
      </c>
      <c r="E17" s="74">
        <v>366.0</v>
      </c>
      <c r="F17" s="74">
        <v>160.0</v>
      </c>
      <c r="G17" s="118">
        <v>1119.0</v>
      </c>
      <c r="H17" s="118">
        <v>3346.0</v>
      </c>
      <c r="I17" s="74">
        <v>947.0</v>
      </c>
      <c r="J17" s="74">
        <v>458.0</v>
      </c>
      <c r="K17" s="118">
        <v>1477.0</v>
      </c>
      <c r="L17" s="74">
        <v>179.0</v>
      </c>
      <c r="M17" s="74">
        <v>99.0</v>
      </c>
      <c r="N17" s="74">
        <v>265.0</v>
      </c>
      <c r="O17" s="74">
        <v>128.0</v>
      </c>
      <c r="P17" s="74">
        <v>277.0</v>
      </c>
      <c r="Q17" s="74">
        <v>858.0</v>
      </c>
      <c r="R17" s="74">
        <v>515.0</v>
      </c>
      <c r="S17" s="74">
        <v>113.0</v>
      </c>
      <c r="T17" s="74">
        <v>460.0</v>
      </c>
      <c r="U17" s="74">
        <v>576.0</v>
      </c>
      <c r="V17" s="74">
        <v>13.0</v>
      </c>
      <c r="W17" s="74">
        <v>577.0</v>
      </c>
      <c r="X17" s="74">
        <v>768.0</v>
      </c>
      <c r="Y17" s="74">
        <v>929.0</v>
      </c>
      <c r="Z17" s="74">
        <v>340.0</v>
      </c>
      <c r="AA17" s="118">
        <v>1271.0</v>
      </c>
      <c r="AB17" s="74">
        <v>488.0</v>
      </c>
      <c r="AC17" s="118">
        <v>3560.0</v>
      </c>
      <c r="AD17" s="74">
        <v>85.0</v>
      </c>
      <c r="AE17" s="74">
        <v>309.0</v>
      </c>
      <c r="AF17" s="74">
        <v>742.0</v>
      </c>
      <c r="AG17" s="74">
        <v>948.0</v>
      </c>
      <c r="AH17" s="74">
        <v>346.0</v>
      </c>
      <c r="AI17" s="74">
        <v>310.0</v>
      </c>
      <c r="AJ17" s="118">
        <v>3162.0</v>
      </c>
      <c r="AK17" s="74">
        <v>186.0</v>
      </c>
      <c r="AL17" s="74">
        <v>843.0</v>
      </c>
      <c r="AM17" s="74">
        <v>670.0</v>
      </c>
      <c r="AN17" s="74">
        <v>703.0</v>
      </c>
      <c r="AO17" s="74">
        <v>39.0</v>
      </c>
      <c r="AP17" s="118">
        <v>29262.0</v>
      </c>
    </row>
    <row r="18">
      <c r="A18" s="250" t="s">
        <v>157</v>
      </c>
      <c r="B18" s="74">
        <v>823.0</v>
      </c>
      <c r="C18" s="118">
        <v>1271.0</v>
      </c>
      <c r="D18" s="74">
        <v>565.0</v>
      </c>
      <c r="E18" s="74">
        <v>106.0</v>
      </c>
      <c r="F18" s="74">
        <v>532.0</v>
      </c>
      <c r="G18" s="118">
        <v>1413.0</v>
      </c>
      <c r="H18" s="118">
        <v>3195.0</v>
      </c>
      <c r="I18" s="118">
        <v>1539.0</v>
      </c>
      <c r="J18" s="74">
        <v>515.0</v>
      </c>
      <c r="K18" s="118">
        <v>2077.0</v>
      </c>
      <c r="L18" s="74">
        <v>287.0</v>
      </c>
      <c r="M18" s="74">
        <v>200.0</v>
      </c>
      <c r="N18" s="74">
        <v>456.0</v>
      </c>
      <c r="O18" s="74">
        <v>381.0</v>
      </c>
      <c r="P18" s="74">
        <v>538.0</v>
      </c>
      <c r="Q18" s="118">
        <v>1080.0</v>
      </c>
      <c r="R18" s="118">
        <v>1015.0</v>
      </c>
      <c r="S18" s="74">
        <v>274.0</v>
      </c>
      <c r="T18" s="74">
        <v>678.0</v>
      </c>
      <c r="U18" s="74">
        <v>750.0</v>
      </c>
      <c r="V18" s="74">
        <v>7.0</v>
      </c>
      <c r="W18" s="74">
        <v>950.0</v>
      </c>
      <c r="X18" s="118">
        <v>1652.0</v>
      </c>
      <c r="Y18" s="118">
        <v>1761.0</v>
      </c>
      <c r="Z18" s="74">
        <v>587.0</v>
      </c>
      <c r="AA18" s="118">
        <v>1490.0</v>
      </c>
      <c r="AB18" s="74">
        <v>841.0</v>
      </c>
      <c r="AC18" s="118">
        <v>3648.0</v>
      </c>
      <c r="AD18" s="74">
        <v>406.0</v>
      </c>
      <c r="AE18" s="74">
        <v>536.0</v>
      </c>
      <c r="AF18" s="118">
        <v>1054.0</v>
      </c>
      <c r="AG18" s="118">
        <v>1427.0</v>
      </c>
      <c r="AH18" s="74">
        <v>732.0</v>
      </c>
      <c r="AI18" s="74">
        <v>547.0</v>
      </c>
      <c r="AJ18" s="118">
        <v>3824.0</v>
      </c>
      <c r="AK18" s="74">
        <v>272.0</v>
      </c>
      <c r="AL18" s="118">
        <v>1065.0</v>
      </c>
      <c r="AM18" s="74">
        <v>836.0</v>
      </c>
      <c r="AN18" s="74">
        <v>939.0</v>
      </c>
      <c r="AO18" s="74">
        <v>83.0</v>
      </c>
      <c r="AP18" s="118">
        <v>40352.0</v>
      </c>
    </row>
    <row r="19">
      <c r="A19" s="250" t="s">
        <v>158</v>
      </c>
      <c r="B19" s="118">
        <v>372.0</v>
      </c>
      <c r="C19" s="118">
        <v>721.0</v>
      </c>
      <c r="D19" s="118">
        <v>473.0</v>
      </c>
      <c r="E19" s="118">
        <v>109.0</v>
      </c>
      <c r="F19" s="118">
        <v>186.0</v>
      </c>
      <c r="G19" s="118">
        <v>1216.0</v>
      </c>
      <c r="H19" s="118">
        <v>2388.0</v>
      </c>
      <c r="I19" s="118">
        <v>1114.0</v>
      </c>
      <c r="J19" s="118">
        <v>589.0</v>
      </c>
      <c r="K19" s="118">
        <v>1320.0</v>
      </c>
      <c r="L19" s="118">
        <v>258.0</v>
      </c>
      <c r="M19" s="118">
        <v>166.0</v>
      </c>
      <c r="N19" s="118">
        <v>317.0</v>
      </c>
      <c r="O19" s="118">
        <v>197.0</v>
      </c>
      <c r="P19" s="118">
        <v>282.0</v>
      </c>
      <c r="Q19" s="118">
        <v>932.0</v>
      </c>
      <c r="R19" s="118">
        <v>705.0</v>
      </c>
      <c r="S19" s="118">
        <v>112.0</v>
      </c>
      <c r="T19" s="118">
        <v>530.0</v>
      </c>
      <c r="U19" s="118">
        <v>716.0</v>
      </c>
      <c r="V19" s="118">
        <v>7.0</v>
      </c>
      <c r="W19" s="118">
        <v>549.0</v>
      </c>
      <c r="X19" s="118">
        <v>824.0</v>
      </c>
      <c r="Y19" s="118">
        <v>1081.0</v>
      </c>
      <c r="Z19" s="118">
        <v>433.0</v>
      </c>
      <c r="AA19" s="118">
        <v>1477.0</v>
      </c>
      <c r="AB19" s="118">
        <v>580.0</v>
      </c>
      <c r="AC19" s="118">
        <v>4873.0</v>
      </c>
      <c r="AD19" s="118">
        <v>195.0</v>
      </c>
      <c r="AE19" s="118">
        <v>410.0</v>
      </c>
      <c r="AF19" s="118">
        <v>782.0</v>
      </c>
      <c r="AG19" s="118">
        <v>1075.0</v>
      </c>
      <c r="AH19" s="118">
        <v>469.0</v>
      </c>
      <c r="AI19" s="118">
        <v>309.0</v>
      </c>
      <c r="AJ19" s="118">
        <v>2909.0</v>
      </c>
      <c r="AK19" s="118">
        <v>225.0</v>
      </c>
      <c r="AL19" s="118">
        <v>1009.0</v>
      </c>
      <c r="AM19" s="118">
        <v>591.0</v>
      </c>
      <c r="AN19" s="118">
        <v>783.0</v>
      </c>
      <c r="AO19" s="118">
        <v>35.0</v>
      </c>
      <c r="AP19" s="118">
        <v>31319.0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347</v>
      </c>
      <c r="B1" s="105"/>
      <c r="C1" s="105"/>
      <c r="D1" s="105"/>
      <c r="E1" s="105"/>
      <c r="F1" s="105"/>
      <c r="G1" s="105"/>
      <c r="H1" s="105"/>
      <c r="I1" s="105"/>
      <c r="J1" s="105"/>
      <c r="K1" s="105"/>
      <c r="L1" s="105"/>
      <c r="M1" s="105"/>
      <c r="N1" s="12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348</v>
      </c>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0</v>
      </c>
      <c r="B3" s="196">
        <v>44265.0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c r="A5" s="251" t="s">
        <v>349</v>
      </c>
      <c r="B5" s="111"/>
      <c r="C5" s="111"/>
      <c r="D5" s="111"/>
      <c r="E5" s="111"/>
      <c r="F5" s="111"/>
      <c r="G5" s="111"/>
      <c r="H5" s="111"/>
      <c r="I5" s="111"/>
      <c r="J5" s="111"/>
      <c r="K5" s="41"/>
      <c r="L5" s="112"/>
      <c r="M5" s="112"/>
      <c r="N5" s="112"/>
      <c r="O5" s="112"/>
      <c r="P5" s="112"/>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ht="31.5" customHeight="1">
      <c r="A7" s="159" t="s">
        <v>174</v>
      </c>
      <c r="B7" s="155" t="s">
        <v>272</v>
      </c>
      <c r="C7" s="155" t="s">
        <v>273</v>
      </c>
      <c r="D7" s="155" t="s">
        <v>274</v>
      </c>
      <c r="E7" s="155" t="s">
        <v>275</v>
      </c>
      <c r="F7" s="155" t="s">
        <v>276</v>
      </c>
      <c r="G7" s="155" t="s">
        <v>277</v>
      </c>
      <c r="H7" s="155" t="s">
        <v>278</v>
      </c>
      <c r="I7" s="155" t="s">
        <v>279</v>
      </c>
      <c r="J7" s="154" t="s">
        <v>280</v>
      </c>
      <c r="K7" s="154" t="s">
        <v>281</v>
      </c>
      <c r="L7" s="155" t="s">
        <v>282</v>
      </c>
      <c r="M7" s="155" t="s">
        <v>283</v>
      </c>
      <c r="N7" s="155" t="s">
        <v>284</v>
      </c>
      <c r="O7" s="155" t="s">
        <v>285</v>
      </c>
      <c r="P7" s="155" t="s">
        <v>286</v>
      </c>
      <c r="Q7" s="155" t="s">
        <v>287</v>
      </c>
      <c r="R7" s="155" t="s">
        <v>288</v>
      </c>
      <c r="S7" s="154" t="s">
        <v>289</v>
      </c>
      <c r="T7" s="155" t="s">
        <v>290</v>
      </c>
      <c r="U7" s="155" t="s">
        <v>291</v>
      </c>
      <c r="V7" s="154" t="s">
        <v>292</v>
      </c>
      <c r="W7" s="155" t="s">
        <v>293</v>
      </c>
      <c r="X7" s="154" t="s">
        <v>294</v>
      </c>
      <c r="Y7" s="154" t="s">
        <v>295</v>
      </c>
      <c r="Z7" s="154" t="s">
        <v>296</v>
      </c>
      <c r="AA7" s="155" t="s">
        <v>297</v>
      </c>
      <c r="AB7" s="155" t="s">
        <v>298</v>
      </c>
      <c r="AC7" s="155" t="s">
        <v>299</v>
      </c>
      <c r="AD7" s="155" t="s">
        <v>300</v>
      </c>
      <c r="AE7" s="155" t="s">
        <v>301</v>
      </c>
      <c r="AF7" s="155" t="s">
        <v>302</v>
      </c>
      <c r="AG7" s="154" t="s">
        <v>303</v>
      </c>
      <c r="AH7" s="155" t="s">
        <v>304</v>
      </c>
      <c r="AI7" s="155" t="s">
        <v>305</v>
      </c>
      <c r="AJ7" s="155" t="s">
        <v>306</v>
      </c>
      <c r="AK7" s="154" t="s">
        <v>307</v>
      </c>
      <c r="AL7" s="154" t="s">
        <v>308</v>
      </c>
      <c r="AM7" s="155" t="s">
        <v>309</v>
      </c>
      <c r="AN7" s="155" t="s">
        <v>310</v>
      </c>
      <c r="AO7" s="155" t="s">
        <v>266</v>
      </c>
    </row>
    <row r="8">
      <c r="A8" s="245" t="s">
        <v>314</v>
      </c>
      <c r="B8" s="135">
        <v>16178.0</v>
      </c>
      <c r="C8" s="135">
        <v>22234.0</v>
      </c>
      <c r="D8" s="135">
        <v>16453.0</v>
      </c>
      <c r="E8" s="135">
        <v>19382.0</v>
      </c>
      <c r="F8" s="135">
        <v>7780.0</v>
      </c>
      <c r="G8" s="135">
        <v>34575.0</v>
      </c>
      <c r="H8" s="135">
        <v>81196.0</v>
      </c>
      <c r="I8" s="135">
        <v>34652.0</v>
      </c>
      <c r="J8" s="135">
        <v>13073.0</v>
      </c>
      <c r="K8" s="135">
        <v>47449.0</v>
      </c>
      <c r="L8" s="135">
        <v>6782.0</v>
      </c>
      <c r="M8" s="135">
        <v>4689.0</v>
      </c>
      <c r="N8" s="135">
        <v>10062.0</v>
      </c>
      <c r="O8" s="135">
        <v>8111.0</v>
      </c>
      <c r="P8" s="135">
        <v>5496.0</v>
      </c>
      <c r="Q8" s="135">
        <v>29235.0</v>
      </c>
      <c r="R8" s="135">
        <v>21644.0</v>
      </c>
      <c r="S8" s="135">
        <v>3505.0</v>
      </c>
      <c r="T8" s="135">
        <v>16078.0</v>
      </c>
      <c r="U8" s="135">
        <v>15550.0</v>
      </c>
      <c r="V8" s="119">
        <v>827.0</v>
      </c>
      <c r="W8" s="135">
        <v>24762.0</v>
      </c>
      <c r="X8" s="135">
        <v>26207.0</v>
      </c>
      <c r="Y8" s="135">
        <v>32459.0</v>
      </c>
      <c r="Z8" s="135">
        <v>12349.0</v>
      </c>
      <c r="AA8" s="135">
        <v>71756.0</v>
      </c>
      <c r="AB8" s="135">
        <v>17418.0</v>
      </c>
      <c r="AC8" s="135">
        <v>179435.0</v>
      </c>
      <c r="AD8" s="135">
        <v>7626.0</v>
      </c>
      <c r="AE8" s="135">
        <v>10603.0</v>
      </c>
      <c r="AF8" s="135">
        <v>21630.0</v>
      </c>
      <c r="AG8" s="135">
        <v>30735.0</v>
      </c>
      <c r="AH8" s="135">
        <v>15816.0</v>
      </c>
      <c r="AI8" s="135">
        <v>10488.0</v>
      </c>
      <c r="AJ8" s="135">
        <v>81079.0</v>
      </c>
      <c r="AK8" s="135">
        <v>6179.0</v>
      </c>
      <c r="AL8" s="135">
        <v>28955.0</v>
      </c>
      <c r="AM8" s="135">
        <v>22624.0</v>
      </c>
      <c r="AN8" s="135">
        <v>41539.0</v>
      </c>
      <c r="AO8" s="135">
        <v>1056611.0</v>
      </c>
    </row>
    <row r="9">
      <c r="A9" s="250" t="s">
        <v>147</v>
      </c>
      <c r="B9" s="135">
        <v>1001.0</v>
      </c>
      <c r="C9" s="119">
        <v>189.0</v>
      </c>
      <c r="D9" s="119">
        <v>359.0</v>
      </c>
      <c r="E9" s="119" t="s">
        <v>163</v>
      </c>
      <c r="F9" s="119">
        <v>334.0</v>
      </c>
      <c r="G9" s="119">
        <v>344.0</v>
      </c>
      <c r="H9" s="119">
        <v>346.0</v>
      </c>
      <c r="I9" s="119">
        <v>286.0</v>
      </c>
      <c r="J9" s="135">
        <v>1094.0</v>
      </c>
      <c r="K9" s="119">
        <v>316.0</v>
      </c>
      <c r="L9" s="119">
        <v>413.0</v>
      </c>
      <c r="M9" s="119">
        <v>320.0</v>
      </c>
      <c r="N9" s="119">
        <v>318.0</v>
      </c>
      <c r="O9" s="119">
        <v>259.0</v>
      </c>
      <c r="P9" s="119">
        <v>346.0</v>
      </c>
      <c r="Q9" s="119">
        <v>233.0</v>
      </c>
      <c r="R9" s="119">
        <v>328.0</v>
      </c>
      <c r="S9" s="119" t="s">
        <v>163</v>
      </c>
      <c r="T9" s="119">
        <v>267.0</v>
      </c>
      <c r="U9" s="119">
        <v>502.0</v>
      </c>
      <c r="V9" s="119">
        <v>0.0</v>
      </c>
      <c r="W9" s="119">
        <v>299.0</v>
      </c>
      <c r="X9" s="119">
        <v>507.0</v>
      </c>
      <c r="Y9" s="119">
        <v>302.0</v>
      </c>
      <c r="Z9" s="119">
        <v>235.0</v>
      </c>
      <c r="AA9" s="119">
        <v>163.0</v>
      </c>
      <c r="AB9" s="119">
        <v>333.0</v>
      </c>
      <c r="AC9" s="119">
        <v>379.0</v>
      </c>
      <c r="AD9" s="119">
        <v>420.0</v>
      </c>
      <c r="AE9" s="119">
        <v>321.0</v>
      </c>
      <c r="AF9" s="119">
        <v>337.0</v>
      </c>
      <c r="AG9" s="119">
        <v>547.0</v>
      </c>
      <c r="AH9" s="119">
        <v>133.0</v>
      </c>
      <c r="AI9" s="119">
        <v>238.0</v>
      </c>
      <c r="AJ9" s="119">
        <v>405.0</v>
      </c>
      <c r="AK9" s="119">
        <v>486.0</v>
      </c>
      <c r="AL9" s="119">
        <v>259.0</v>
      </c>
      <c r="AM9" s="119">
        <v>318.0</v>
      </c>
      <c r="AN9" s="119">
        <v>60.0</v>
      </c>
      <c r="AO9" s="119">
        <v>340.0</v>
      </c>
    </row>
    <row r="10">
      <c r="A10" s="250" t="s">
        <v>148</v>
      </c>
      <c r="B10" s="135">
        <v>1230.0</v>
      </c>
      <c r="C10" s="119">
        <v>481.0</v>
      </c>
      <c r="D10" s="119">
        <v>814.0</v>
      </c>
      <c r="E10" s="119">
        <v>108.0</v>
      </c>
      <c r="F10" s="119">
        <v>771.0</v>
      </c>
      <c r="G10" s="119">
        <v>726.0</v>
      </c>
      <c r="H10" s="119">
        <v>666.0</v>
      </c>
      <c r="I10" s="119">
        <v>678.0</v>
      </c>
      <c r="J10" s="135">
        <v>1300.0</v>
      </c>
      <c r="K10" s="119">
        <v>691.0</v>
      </c>
      <c r="L10" s="119">
        <v>885.0</v>
      </c>
      <c r="M10" s="119">
        <v>597.0</v>
      </c>
      <c r="N10" s="119">
        <v>616.0</v>
      </c>
      <c r="O10" s="119">
        <v>530.0</v>
      </c>
      <c r="P10" s="119">
        <v>418.0</v>
      </c>
      <c r="Q10" s="119">
        <v>585.0</v>
      </c>
      <c r="R10" s="119">
        <v>698.0</v>
      </c>
      <c r="S10" s="119">
        <v>171.0</v>
      </c>
      <c r="T10" s="119">
        <v>473.0</v>
      </c>
      <c r="U10" s="119">
        <v>682.0</v>
      </c>
      <c r="V10" s="119">
        <v>0.0</v>
      </c>
      <c r="W10" s="119">
        <v>279.0</v>
      </c>
      <c r="X10" s="119">
        <v>759.0</v>
      </c>
      <c r="Y10" s="119">
        <v>619.0</v>
      </c>
      <c r="Z10" s="119">
        <v>826.0</v>
      </c>
      <c r="AA10" s="119">
        <v>337.0</v>
      </c>
      <c r="AB10" s="119">
        <v>425.0</v>
      </c>
      <c r="AC10" s="119">
        <v>523.0</v>
      </c>
      <c r="AD10" s="119">
        <v>682.0</v>
      </c>
      <c r="AE10" s="119">
        <v>839.0</v>
      </c>
      <c r="AF10" s="119">
        <v>541.0</v>
      </c>
      <c r="AG10" s="119">
        <v>732.0</v>
      </c>
      <c r="AH10" s="119">
        <v>291.0</v>
      </c>
      <c r="AI10" s="119">
        <v>439.0</v>
      </c>
      <c r="AJ10" s="119">
        <v>697.0</v>
      </c>
      <c r="AK10" s="119">
        <v>680.0</v>
      </c>
      <c r="AL10" s="119">
        <v>497.0</v>
      </c>
      <c r="AM10" s="119">
        <v>451.0</v>
      </c>
      <c r="AN10" s="119">
        <v>265.0</v>
      </c>
      <c r="AO10" s="119">
        <v>595.0</v>
      </c>
    </row>
    <row r="11">
      <c r="A11" s="250" t="s">
        <v>149</v>
      </c>
      <c r="B11" s="135">
        <v>1224.0</v>
      </c>
      <c r="C11" s="135">
        <v>2366.0</v>
      </c>
      <c r="D11" s="119">
        <v>930.0</v>
      </c>
      <c r="E11" s="135">
        <v>4313.0</v>
      </c>
      <c r="F11" s="135">
        <v>1568.0</v>
      </c>
      <c r="G11" s="135">
        <v>1209.0</v>
      </c>
      <c r="H11" s="119">
        <v>820.0</v>
      </c>
      <c r="I11" s="119">
        <v>900.0</v>
      </c>
      <c r="J11" s="135">
        <v>1232.0</v>
      </c>
      <c r="K11" s="135">
        <v>1102.0</v>
      </c>
      <c r="L11" s="135">
        <v>1548.0</v>
      </c>
      <c r="M11" s="119">
        <v>938.0</v>
      </c>
      <c r="N11" s="135">
        <v>1034.0</v>
      </c>
      <c r="O11" s="135">
        <v>1936.0</v>
      </c>
      <c r="P11" s="135">
        <v>2165.0</v>
      </c>
      <c r="Q11" s="119">
        <v>924.0</v>
      </c>
      <c r="R11" s="135">
        <v>1003.0</v>
      </c>
      <c r="S11" s="119">
        <v>942.0</v>
      </c>
      <c r="T11" s="119">
        <v>921.0</v>
      </c>
      <c r="U11" s="135">
        <v>1151.0</v>
      </c>
      <c r="V11" s="135">
        <v>8585.0</v>
      </c>
      <c r="W11" s="119">
        <v>662.0</v>
      </c>
      <c r="X11" s="135">
        <v>1236.0</v>
      </c>
      <c r="Y11" s="119">
        <v>823.0</v>
      </c>
      <c r="Z11" s="135">
        <v>1668.0</v>
      </c>
      <c r="AA11" s="119">
        <v>941.0</v>
      </c>
      <c r="AB11" s="135">
        <v>1217.0</v>
      </c>
      <c r="AC11" s="119">
        <v>655.0</v>
      </c>
      <c r="AD11" s="135">
        <v>2059.0</v>
      </c>
      <c r="AE11" s="135">
        <v>1207.0</v>
      </c>
      <c r="AF11" s="119">
        <v>902.0</v>
      </c>
      <c r="AG11" s="135">
        <v>1565.0</v>
      </c>
      <c r="AH11" s="119">
        <v>778.0</v>
      </c>
      <c r="AI11" s="135">
        <v>1402.0</v>
      </c>
      <c r="AJ11" s="135">
        <v>1325.0</v>
      </c>
      <c r="AK11" s="135">
        <v>1295.0</v>
      </c>
      <c r="AL11" s="135">
        <v>1140.0</v>
      </c>
      <c r="AM11" s="135">
        <v>1538.0</v>
      </c>
      <c r="AN11" s="119">
        <v>660.0</v>
      </c>
      <c r="AO11" s="135">
        <v>1127.0</v>
      </c>
    </row>
    <row r="12">
      <c r="A12" s="250" t="s">
        <v>150</v>
      </c>
      <c r="B12" s="119">
        <v>958.0</v>
      </c>
      <c r="C12" s="119">
        <v>949.0</v>
      </c>
      <c r="D12" s="135">
        <v>1076.0</v>
      </c>
      <c r="E12" s="135">
        <v>2007.0</v>
      </c>
      <c r="F12" s="119">
        <v>733.0</v>
      </c>
      <c r="G12" s="135">
        <v>1646.0</v>
      </c>
      <c r="H12" s="135">
        <v>1020.0</v>
      </c>
      <c r="I12" s="135">
        <v>998.0</v>
      </c>
      <c r="J12" s="135">
        <v>2478.0</v>
      </c>
      <c r="K12" s="135">
        <v>1566.0</v>
      </c>
      <c r="L12" s="119">
        <v>944.0</v>
      </c>
      <c r="M12" s="135">
        <v>1386.0</v>
      </c>
      <c r="N12" s="135">
        <v>1421.0</v>
      </c>
      <c r="O12" s="119">
        <v>851.0</v>
      </c>
      <c r="P12" s="119">
        <v>782.0</v>
      </c>
      <c r="Q12" s="135">
        <v>1358.0</v>
      </c>
      <c r="R12" s="135">
        <v>1326.0</v>
      </c>
      <c r="S12" s="119">
        <v>799.0</v>
      </c>
      <c r="T12" s="135">
        <v>1580.0</v>
      </c>
      <c r="U12" s="119">
        <v>740.0</v>
      </c>
      <c r="V12" s="119" t="s">
        <v>163</v>
      </c>
      <c r="W12" s="135">
        <v>1179.0</v>
      </c>
      <c r="X12" s="135">
        <v>1198.0</v>
      </c>
      <c r="Y12" s="135">
        <v>1060.0</v>
      </c>
      <c r="Z12" s="135">
        <v>1166.0</v>
      </c>
      <c r="AA12" s="119">
        <v>941.0</v>
      </c>
      <c r="AB12" s="135">
        <v>970.0</v>
      </c>
      <c r="AC12" s="119">
        <v>848.0</v>
      </c>
      <c r="AD12" s="119">
        <v>813.0</v>
      </c>
      <c r="AE12" s="135">
        <v>1481.0</v>
      </c>
      <c r="AF12" s="135">
        <v>2117.0</v>
      </c>
      <c r="AG12" s="119">
        <v>810.0</v>
      </c>
      <c r="AH12" s="119">
        <v>594.0</v>
      </c>
      <c r="AI12" s="135">
        <v>1735.0</v>
      </c>
      <c r="AJ12" s="135">
        <v>1219.0</v>
      </c>
      <c r="AK12" s="135">
        <v>1327.0</v>
      </c>
      <c r="AL12" s="119">
        <v>867.0</v>
      </c>
      <c r="AM12" s="119">
        <v>716.0</v>
      </c>
      <c r="AN12" s="135">
        <v>1131.0</v>
      </c>
      <c r="AO12" s="135">
        <v>1131.0</v>
      </c>
    </row>
    <row r="13">
      <c r="A13" s="250" t="s">
        <v>151</v>
      </c>
      <c r="B13" s="119">
        <v>847.0</v>
      </c>
      <c r="C13" s="135">
        <v>1075.0</v>
      </c>
      <c r="D13" s="135">
        <v>1580.0</v>
      </c>
      <c r="E13" s="135">
        <v>2631.0</v>
      </c>
      <c r="F13" s="119">
        <v>643.0</v>
      </c>
      <c r="G13" s="135">
        <v>1070.0</v>
      </c>
      <c r="H13" s="135">
        <v>1044.0</v>
      </c>
      <c r="I13" s="119">
        <v>771.0</v>
      </c>
      <c r="J13" s="119">
        <v>734.0</v>
      </c>
      <c r="K13" s="119">
        <v>946.0</v>
      </c>
      <c r="L13" s="119">
        <v>988.0</v>
      </c>
      <c r="M13" s="135">
        <v>1045.0</v>
      </c>
      <c r="N13" s="135">
        <v>1222.0</v>
      </c>
      <c r="O13" s="119">
        <v>616.0</v>
      </c>
      <c r="P13" s="119">
        <v>782.0</v>
      </c>
      <c r="Q13" s="135">
        <v>1009.0</v>
      </c>
      <c r="R13" s="135">
        <v>1391.0</v>
      </c>
      <c r="S13" s="119">
        <v>257.0</v>
      </c>
      <c r="T13" s="135">
        <v>1001.0</v>
      </c>
      <c r="U13" s="119">
        <v>836.0</v>
      </c>
      <c r="V13" s="119">
        <v>0.0</v>
      </c>
      <c r="W13" s="119">
        <v>678.0</v>
      </c>
      <c r="X13" s="119">
        <v>958.0</v>
      </c>
      <c r="Y13" s="135">
        <v>1109.0</v>
      </c>
      <c r="Z13" s="119">
        <v>996.0</v>
      </c>
      <c r="AA13" s="119">
        <v>750.0</v>
      </c>
      <c r="AB13" s="119">
        <v>700.0</v>
      </c>
      <c r="AC13" s="119">
        <v>647.0</v>
      </c>
      <c r="AD13" s="119">
        <v>787.0</v>
      </c>
      <c r="AE13" s="135">
        <v>1160.0</v>
      </c>
      <c r="AF13" s="135">
        <v>1540.0</v>
      </c>
      <c r="AG13" s="119">
        <v>807.0</v>
      </c>
      <c r="AH13" s="119">
        <v>512.0</v>
      </c>
      <c r="AI13" s="135">
        <v>1325.0</v>
      </c>
      <c r="AJ13" s="135">
        <v>1071.0</v>
      </c>
      <c r="AK13" s="119">
        <v>939.0</v>
      </c>
      <c r="AL13" s="119">
        <v>977.0</v>
      </c>
      <c r="AM13" s="119">
        <v>924.0</v>
      </c>
      <c r="AN13" s="119">
        <v>469.0</v>
      </c>
      <c r="AO13" s="119">
        <v>949.0</v>
      </c>
    </row>
    <row r="14">
      <c r="A14" s="250" t="s">
        <v>152</v>
      </c>
      <c r="B14" s="119">
        <v>902.0</v>
      </c>
      <c r="C14" s="135">
        <v>1331.0</v>
      </c>
      <c r="D14" s="119">
        <v>966.0</v>
      </c>
      <c r="E14" s="135">
        <v>4525.0</v>
      </c>
      <c r="F14" s="119">
        <v>913.0</v>
      </c>
      <c r="G14" s="119">
        <v>810.0</v>
      </c>
      <c r="H14" s="135">
        <v>1074.0</v>
      </c>
      <c r="I14" s="135">
        <v>1085.0</v>
      </c>
      <c r="J14" s="119">
        <v>956.0</v>
      </c>
      <c r="K14" s="135">
        <v>1286.0</v>
      </c>
      <c r="L14" s="119">
        <v>870.0</v>
      </c>
      <c r="M14" s="119">
        <v>768.0</v>
      </c>
      <c r="N14" s="119">
        <v>944.0</v>
      </c>
      <c r="O14" s="135">
        <v>1775.0</v>
      </c>
      <c r="P14" s="119">
        <v>582.0</v>
      </c>
      <c r="Q14" s="135">
        <v>1385.0</v>
      </c>
      <c r="R14" s="119">
        <v>919.0</v>
      </c>
      <c r="S14" s="119">
        <v>399.0</v>
      </c>
      <c r="T14" s="119">
        <v>466.0</v>
      </c>
      <c r="U14" s="119">
        <v>932.0</v>
      </c>
      <c r="V14" s="119" t="s">
        <v>163</v>
      </c>
      <c r="W14" s="119">
        <v>372.0</v>
      </c>
      <c r="X14" s="135">
        <v>1107.0</v>
      </c>
      <c r="Y14" s="135">
        <v>1334.0</v>
      </c>
      <c r="Z14" s="119">
        <v>931.0</v>
      </c>
      <c r="AA14" s="119">
        <v>980.0</v>
      </c>
      <c r="AB14" s="119">
        <v>494.0</v>
      </c>
      <c r="AC14" s="119">
        <v>740.0</v>
      </c>
      <c r="AD14" s="119">
        <v>629.0</v>
      </c>
      <c r="AE14" s="119">
        <v>858.0</v>
      </c>
      <c r="AF14" s="119">
        <v>948.0</v>
      </c>
      <c r="AG14" s="119">
        <v>693.0</v>
      </c>
      <c r="AH14" s="119">
        <v>948.0</v>
      </c>
      <c r="AI14" s="135">
        <v>1106.0</v>
      </c>
      <c r="AJ14" s="135">
        <v>1560.0</v>
      </c>
      <c r="AK14" s="119">
        <v>696.0</v>
      </c>
      <c r="AL14" s="119">
        <v>998.0</v>
      </c>
      <c r="AM14" s="135">
        <v>1083.0</v>
      </c>
      <c r="AN14" s="119">
        <v>876.0</v>
      </c>
      <c r="AO14" s="135">
        <v>1057.0</v>
      </c>
    </row>
    <row r="15">
      <c r="A15" s="250" t="s">
        <v>153</v>
      </c>
      <c r="B15" s="119">
        <v>822.0</v>
      </c>
      <c r="C15" s="135">
        <v>1250.0</v>
      </c>
      <c r="D15" s="135">
        <v>1100.0</v>
      </c>
      <c r="E15" s="135">
        <v>2714.0</v>
      </c>
      <c r="F15" s="135">
        <v>1093.0</v>
      </c>
      <c r="G15" s="135">
        <v>1761.0</v>
      </c>
      <c r="H15" s="135">
        <v>1219.0</v>
      </c>
      <c r="I15" s="135">
        <v>1036.0</v>
      </c>
      <c r="J15" s="135">
        <v>1981.0</v>
      </c>
      <c r="K15" s="135">
        <v>1406.0</v>
      </c>
      <c r="L15" s="119">
        <v>914.0</v>
      </c>
      <c r="M15" s="135">
        <v>1301.0</v>
      </c>
      <c r="N15" s="135">
        <v>1252.0</v>
      </c>
      <c r="O15" s="119">
        <v>900.0</v>
      </c>
      <c r="P15" s="119">
        <v>964.0</v>
      </c>
      <c r="Q15" s="135">
        <v>1649.0</v>
      </c>
      <c r="R15" s="135">
        <v>1691.0</v>
      </c>
      <c r="S15" s="135">
        <v>1084.0</v>
      </c>
      <c r="T15" s="135">
        <v>1978.0</v>
      </c>
      <c r="U15" s="119">
        <v>855.0</v>
      </c>
      <c r="V15" s="119">
        <v>846.0</v>
      </c>
      <c r="W15" s="135">
        <v>1244.0</v>
      </c>
      <c r="X15" s="135">
        <v>1702.0</v>
      </c>
      <c r="Y15" s="135">
        <v>1257.0</v>
      </c>
      <c r="Z15" s="135">
        <v>2543.0</v>
      </c>
      <c r="AA15" s="135">
        <v>1203.0</v>
      </c>
      <c r="AB15" s="119">
        <v>729.0</v>
      </c>
      <c r="AC15" s="135">
        <v>1003.0</v>
      </c>
      <c r="AD15" s="135">
        <v>1233.0</v>
      </c>
      <c r="AE15" s="135">
        <v>1716.0</v>
      </c>
      <c r="AF15" s="135">
        <v>2552.0</v>
      </c>
      <c r="AG15" s="135">
        <v>1012.0</v>
      </c>
      <c r="AH15" s="119">
        <v>481.0</v>
      </c>
      <c r="AI15" s="135">
        <v>2231.0</v>
      </c>
      <c r="AJ15" s="135">
        <v>1132.0</v>
      </c>
      <c r="AK15" s="135">
        <v>1036.0</v>
      </c>
      <c r="AL15" s="135">
        <v>1837.0</v>
      </c>
      <c r="AM15" s="119">
        <v>548.0</v>
      </c>
      <c r="AN15" s="135">
        <v>1307.0</v>
      </c>
      <c r="AO15" s="135">
        <v>1337.0</v>
      </c>
    </row>
    <row r="16">
      <c r="A16" s="250" t="s">
        <v>154</v>
      </c>
      <c r="B16" s="135">
        <v>1737.0</v>
      </c>
      <c r="C16" s="119">
        <v>864.0</v>
      </c>
      <c r="D16" s="135">
        <v>1246.0</v>
      </c>
      <c r="E16" s="135">
        <v>4050.0</v>
      </c>
      <c r="F16" s="135">
        <v>1337.0</v>
      </c>
      <c r="G16" s="135">
        <v>1232.0</v>
      </c>
      <c r="H16" s="135">
        <v>1718.0</v>
      </c>
      <c r="I16" s="135">
        <v>2998.0</v>
      </c>
      <c r="J16" s="135">
        <v>2708.0</v>
      </c>
      <c r="K16" s="135">
        <v>1431.0</v>
      </c>
      <c r="L16" s="135">
        <v>1298.0</v>
      </c>
      <c r="M16" s="119">
        <v>704.0</v>
      </c>
      <c r="N16" s="119">
        <v>924.0</v>
      </c>
      <c r="O16" s="135">
        <v>1184.0</v>
      </c>
      <c r="P16" s="135">
        <v>2092.0</v>
      </c>
      <c r="Q16" s="119">
        <v>995.0</v>
      </c>
      <c r="R16" s="135">
        <v>2800.0</v>
      </c>
      <c r="S16" s="119">
        <v>884.0</v>
      </c>
      <c r="T16" s="135">
        <v>1337.0</v>
      </c>
      <c r="U16" s="135">
        <v>1685.0</v>
      </c>
      <c r="V16" s="135">
        <v>1693.0</v>
      </c>
      <c r="W16" s="135">
        <v>1567.0</v>
      </c>
      <c r="X16" s="135">
        <v>1744.0</v>
      </c>
      <c r="Y16" s="135">
        <v>1756.0</v>
      </c>
      <c r="Z16" s="119">
        <v>858.0</v>
      </c>
      <c r="AA16" s="135">
        <v>1506.0</v>
      </c>
      <c r="AB16" s="135">
        <v>2199.0</v>
      </c>
      <c r="AC16" s="119">
        <v>983.0</v>
      </c>
      <c r="AD16" s="135">
        <v>1442.0</v>
      </c>
      <c r="AE16" s="119">
        <v>877.0</v>
      </c>
      <c r="AF16" s="135">
        <v>1590.0</v>
      </c>
      <c r="AG16" s="135">
        <v>1585.0</v>
      </c>
      <c r="AH16" s="135">
        <v>1296.0</v>
      </c>
      <c r="AI16" s="135">
        <v>1573.0</v>
      </c>
      <c r="AJ16" s="135">
        <v>1930.0</v>
      </c>
      <c r="AK16" s="135">
        <v>1424.0</v>
      </c>
      <c r="AL16" s="135">
        <v>1053.0</v>
      </c>
      <c r="AM16" s="135">
        <v>1600.0</v>
      </c>
      <c r="AN16" s="135">
        <v>1495.0</v>
      </c>
      <c r="AO16" s="135">
        <v>1574.0</v>
      </c>
    </row>
    <row r="17">
      <c r="A17" s="250" t="s">
        <v>155</v>
      </c>
      <c r="B17" s="135">
        <v>2182.0</v>
      </c>
      <c r="C17" s="135">
        <v>1430.0</v>
      </c>
      <c r="D17" s="135">
        <v>1380.0</v>
      </c>
      <c r="E17" s="135">
        <v>2616.0</v>
      </c>
      <c r="F17" s="135">
        <v>1594.0</v>
      </c>
      <c r="G17" s="135">
        <v>2233.0</v>
      </c>
      <c r="H17" s="135">
        <v>1745.0</v>
      </c>
      <c r="I17" s="135">
        <v>1261.0</v>
      </c>
      <c r="J17" s="135">
        <v>2310.0</v>
      </c>
      <c r="K17" s="135">
        <v>1545.0</v>
      </c>
      <c r="L17" s="135">
        <v>1902.0</v>
      </c>
      <c r="M17" s="135">
        <v>1749.0</v>
      </c>
      <c r="N17" s="135">
        <v>1252.0</v>
      </c>
      <c r="O17" s="135">
        <v>1640.0</v>
      </c>
      <c r="P17" s="135">
        <v>1710.0</v>
      </c>
      <c r="Q17" s="135">
        <v>2117.0</v>
      </c>
      <c r="R17" s="135">
        <v>1890.0</v>
      </c>
      <c r="S17" s="135">
        <v>1569.0</v>
      </c>
      <c r="T17" s="135">
        <v>1393.0</v>
      </c>
      <c r="U17" s="135">
        <v>1788.0</v>
      </c>
      <c r="V17" s="135">
        <v>1209.0</v>
      </c>
      <c r="W17" s="135">
        <v>1115.0</v>
      </c>
      <c r="X17" s="135">
        <v>1992.0</v>
      </c>
      <c r="Y17" s="135">
        <v>1377.0</v>
      </c>
      <c r="Z17" s="135">
        <v>1490.0</v>
      </c>
      <c r="AA17" s="135">
        <v>1302.0</v>
      </c>
      <c r="AB17" s="135">
        <v>1458.0</v>
      </c>
      <c r="AC17" s="119">
        <v>944.0</v>
      </c>
      <c r="AD17" s="135">
        <v>1390.0</v>
      </c>
      <c r="AE17" s="135">
        <v>1613.0</v>
      </c>
      <c r="AF17" s="135">
        <v>1771.0</v>
      </c>
      <c r="AG17" s="135">
        <v>1855.0</v>
      </c>
      <c r="AH17" s="135">
        <v>1170.0</v>
      </c>
      <c r="AI17" s="135">
        <v>1259.0</v>
      </c>
      <c r="AJ17" s="135">
        <v>1909.0</v>
      </c>
      <c r="AK17" s="135">
        <v>1554.0</v>
      </c>
      <c r="AL17" s="135">
        <v>1851.0</v>
      </c>
      <c r="AM17" s="135">
        <v>1277.0</v>
      </c>
      <c r="AN17" s="119">
        <v>982.0</v>
      </c>
      <c r="AO17" s="135">
        <v>1549.0</v>
      </c>
    </row>
    <row r="18">
      <c r="A18" s="250" t="s">
        <v>156</v>
      </c>
      <c r="B18" s="135">
        <v>3956.0</v>
      </c>
      <c r="C18" s="135">
        <v>3198.0</v>
      </c>
      <c r="D18" s="135">
        <v>1696.0</v>
      </c>
      <c r="E18" s="135">
        <v>1888.0</v>
      </c>
      <c r="F18" s="135">
        <v>2057.0</v>
      </c>
      <c r="G18" s="135">
        <v>3236.0</v>
      </c>
      <c r="H18" s="135">
        <v>4121.0</v>
      </c>
      <c r="I18" s="135">
        <v>2733.0</v>
      </c>
      <c r="J18" s="135">
        <v>3503.0</v>
      </c>
      <c r="K18" s="135">
        <v>3113.0</v>
      </c>
      <c r="L18" s="135">
        <v>2639.0</v>
      </c>
      <c r="M18" s="135">
        <v>2111.0</v>
      </c>
      <c r="N18" s="135">
        <v>2634.0</v>
      </c>
      <c r="O18" s="135">
        <v>1578.0</v>
      </c>
      <c r="P18" s="135">
        <v>5040.0</v>
      </c>
      <c r="Q18" s="135">
        <v>2935.0</v>
      </c>
      <c r="R18" s="135">
        <v>2379.0</v>
      </c>
      <c r="S18" s="135">
        <v>3224.0</v>
      </c>
      <c r="T18" s="135">
        <v>2861.0</v>
      </c>
      <c r="U18" s="135">
        <v>3704.0</v>
      </c>
      <c r="V18" s="135">
        <v>1572.0</v>
      </c>
      <c r="W18" s="135">
        <v>2330.0</v>
      </c>
      <c r="X18" s="135">
        <v>2931.0</v>
      </c>
      <c r="Y18" s="135">
        <v>2862.0</v>
      </c>
      <c r="Z18" s="135">
        <v>2753.0</v>
      </c>
      <c r="AA18" s="135">
        <v>1771.0</v>
      </c>
      <c r="AB18" s="135">
        <v>2802.0</v>
      </c>
      <c r="AC18" s="135">
        <v>1984.0</v>
      </c>
      <c r="AD18" s="135">
        <v>1115.0</v>
      </c>
      <c r="AE18" s="135">
        <v>2914.0</v>
      </c>
      <c r="AF18" s="135">
        <v>3430.0</v>
      </c>
      <c r="AG18" s="135">
        <v>3084.0</v>
      </c>
      <c r="AH18" s="135">
        <v>2188.0</v>
      </c>
      <c r="AI18" s="135">
        <v>2956.0</v>
      </c>
      <c r="AJ18" s="135">
        <v>3900.0</v>
      </c>
      <c r="AK18" s="135">
        <v>3010.0</v>
      </c>
      <c r="AL18" s="135">
        <v>2911.0</v>
      </c>
      <c r="AM18" s="135">
        <v>2961.0</v>
      </c>
      <c r="AN18" s="135">
        <v>1692.0</v>
      </c>
      <c r="AO18" s="135">
        <v>2769.0</v>
      </c>
    </row>
    <row r="19">
      <c r="A19" s="250" t="s">
        <v>157</v>
      </c>
      <c r="B19" s="135">
        <v>5087.0</v>
      </c>
      <c r="C19" s="135">
        <v>5716.0</v>
      </c>
      <c r="D19" s="135">
        <v>3434.0</v>
      </c>
      <c r="E19" s="119">
        <v>547.0</v>
      </c>
      <c r="F19" s="135">
        <v>6838.0</v>
      </c>
      <c r="G19" s="135">
        <v>4087.0</v>
      </c>
      <c r="H19" s="135">
        <v>3935.0</v>
      </c>
      <c r="I19" s="135">
        <v>4441.0</v>
      </c>
      <c r="J19" s="135">
        <v>3939.0</v>
      </c>
      <c r="K19" s="135">
        <v>4377.0</v>
      </c>
      <c r="L19" s="135">
        <v>4232.0</v>
      </c>
      <c r="M19" s="135">
        <v>4265.0</v>
      </c>
      <c r="N19" s="135">
        <v>4532.0</v>
      </c>
      <c r="O19" s="135">
        <v>4697.0</v>
      </c>
      <c r="P19" s="135">
        <v>9789.0</v>
      </c>
      <c r="Q19" s="135">
        <v>3694.0</v>
      </c>
      <c r="R19" s="135">
        <v>4690.0</v>
      </c>
      <c r="S19" s="135">
        <v>7817.0</v>
      </c>
      <c r="T19" s="135">
        <v>4217.0</v>
      </c>
      <c r="U19" s="135">
        <v>4823.0</v>
      </c>
      <c r="V19" s="119">
        <v>846.0</v>
      </c>
      <c r="W19" s="135">
        <v>3837.0</v>
      </c>
      <c r="X19" s="135">
        <v>6304.0</v>
      </c>
      <c r="Y19" s="135">
        <v>5425.0</v>
      </c>
      <c r="Z19" s="135">
        <v>4753.0</v>
      </c>
      <c r="AA19" s="135">
        <v>2076.0</v>
      </c>
      <c r="AB19" s="135">
        <v>4828.0</v>
      </c>
      <c r="AC19" s="135">
        <v>2033.0</v>
      </c>
      <c r="AD19" s="135">
        <v>5324.0</v>
      </c>
      <c r="AE19" s="135">
        <v>5055.0</v>
      </c>
      <c r="AF19" s="135">
        <v>4873.0</v>
      </c>
      <c r="AG19" s="135">
        <v>4643.0</v>
      </c>
      <c r="AH19" s="135">
        <v>4628.0</v>
      </c>
      <c r="AI19" s="135">
        <v>5215.0</v>
      </c>
      <c r="AJ19" s="135">
        <v>4716.0</v>
      </c>
      <c r="AK19" s="135">
        <v>4402.0</v>
      </c>
      <c r="AL19" s="135">
        <v>3678.0</v>
      </c>
      <c r="AM19" s="135">
        <v>3695.0</v>
      </c>
      <c r="AN19" s="135">
        <v>2261.0</v>
      </c>
      <c r="AO19" s="135">
        <v>3819.0</v>
      </c>
    </row>
    <row r="20">
      <c r="A20" s="250" t="s">
        <v>158</v>
      </c>
      <c r="B20" s="135">
        <v>2299.0</v>
      </c>
      <c r="C20" s="135">
        <v>3243.0</v>
      </c>
      <c r="D20" s="135">
        <v>2875.0</v>
      </c>
      <c r="E20" s="135">
        <v>562.0</v>
      </c>
      <c r="F20" s="135">
        <v>2391.0</v>
      </c>
      <c r="G20" s="135">
        <v>3517.0</v>
      </c>
      <c r="H20" s="135">
        <v>2941.0</v>
      </c>
      <c r="I20" s="135">
        <v>3215.0</v>
      </c>
      <c r="J20" s="135">
        <v>4505.0</v>
      </c>
      <c r="K20" s="135">
        <v>2782.0</v>
      </c>
      <c r="L20" s="135">
        <v>3804.0</v>
      </c>
      <c r="M20" s="135">
        <v>3540.0</v>
      </c>
      <c r="N20" s="135">
        <v>3150.0</v>
      </c>
      <c r="O20" s="135">
        <v>2429.0</v>
      </c>
      <c r="P20" s="135">
        <v>5131.0</v>
      </c>
      <c r="Q20" s="135">
        <v>3188.0</v>
      </c>
      <c r="R20" s="135">
        <v>3257.0</v>
      </c>
      <c r="S20" s="135">
        <v>3195.0</v>
      </c>
      <c r="T20" s="135">
        <v>3296.0</v>
      </c>
      <c r="U20" s="135">
        <v>4605.0</v>
      </c>
      <c r="V20" s="135">
        <v>846.0</v>
      </c>
      <c r="W20" s="135">
        <v>2217.0</v>
      </c>
      <c r="X20" s="135">
        <v>3144.0</v>
      </c>
      <c r="Y20" s="135">
        <v>3330.0</v>
      </c>
      <c r="Z20" s="135">
        <v>3506.0</v>
      </c>
      <c r="AA20" s="135">
        <v>2058.0</v>
      </c>
      <c r="AB20" s="135">
        <v>3330.0</v>
      </c>
      <c r="AC20" s="135">
        <v>2716.0</v>
      </c>
      <c r="AD20" s="135">
        <v>2557.0</v>
      </c>
      <c r="AE20" s="135">
        <v>3867.0</v>
      </c>
      <c r="AF20" s="135">
        <v>3615.0</v>
      </c>
      <c r="AG20" s="135">
        <v>3498.0</v>
      </c>
      <c r="AH20" s="135">
        <v>2965.0</v>
      </c>
      <c r="AI20" s="135">
        <v>2946.0</v>
      </c>
      <c r="AJ20" s="135">
        <v>3588.0</v>
      </c>
      <c r="AK20" s="135">
        <v>3641.0</v>
      </c>
      <c r="AL20" s="135">
        <v>3485.0</v>
      </c>
      <c r="AM20" s="135">
        <v>2612.0</v>
      </c>
      <c r="AN20" s="135">
        <v>1885.0</v>
      </c>
      <c r="AO20" s="135">
        <v>2964.0</v>
      </c>
    </row>
    <row r="21">
      <c r="A21" s="130"/>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row>
    <row r="22">
      <c r="A22" s="130"/>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row>
    <row r="23">
      <c r="A23" s="130"/>
      <c r="B23" s="252"/>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1" t="s">
        <v>350</v>
      </c>
      <c r="H1" s="102"/>
      <c r="I1" s="102"/>
      <c r="J1" s="102"/>
      <c r="K1" s="102"/>
      <c r="L1" s="104"/>
      <c r="M1" s="105"/>
      <c r="N1" s="104"/>
      <c r="O1" s="105"/>
      <c r="P1" s="104"/>
      <c r="Q1" s="12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c r="A2" s="106" t="s">
        <v>172</v>
      </c>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c r="A3" s="106" t="s">
        <v>0</v>
      </c>
      <c r="B3" s="195">
        <v>44265.0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c r="A4" s="109"/>
      <c r="B4" s="143"/>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row>
    <row r="5">
      <c r="A5" s="197" t="s">
        <v>351</v>
      </c>
      <c r="B5" s="111"/>
      <c r="C5" s="111"/>
      <c r="D5" s="111"/>
      <c r="E5" s="111"/>
      <c r="F5" s="111"/>
      <c r="G5" s="111"/>
      <c r="H5" s="111"/>
      <c r="I5" s="111"/>
      <c r="J5" s="111"/>
      <c r="K5" s="41"/>
      <c r="L5" s="112"/>
      <c r="M5" s="112"/>
      <c r="N5" s="112"/>
      <c r="O5" s="112"/>
      <c r="P5" s="112"/>
      <c r="Q5" s="112"/>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row>
    <row r="6">
      <c r="A6" s="104"/>
      <c r="B6" s="11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row>
    <row r="7" ht="35.25" customHeight="1">
      <c r="A7" s="136" t="s">
        <v>181</v>
      </c>
      <c r="B7" s="155" t="s">
        <v>272</v>
      </c>
      <c r="C7" s="155" t="s">
        <v>273</v>
      </c>
      <c r="D7" s="155" t="s">
        <v>274</v>
      </c>
      <c r="E7" s="155" t="s">
        <v>275</v>
      </c>
      <c r="F7" s="155" t="s">
        <v>276</v>
      </c>
      <c r="G7" s="155" t="s">
        <v>277</v>
      </c>
      <c r="H7" s="155" t="s">
        <v>278</v>
      </c>
      <c r="I7" s="155" t="s">
        <v>279</v>
      </c>
      <c r="J7" s="154" t="s">
        <v>280</v>
      </c>
      <c r="K7" s="154" t="s">
        <v>281</v>
      </c>
      <c r="L7" s="155" t="s">
        <v>282</v>
      </c>
      <c r="M7" s="155" t="s">
        <v>283</v>
      </c>
      <c r="N7" s="155" t="s">
        <v>284</v>
      </c>
      <c r="O7" s="155" t="s">
        <v>285</v>
      </c>
      <c r="P7" s="155" t="s">
        <v>286</v>
      </c>
      <c r="Q7" s="155" t="s">
        <v>287</v>
      </c>
      <c r="R7" s="155" t="s">
        <v>288</v>
      </c>
      <c r="S7" s="154" t="s">
        <v>289</v>
      </c>
      <c r="T7" s="155" t="s">
        <v>290</v>
      </c>
      <c r="U7" s="155" t="s">
        <v>291</v>
      </c>
      <c r="V7" s="154" t="s">
        <v>292</v>
      </c>
      <c r="W7" s="155" t="s">
        <v>293</v>
      </c>
      <c r="X7" s="154" t="s">
        <v>294</v>
      </c>
      <c r="Y7" s="154" t="s">
        <v>295</v>
      </c>
      <c r="Z7" s="154" t="s">
        <v>296</v>
      </c>
      <c r="AA7" s="155" t="s">
        <v>297</v>
      </c>
      <c r="AB7" s="155" t="s">
        <v>298</v>
      </c>
      <c r="AC7" s="155" t="s">
        <v>299</v>
      </c>
      <c r="AD7" s="155" t="s">
        <v>300</v>
      </c>
      <c r="AE7" s="155" t="s">
        <v>301</v>
      </c>
      <c r="AF7" s="155" t="s">
        <v>302</v>
      </c>
      <c r="AG7" s="154" t="s">
        <v>303</v>
      </c>
      <c r="AH7" s="155" t="s">
        <v>304</v>
      </c>
      <c r="AI7" s="155" t="s">
        <v>305</v>
      </c>
      <c r="AJ7" s="155" t="s">
        <v>306</v>
      </c>
      <c r="AK7" s="154" t="s">
        <v>307</v>
      </c>
      <c r="AL7" s="154" t="s">
        <v>308</v>
      </c>
      <c r="AM7" s="155" t="s">
        <v>309</v>
      </c>
      <c r="AN7" s="155" t="s">
        <v>310</v>
      </c>
      <c r="AO7" s="155" t="s">
        <v>352</v>
      </c>
      <c r="AP7" s="155" t="s">
        <v>105</v>
      </c>
    </row>
    <row r="8">
      <c r="A8" s="250" t="s">
        <v>147</v>
      </c>
      <c r="B8" s="74">
        <v>0.0</v>
      </c>
      <c r="C8" s="74">
        <v>0.0</v>
      </c>
      <c r="D8" s="74">
        <v>0.0</v>
      </c>
      <c r="E8" s="74">
        <v>0.0</v>
      </c>
      <c r="F8" s="74">
        <v>0.0</v>
      </c>
      <c r="G8" s="74">
        <v>0.0</v>
      </c>
      <c r="H8" s="74">
        <v>0.0</v>
      </c>
      <c r="I8" s="74">
        <v>0.0</v>
      </c>
      <c r="J8" s="74">
        <v>0.0</v>
      </c>
      <c r="K8" s="74">
        <v>0.0</v>
      </c>
      <c r="L8" s="74">
        <v>0.0</v>
      </c>
      <c r="M8" s="74">
        <v>0.0</v>
      </c>
      <c r="N8" s="74">
        <v>0.0</v>
      </c>
      <c r="O8" s="74">
        <v>0.0</v>
      </c>
      <c r="P8" s="74">
        <v>0.0</v>
      </c>
      <c r="Q8" s="74">
        <v>0.0</v>
      </c>
      <c r="R8" s="74">
        <v>0.0</v>
      </c>
      <c r="S8" s="74">
        <v>0.0</v>
      </c>
      <c r="T8" s="74">
        <v>0.0</v>
      </c>
      <c r="U8" s="74">
        <v>0.0</v>
      </c>
      <c r="V8" s="74">
        <v>0.0</v>
      </c>
      <c r="W8" s="74">
        <v>0.0</v>
      </c>
      <c r="X8" s="74">
        <v>0.0</v>
      </c>
      <c r="Y8" s="74">
        <v>0.0</v>
      </c>
      <c r="Z8" s="74">
        <v>0.0</v>
      </c>
      <c r="AA8" s="74">
        <v>0.0</v>
      </c>
      <c r="AB8" s="74">
        <v>0.0</v>
      </c>
      <c r="AC8" s="74">
        <v>0.0</v>
      </c>
      <c r="AD8" s="74">
        <v>0.0</v>
      </c>
      <c r="AE8" s="74">
        <v>0.0</v>
      </c>
      <c r="AF8" s="74">
        <v>0.0</v>
      </c>
      <c r="AG8" s="74">
        <v>0.0</v>
      </c>
      <c r="AH8" s="74">
        <v>0.0</v>
      </c>
      <c r="AI8" s="74">
        <v>0.0</v>
      </c>
      <c r="AJ8" s="74">
        <v>0.0</v>
      </c>
      <c r="AK8" s="74">
        <v>0.0</v>
      </c>
      <c r="AL8" s="74">
        <v>0.0</v>
      </c>
      <c r="AM8" s="74">
        <v>0.0</v>
      </c>
      <c r="AN8" s="74">
        <v>0.0</v>
      </c>
      <c r="AO8" s="74">
        <v>0.0</v>
      </c>
      <c r="AP8" s="74">
        <v>0.0</v>
      </c>
    </row>
    <row r="9">
      <c r="A9" s="250" t="s">
        <v>148</v>
      </c>
      <c r="B9" s="74">
        <v>0.0</v>
      </c>
      <c r="C9" s="74">
        <v>0.0</v>
      </c>
      <c r="D9" s="74">
        <v>0.0</v>
      </c>
      <c r="E9" s="74">
        <v>0.0</v>
      </c>
      <c r="F9" s="74">
        <v>0.0</v>
      </c>
      <c r="G9" s="74">
        <v>0.0</v>
      </c>
      <c r="H9" s="74">
        <v>0.0</v>
      </c>
      <c r="I9" s="74">
        <v>0.0</v>
      </c>
      <c r="J9" s="74">
        <v>0.0</v>
      </c>
      <c r="K9" s="74">
        <v>0.0</v>
      </c>
      <c r="L9" s="74">
        <v>0.0</v>
      </c>
      <c r="M9" s="74">
        <v>0.0</v>
      </c>
      <c r="N9" s="74">
        <v>0.0</v>
      </c>
      <c r="O9" s="74">
        <v>0.0</v>
      </c>
      <c r="P9" s="74">
        <v>0.0</v>
      </c>
      <c r="Q9" s="74">
        <v>0.0</v>
      </c>
      <c r="R9" s="74">
        <v>0.0</v>
      </c>
      <c r="S9" s="74">
        <v>0.0</v>
      </c>
      <c r="T9" s="74">
        <v>0.0</v>
      </c>
      <c r="U9" s="74">
        <v>0.0</v>
      </c>
      <c r="V9" s="74">
        <v>0.0</v>
      </c>
      <c r="W9" s="74">
        <v>0.0</v>
      </c>
      <c r="X9" s="74">
        <v>0.0</v>
      </c>
      <c r="Y9" s="74">
        <v>0.0</v>
      </c>
      <c r="Z9" s="74">
        <v>0.0</v>
      </c>
      <c r="AA9" s="74">
        <v>0.0</v>
      </c>
      <c r="AB9" s="74">
        <v>0.0</v>
      </c>
      <c r="AC9" s="74">
        <v>0.0</v>
      </c>
      <c r="AD9" s="74">
        <v>0.0</v>
      </c>
      <c r="AE9" s="74">
        <v>0.0</v>
      </c>
      <c r="AF9" s="74">
        <v>0.0</v>
      </c>
      <c r="AG9" s="74">
        <v>0.0</v>
      </c>
      <c r="AH9" s="74">
        <v>0.0</v>
      </c>
      <c r="AI9" s="74">
        <v>0.0</v>
      </c>
      <c r="AJ9" s="74">
        <v>0.0</v>
      </c>
      <c r="AK9" s="74">
        <v>0.0</v>
      </c>
      <c r="AL9" s="74">
        <v>0.0</v>
      </c>
      <c r="AM9" s="74">
        <v>0.0</v>
      </c>
      <c r="AN9" s="74">
        <v>0.0</v>
      </c>
      <c r="AO9" s="74">
        <v>0.0</v>
      </c>
      <c r="AP9" s="74">
        <v>0.0</v>
      </c>
    </row>
    <row r="10">
      <c r="A10" s="250" t="s">
        <v>149</v>
      </c>
      <c r="B10" s="74" t="s">
        <v>55</v>
      </c>
      <c r="C10" s="74">
        <v>0.0</v>
      </c>
      <c r="D10" s="74">
        <v>0.0</v>
      </c>
      <c r="E10" s="74" t="s">
        <v>55</v>
      </c>
      <c r="F10" s="74">
        <v>0.0</v>
      </c>
      <c r="G10" s="74">
        <v>0.0</v>
      </c>
      <c r="H10" s="74" t="s">
        <v>55</v>
      </c>
      <c r="I10" s="74">
        <v>0.0</v>
      </c>
      <c r="J10" s="74">
        <v>0.0</v>
      </c>
      <c r="K10" s="74" t="s">
        <v>55</v>
      </c>
      <c r="L10" s="74">
        <v>0.0</v>
      </c>
      <c r="M10" s="74">
        <v>0.0</v>
      </c>
      <c r="N10" s="74">
        <v>0.0</v>
      </c>
      <c r="O10" s="74">
        <v>0.0</v>
      </c>
      <c r="P10" s="74">
        <v>0.0</v>
      </c>
      <c r="Q10" s="74" t="s">
        <v>55</v>
      </c>
      <c r="R10" s="74" t="s">
        <v>55</v>
      </c>
      <c r="S10" s="74">
        <v>0.0</v>
      </c>
      <c r="T10" s="74">
        <v>0.0</v>
      </c>
      <c r="U10" s="74">
        <v>0.0</v>
      </c>
      <c r="V10" s="74">
        <v>0.0</v>
      </c>
      <c r="W10" s="74">
        <v>0.0</v>
      </c>
      <c r="X10" s="74">
        <v>0.0</v>
      </c>
      <c r="Y10" s="74" t="s">
        <v>55</v>
      </c>
      <c r="Z10" s="74">
        <v>0.0</v>
      </c>
      <c r="AA10" s="74" t="s">
        <v>55</v>
      </c>
      <c r="AB10" s="74">
        <v>0.0</v>
      </c>
      <c r="AC10" s="74" t="s">
        <v>55</v>
      </c>
      <c r="AD10" s="74">
        <v>0.0</v>
      </c>
      <c r="AE10" s="74" t="s">
        <v>55</v>
      </c>
      <c r="AF10" s="74">
        <v>0.0</v>
      </c>
      <c r="AG10" s="74">
        <v>0.0</v>
      </c>
      <c r="AH10" s="74">
        <v>0.0</v>
      </c>
      <c r="AI10" s="74">
        <v>0.0</v>
      </c>
      <c r="AJ10" s="74">
        <v>0.0</v>
      </c>
      <c r="AK10" s="74">
        <v>0.0</v>
      </c>
      <c r="AL10" s="74">
        <v>0.0</v>
      </c>
      <c r="AM10" s="74">
        <v>0.0</v>
      </c>
      <c r="AN10" s="74">
        <v>0.0</v>
      </c>
      <c r="AO10" s="74" t="s">
        <v>55</v>
      </c>
      <c r="AP10" s="74">
        <v>18.0</v>
      </c>
    </row>
    <row r="11">
      <c r="A11" s="250" t="s">
        <v>150</v>
      </c>
      <c r="B11" s="74">
        <v>158.0</v>
      </c>
      <c r="C11" s="74">
        <v>40.0</v>
      </c>
      <c r="D11" s="74">
        <v>66.0</v>
      </c>
      <c r="E11" s="74" t="s">
        <v>55</v>
      </c>
      <c r="F11" s="74">
        <v>23.0</v>
      </c>
      <c r="G11" s="74">
        <v>115.0</v>
      </c>
      <c r="H11" s="74">
        <v>282.0</v>
      </c>
      <c r="I11" s="74">
        <v>109.0</v>
      </c>
      <c r="J11" s="74">
        <v>137.0</v>
      </c>
      <c r="K11" s="74">
        <v>136.0</v>
      </c>
      <c r="L11" s="74">
        <v>28.0</v>
      </c>
      <c r="M11" s="74">
        <v>15.0</v>
      </c>
      <c r="N11" s="74">
        <v>38.0</v>
      </c>
      <c r="O11" s="74">
        <v>19.0</v>
      </c>
      <c r="P11" s="74">
        <v>21.0</v>
      </c>
      <c r="Q11" s="74">
        <v>59.0</v>
      </c>
      <c r="R11" s="74">
        <v>79.0</v>
      </c>
      <c r="S11" s="74" t="s">
        <v>55</v>
      </c>
      <c r="T11" s="74">
        <v>41.0</v>
      </c>
      <c r="U11" s="74">
        <v>73.0</v>
      </c>
      <c r="V11" s="74">
        <v>0.0</v>
      </c>
      <c r="W11" s="74">
        <v>73.0</v>
      </c>
      <c r="X11" s="74">
        <v>122.0</v>
      </c>
      <c r="Y11" s="74">
        <v>100.0</v>
      </c>
      <c r="Z11" s="74">
        <v>35.0</v>
      </c>
      <c r="AA11" s="74">
        <v>113.0</v>
      </c>
      <c r="AB11" s="74">
        <v>50.0</v>
      </c>
      <c r="AC11" s="74">
        <v>633.0</v>
      </c>
      <c r="AD11" s="74">
        <v>29.0</v>
      </c>
      <c r="AE11" s="74">
        <v>35.0</v>
      </c>
      <c r="AF11" s="74">
        <v>74.0</v>
      </c>
      <c r="AG11" s="74">
        <v>161.0</v>
      </c>
      <c r="AH11" s="74">
        <v>21.0</v>
      </c>
      <c r="AI11" s="74">
        <v>23.0</v>
      </c>
      <c r="AJ11" s="74">
        <v>318.0</v>
      </c>
      <c r="AK11" s="74">
        <v>31.0</v>
      </c>
      <c r="AL11" s="74">
        <v>74.0</v>
      </c>
      <c r="AM11" s="74">
        <v>60.0</v>
      </c>
      <c r="AN11" s="74">
        <v>43.0</v>
      </c>
      <c r="AO11" s="74">
        <v>54.0</v>
      </c>
      <c r="AP11" s="118">
        <v>3496.0</v>
      </c>
    </row>
    <row r="12">
      <c r="A12" s="250" t="s">
        <v>151</v>
      </c>
      <c r="B12" s="74">
        <v>186.0</v>
      </c>
      <c r="C12" s="74">
        <v>94.0</v>
      </c>
      <c r="D12" s="74">
        <v>115.0</v>
      </c>
      <c r="E12" s="74">
        <v>14.0</v>
      </c>
      <c r="F12" s="74">
        <v>59.0</v>
      </c>
      <c r="G12" s="74">
        <v>224.0</v>
      </c>
      <c r="H12" s="74">
        <v>480.0</v>
      </c>
      <c r="I12" s="74">
        <v>196.0</v>
      </c>
      <c r="J12" s="74">
        <v>161.0</v>
      </c>
      <c r="K12" s="74">
        <v>298.0</v>
      </c>
      <c r="L12" s="74">
        <v>52.0</v>
      </c>
      <c r="M12" s="74">
        <v>24.0</v>
      </c>
      <c r="N12" s="74">
        <v>50.0</v>
      </c>
      <c r="O12" s="74">
        <v>40.0</v>
      </c>
      <c r="P12" s="74">
        <v>24.0</v>
      </c>
      <c r="Q12" s="74">
        <v>158.0</v>
      </c>
      <c r="R12" s="74">
        <v>130.0</v>
      </c>
      <c r="S12" s="74">
        <v>5.0</v>
      </c>
      <c r="T12" s="74">
        <v>72.0</v>
      </c>
      <c r="U12" s="74">
        <v>104.0</v>
      </c>
      <c r="V12" s="74">
        <v>0.0</v>
      </c>
      <c r="W12" s="74">
        <v>68.0</v>
      </c>
      <c r="X12" s="74">
        <v>192.0</v>
      </c>
      <c r="Y12" s="74">
        <v>176.0</v>
      </c>
      <c r="Z12" s="74">
        <v>88.0</v>
      </c>
      <c r="AA12" s="74">
        <v>214.0</v>
      </c>
      <c r="AB12" s="74">
        <v>75.0</v>
      </c>
      <c r="AC12" s="74">
        <v>864.0</v>
      </c>
      <c r="AD12" s="74">
        <v>48.0</v>
      </c>
      <c r="AE12" s="74">
        <v>75.0</v>
      </c>
      <c r="AF12" s="74">
        <v>107.0</v>
      </c>
      <c r="AG12" s="74">
        <v>230.0</v>
      </c>
      <c r="AH12" s="74">
        <v>42.0</v>
      </c>
      <c r="AI12" s="74">
        <v>40.0</v>
      </c>
      <c r="AJ12" s="74">
        <v>495.0</v>
      </c>
      <c r="AK12" s="74">
        <v>34.0</v>
      </c>
      <c r="AL12" s="74">
        <v>129.0</v>
      </c>
      <c r="AM12" s="74">
        <v>101.0</v>
      </c>
      <c r="AN12" s="74">
        <v>85.0</v>
      </c>
      <c r="AO12" s="74">
        <v>134.0</v>
      </c>
      <c r="AP12" s="118">
        <v>5683.0</v>
      </c>
    </row>
    <row r="13">
      <c r="A13" s="250" t="s">
        <v>152</v>
      </c>
      <c r="B13" s="74">
        <v>61.0</v>
      </c>
      <c r="C13" s="74">
        <v>254.0</v>
      </c>
      <c r="D13" s="74">
        <v>27.0</v>
      </c>
      <c r="E13" s="74">
        <v>49.0</v>
      </c>
      <c r="F13" s="74">
        <v>17.0</v>
      </c>
      <c r="G13" s="74">
        <v>98.0</v>
      </c>
      <c r="H13" s="74">
        <v>181.0</v>
      </c>
      <c r="I13" s="74">
        <v>127.0</v>
      </c>
      <c r="J13" s="74">
        <v>45.0</v>
      </c>
      <c r="K13" s="74">
        <v>174.0</v>
      </c>
      <c r="L13" s="74">
        <v>22.0</v>
      </c>
      <c r="M13" s="74">
        <v>15.0</v>
      </c>
      <c r="N13" s="74">
        <v>24.0</v>
      </c>
      <c r="O13" s="74">
        <v>21.0</v>
      </c>
      <c r="P13" s="74">
        <v>5.0</v>
      </c>
      <c r="Q13" s="74">
        <v>128.0</v>
      </c>
      <c r="R13" s="74">
        <v>69.0</v>
      </c>
      <c r="S13" s="74" t="s">
        <v>55</v>
      </c>
      <c r="T13" s="74">
        <v>20.0</v>
      </c>
      <c r="U13" s="74">
        <v>47.0</v>
      </c>
      <c r="V13" s="74">
        <v>0.0</v>
      </c>
      <c r="W13" s="74">
        <v>18.0</v>
      </c>
      <c r="X13" s="74">
        <v>83.0</v>
      </c>
      <c r="Y13" s="74">
        <v>81.0</v>
      </c>
      <c r="Z13" s="74">
        <v>95.0</v>
      </c>
      <c r="AA13" s="74">
        <v>285.0</v>
      </c>
      <c r="AB13" s="74">
        <v>25.0</v>
      </c>
      <c r="AC13" s="74">
        <v>572.0</v>
      </c>
      <c r="AD13" s="74">
        <v>22.0</v>
      </c>
      <c r="AE13" s="74">
        <v>28.0</v>
      </c>
      <c r="AF13" s="74">
        <v>49.0</v>
      </c>
      <c r="AG13" s="74">
        <v>113.0</v>
      </c>
      <c r="AH13" s="74">
        <v>23.0</v>
      </c>
      <c r="AI13" s="74">
        <v>44.0</v>
      </c>
      <c r="AJ13" s="74">
        <v>459.0</v>
      </c>
      <c r="AK13" s="74">
        <v>21.0</v>
      </c>
      <c r="AL13" s="74">
        <v>96.0</v>
      </c>
      <c r="AM13" s="74">
        <v>69.0</v>
      </c>
      <c r="AN13" s="74">
        <v>140.0</v>
      </c>
      <c r="AO13" s="74">
        <v>31.0</v>
      </c>
      <c r="AP13" s="118">
        <v>3641.0</v>
      </c>
    </row>
    <row r="14">
      <c r="A14" s="250" t="s">
        <v>153</v>
      </c>
      <c r="B14" s="74">
        <v>166.0</v>
      </c>
      <c r="C14" s="74">
        <v>305.0</v>
      </c>
      <c r="D14" s="74">
        <v>168.0</v>
      </c>
      <c r="E14" s="74">
        <v>744.0</v>
      </c>
      <c r="F14" s="74">
        <v>128.0</v>
      </c>
      <c r="G14" s="74">
        <v>567.0</v>
      </c>
      <c r="H14" s="74">
        <v>638.0</v>
      </c>
      <c r="I14" s="74">
        <v>275.0</v>
      </c>
      <c r="J14" s="74">
        <v>253.0</v>
      </c>
      <c r="K14" s="74">
        <v>700.0</v>
      </c>
      <c r="L14" s="74">
        <v>107.0</v>
      </c>
      <c r="M14" s="74">
        <v>41.0</v>
      </c>
      <c r="N14" s="74">
        <v>114.0</v>
      </c>
      <c r="O14" s="74">
        <v>166.0</v>
      </c>
      <c r="P14" s="74">
        <v>132.0</v>
      </c>
      <c r="Q14" s="74">
        <v>290.0</v>
      </c>
      <c r="R14" s="74">
        <v>190.0</v>
      </c>
      <c r="S14" s="74">
        <v>32.0</v>
      </c>
      <c r="T14" s="74">
        <v>315.0</v>
      </c>
      <c r="U14" s="74">
        <v>175.0</v>
      </c>
      <c r="V14" s="74">
        <v>14.0</v>
      </c>
      <c r="W14" s="74">
        <v>327.0</v>
      </c>
      <c r="X14" s="74">
        <v>367.0</v>
      </c>
      <c r="Y14" s="74">
        <v>230.0</v>
      </c>
      <c r="Z14" s="74">
        <v>151.0</v>
      </c>
      <c r="AA14" s="74">
        <v>562.0</v>
      </c>
      <c r="AB14" s="74">
        <v>245.0</v>
      </c>
      <c r="AC14" s="118">
        <v>1171.0</v>
      </c>
      <c r="AD14" s="74">
        <v>156.0</v>
      </c>
      <c r="AE14" s="74">
        <v>129.0</v>
      </c>
      <c r="AF14" s="74">
        <v>333.0</v>
      </c>
      <c r="AG14" s="74">
        <v>473.0</v>
      </c>
      <c r="AH14" s="74">
        <v>126.0</v>
      </c>
      <c r="AI14" s="74">
        <v>190.0</v>
      </c>
      <c r="AJ14" s="118">
        <v>1007.0</v>
      </c>
      <c r="AK14" s="74">
        <v>77.0</v>
      </c>
      <c r="AL14" s="74">
        <v>300.0</v>
      </c>
      <c r="AM14" s="74">
        <v>392.0</v>
      </c>
      <c r="AN14" s="74">
        <v>440.0</v>
      </c>
      <c r="AO14" s="74">
        <v>124.0</v>
      </c>
      <c r="AP14" s="118">
        <v>12320.0</v>
      </c>
    </row>
    <row r="15">
      <c r="A15" s="250" t="s">
        <v>154</v>
      </c>
      <c r="B15" s="74">
        <v>152.0</v>
      </c>
      <c r="C15" s="74">
        <v>284.0</v>
      </c>
      <c r="D15" s="74">
        <v>195.0</v>
      </c>
      <c r="E15" s="74">
        <v>337.0</v>
      </c>
      <c r="F15" s="74">
        <v>42.0</v>
      </c>
      <c r="G15" s="74">
        <v>264.0</v>
      </c>
      <c r="H15" s="74">
        <v>860.0</v>
      </c>
      <c r="I15" s="74">
        <v>285.0</v>
      </c>
      <c r="J15" s="74">
        <v>107.0</v>
      </c>
      <c r="K15" s="74">
        <v>482.0</v>
      </c>
      <c r="L15" s="74">
        <v>56.0</v>
      </c>
      <c r="M15" s="74">
        <v>60.0</v>
      </c>
      <c r="N15" s="74">
        <v>131.0</v>
      </c>
      <c r="O15" s="74">
        <v>41.0</v>
      </c>
      <c r="P15" s="74">
        <v>23.0</v>
      </c>
      <c r="Q15" s="74">
        <v>311.0</v>
      </c>
      <c r="R15" s="74">
        <v>373.0</v>
      </c>
      <c r="S15" s="74">
        <v>27.0</v>
      </c>
      <c r="T15" s="74">
        <v>156.0</v>
      </c>
      <c r="U15" s="74">
        <v>84.0</v>
      </c>
      <c r="V15" s="74">
        <v>22.0</v>
      </c>
      <c r="W15" s="74">
        <v>172.0</v>
      </c>
      <c r="X15" s="74">
        <v>170.0</v>
      </c>
      <c r="Y15" s="74">
        <v>401.0</v>
      </c>
      <c r="Z15" s="74">
        <v>104.0</v>
      </c>
      <c r="AA15" s="74">
        <v>499.0</v>
      </c>
      <c r="AB15" s="74">
        <v>142.0</v>
      </c>
      <c r="AC15" s="118">
        <v>1097.0</v>
      </c>
      <c r="AD15" s="74">
        <v>44.0</v>
      </c>
      <c r="AE15" s="74">
        <v>144.0</v>
      </c>
      <c r="AF15" s="74">
        <v>380.0</v>
      </c>
      <c r="AG15" s="74">
        <v>178.0</v>
      </c>
      <c r="AH15" s="74">
        <v>98.0</v>
      </c>
      <c r="AI15" s="74">
        <v>157.0</v>
      </c>
      <c r="AJ15" s="74">
        <v>682.0</v>
      </c>
      <c r="AK15" s="74">
        <v>55.0</v>
      </c>
      <c r="AL15" s="74">
        <v>171.0</v>
      </c>
      <c r="AM15" s="74">
        <v>162.0</v>
      </c>
      <c r="AN15" s="74">
        <v>189.0</v>
      </c>
      <c r="AO15" s="74">
        <v>96.0</v>
      </c>
      <c r="AP15" s="118">
        <v>9233.0</v>
      </c>
    </row>
    <row r="16">
      <c r="A16" s="250" t="s">
        <v>155</v>
      </c>
      <c r="B16" s="74">
        <v>157.0</v>
      </c>
      <c r="C16" s="74">
        <v>293.0</v>
      </c>
      <c r="D16" s="74">
        <v>169.0</v>
      </c>
      <c r="E16" s="74">
        <v>517.0</v>
      </c>
      <c r="F16" s="74">
        <v>76.0</v>
      </c>
      <c r="G16" s="74">
        <v>408.0</v>
      </c>
      <c r="H16" s="74">
        <v>881.0</v>
      </c>
      <c r="I16" s="74">
        <v>378.0</v>
      </c>
      <c r="J16" s="74">
        <v>169.0</v>
      </c>
      <c r="K16" s="74">
        <v>525.0</v>
      </c>
      <c r="L16" s="74">
        <v>60.0</v>
      </c>
      <c r="M16" s="74">
        <v>48.0</v>
      </c>
      <c r="N16" s="74">
        <v>114.0</v>
      </c>
      <c r="O16" s="74">
        <v>156.0</v>
      </c>
      <c r="P16" s="74">
        <v>43.0</v>
      </c>
      <c r="Q16" s="74">
        <v>424.0</v>
      </c>
      <c r="R16" s="74">
        <v>215.0</v>
      </c>
      <c r="S16" s="74">
        <v>7.0</v>
      </c>
      <c r="T16" s="74">
        <v>71.0</v>
      </c>
      <c r="U16" s="74">
        <v>122.0</v>
      </c>
      <c r="V16" s="74">
        <v>7.0</v>
      </c>
      <c r="W16" s="74">
        <v>84.0</v>
      </c>
      <c r="X16" s="74">
        <v>370.0</v>
      </c>
      <c r="Y16" s="74">
        <v>411.0</v>
      </c>
      <c r="Z16" s="74">
        <v>140.0</v>
      </c>
      <c r="AA16" s="74">
        <v>659.0</v>
      </c>
      <c r="AB16" s="74">
        <v>96.0</v>
      </c>
      <c r="AC16" s="118">
        <v>1300.0</v>
      </c>
      <c r="AD16" s="74">
        <v>70.0</v>
      </c>
      <c r="AE16" s="74">
        <v>114.0</v>
      </c>
      <c r="AF16" s="74">
        <v>281.0</v>
      </c>
      <c r="AG16" s="74">
        <v>214.0</v>
      </c>
      <c r="AH16" s="74">
        <v>152.0</v>
      </c>
      <c r="AI16" s="74">
        <v>108.0</v>
      </c>
      <c r="AJ16" s="118">
        <v>1447.0</v>
      </c>
      <c r="AK16" s="74">
        <v>77.0</v>
      </c>
      <c r="AL16" s="74">
        <v>353.0</v>
      </c>
      <c r="AM16" s="74">
        <v>220.0</v>
      </c>
      <c r="AN16" s="74">
        <v>369.0</v>
      </c>
      <c r="AO16" s="74">
        <v>254.0</v>
      </c>
      <c r="AP16" s="118">
        <v>11559.0</v>
      </c>
    </row>
    <row r="17">
      <c r="A17" s="250" t="s">
        <v>156</v>
      </c>
      <c r="B17" s="74">
        <v>125.0</v>
      </c>
      <c r="C17" s="74">
        <v>118.0</v>
      </c>
      <c r="D17" s="74">
        <v>120.0</v>
      </c>
      <c r="E17" s="74">
        <v>744.0</v>
      </c>
      <c r="F17" s="74">
        <v>53.0</v>
      </c>
      <c r="G17" s="74">
        <v>477.0</v>
      </c>
      <c r="H17" s="74">
        <v>808.0</v>
      </c>
      <c r="I17" s="74">
        <v>297.0</v>
      </c>
      <c r="J17" s="74">
        <v>190.0</v>
      </c>
      <c r="K17" s="74">
        <v>518.0</v>
      </c>
      <c r="L17" s="74">
        <v>49.0</v>
      </c>
      <c r="M17" s="74">
        <v>33.0</v>
      </c>
      <c r="N17" s="74">
        <v>92.0</v>
      </c>
      <c r="O17" s="74">
        <v>42.0</v>
      </c>
      <c r="P17" s="74">
        <v>40.0</v>
      </c>
      <c r="Q17" s="74">
        <v>346.0</v>
      </c>
      <c r="R17" s="74">
        <v>213.0</v>
      </c>
      <c r="S17" s="74">
        <v>15.0</v>
      </c>
      <c r="T17" s="74">
        <v>257.0</v>
      </c>
      <c r="U17" s="74">
        <v>165.0</v>
      </c>
      <c r="V17" s="74">
        <v>16.0</v>
      </c>
      <c r="W17" s="74">
        <v>278.0</v>
      </c>
      <c r="X17" s="74">
        <v>375.0</v>
      </c>
      <c r="Y17" s="74">
        <v>270.0</v>
      </c>
      <c r="Z17" s="74">
        <v>197.0</v>
      </c>
      <c r="AA17" s="74">
        <v>651.0</v>
      </c>
      <c r="AB17" s="74">
        <v>85.0</v>
      </c>
      <c r="AC17" s="118">
        <v>1321.0</v>
      </c>
      <c r="AD17" s="74">
        <v>42.0</v>
      </c>
      <c r="AE17" s="74">
        <v>110.0</v>
      </c>
      <c r="AF17" s="74">
        <v>341.0</v>
      </c>
      <c r="AG17" s="74">
        <v>270.0</v>
      </c>
      <c r="AH17" s="74">
        <v>47.0</v>
      </c>
      <c r="AI17" s="74">
        <v>196.0</v>
      </c>
      <c r="AJ17" s="74">
        <v>730.0</v>
      </c>
      <c r="AK17" s="74">
        <v>45.0</v>
      </c>
      <c r="AL17" s="74">
        <v>498.0</v>
      </c>
      <c r="AM17" s="74">
        <v>93.0</v>
      </c>
      <c r="AN17" s="74">
        <v>300.0</v>
      </c>
      <c r="AO17" s="74">
        <v>42.0</v>
      </c>
      <c r="AP17" s="118">
        <v>10609.0</v>
      </c>
    </row>
    <row r="18">
      <c r="A18" s="250" t="s">
        <v>157</v>
      </c>
      <c r="B18" s="74">
        <v>138.0</v>
      </c>
      <c r="C18" s="74">
        <v>187.0</v>
      </c>
      <c r="D18" s="74">
        <v>227.0</v>
      </c>
      <c r="E18" s="74">
        <v>653.0</v>
      </c>
      <c r="F18" s="74">
        <v>103.0</v>
      </c>
      <c r="G18" s="74">
        <v>416.0</v>
      </c>
      <c r="H18" s="118">
        <v>1068.0</v>
      </c>
      <c r="I18" s="74">
        <v>430.0</v>
      </c>
      <c r="J18" s="74">
        <v>280.0</v>
      </c>
      <c r="K18" s="74">
        <v>683.0</v>
      </c>
      <c r="L18" s="74">
        <v>67.0</v>
      </c>
      <c r="M18" s="74">
        <v>56.0</v>
      </c>
      <c r="N18" s="74">
        <v>112.0</v>
      </c>
      <c r="O18" s="74">
        <v>81.0</v>
      </c>
      <c r="P18" s="74">
        <v>71.0</v>
      </c>
      <c r="Q18" s="74">
        <v>326.0</v>
      </c>
      <c r="R18" s="74">
        <v>614.0</v>
      </c>
      <c r="S18" s="74">
        <v>25.0</v>
      </c>
      <c r="T18" s="74">
        <v>127.0</v>
      </c>
      <c r="U18" s="74">
        <v>150.0</v>
      </c>
      <c r="V18" s="74" t="s">
        <v>55</v>
      </c>
      <c r="W18" s="74">
        <v>252.0</v>
      </c>
      <c r="X18" s="74">
        <v>304.0</v>
      </c>
      <c r="Y18" s="74">
        <v>484.0</v>
      </c>
      <c r="Z18" s="74">
        <v>178.0</v>
      </c>
      <c r="AA18" s="74">
        <v>983.0</v>
      </c>
      <c r="AB18" s="74">
        <v>266.0</v>
      </c>
      <c r="AC18" s="118">
        <v>1516.0</v>
      </c>
      <c r="AD18" s="74">
        <v>117.0</v>
      </c>
      <c r="AE18" s="74">
        <v>148.0</v>
      </c>
      <c r="AF18" s="74">
        <v>407.0</v>
      </c>
      <c r="AG18" s="74">
        <v>338.0</v>
      </c>
      <c r="AH18" s="74">
        <v>78.0</v>
      </c>
      <c r="AI18" s="74">
        <v>116.0</v>
      </c>
      <c r="AJ18" s="118">
        <v>1013.0</v>
      </c>
      <c r="AK18" s="74">
        <v>53.0</v>
      </c>
      <c r="AL18" s="74">
        <v>245.0</v>
      </c>
      <c r="AM18" s="74">
        <v>289.0</v>
      </c>
      <c r="AN18" s="74">
        <v>735.0</v>
      </c>
      <c r="AO18" s="74">
        <v>366.0</v>
      </c>
      <c r="AP18" s="118">
        <v>13704.0</v>
      </c>
    </row>
    <row r="19">
      <c r="A19" s="250" t="s">
        <v>158</v>
      </c>
      <c r="B19" s="74">
        <v>319.0</v>
      </c>
      <c r="C19" s="74">
        <v>253.0</v>
      </c>
      <c r="D19" s="74">
        <v>105.0</v>
      </c>
      <c r="E19" s="74">
        <v>241.0</v>
      </c>
      <c r="F19" s="74">
        <v>57.0</v>
      </c>
      <c r="G19" s="74">
        <v>389.0</v>
      </c>
      <c r="H19" s="74">
        <v>1055.0</v>
      </c>
      <c r="I19" s="74">
        <v>845.0</v>
      </c>
      <c r="J19" s="74">
        <v>214.0</v>
      </c>
      <c r="K19" s="74">
        <v>512.0</v>
      </c>
      <c r="L19" s="74">
        <v>77.0</v>
      </c>
      <c r="M19" s="74">
        <v>34.0</v>
      </c>
      <c r="N19" s="74">
        <v>88.0</v>
      </c>
      <c r="O19" s="74">
        <v>76.0</v>
      </c>
      <c r="P19" s="74">
        <v>79.0</v>
      </c>
      <c r="Q19" s="74">
        <v>331.0</v>
      </c>
      <c r="R19" s="74">
        <v>319.0</v>
      </c>
      <c r="S19" s="74">
        <v>44.0</v>
      </c>
      <c r="T19" s="74">
        <v>131.0</v>
      </c>
      <c r="U19" s="74">
        <v>206.0</v>
      </c>
      <c r="V19" s="74">
        <v>5.0</v>
      </c>
      <c r="W19" s="74">
        <v>243.0</v>
      </c>
      <c r="X19" s="74">
        <v>355.0</v>
      </c>
      <c r="Y19" s="74">
        <v>397.0</v>
      </c>
      <c r="Z19" s="74">
        <v>101.0</v>
      </c>
      <c r="AA19" s="74">
        <v>768.0</v>
      </c>
      <c r="AB19" s="74">
        <v>223.0</v>
      </c>
      <c r="AC19" s="74">
        <v>1630.0</v>
      </c>
      <c r="AD19" s="74">
        <v>61.0</v>
      </c>
      <c r="AE19" s="74">
        <v>108.0</v>
      </c>
      <c r="AF19" s="74">
        <v>209.0</v>
      </c>
      <c r="AG19" s="74">
        <v>428.0</v>
      </c>
      <c r="AH19" s="74">
        <v>179.0</v>
      </c>
      <c r="AI19" s="74">
        <v>134.0</v>
      </c>
      <c r="AJ19" s="74">
        <v>1292.0</v>
      </c>
      <c r="AK19" s="74">
        <v>82.0</v>
      </c>
      <c r="AL19" s="74">
        <v>331.0</v>
      </c>
      <c r="AM19" s="74">
        <v>191.0</v>
      </c>
      <c r="AN19" s="74">
        <v>167.0</v>
      </c>
      <c r="AO19" s="74">
        <v>33.0</v>
      </c>
      <c r="AP19" s="74">
        <v>12312.0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353</v>
      </c>
      <c r="B1" s="105"/>
      <c r="C1" s="105"/>
      <c r="D1" s="105"/>
      <c r="E1" s="105"/>
      <c r="F1" s="105"/>
      <c r="G1" s="105"/>
      <c r="H1" s="105"/>
      <c r="I1" s="105"/>
      <c r="J1" s="105"/>
      <c r="K1" s="105"/>
      <c r="L1" s="105"/>
      <c r="M1" s="105"/>
      <c r="N1" s="12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c r="A2" s="106" t="s">
        <v>348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c r="A3" s="106" t="s">
        <v>0</v>
      </c>
      <c r="B3" s="196">
        <v>44265.0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row>
    <row r="4">
      <c r="A4" s="109"/>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c r="A5" s="197" t="s">
        <v>349</v>
      </c>
      <c r="B5" s="111"/>
      <c r="C5" s="111"/>
      <c r="D5" s="111"/>
      <c r="E5" s="111"/>
      <c r="F5" s="111"/>
      <c r="G5" s="111"/>
      <c r="H5" s="111"/>
      <c r="I5" s="111"/>
      <c r="J5" s="111"/>
      <c r="K5" s="41"/>
      <c r="L5" s="112"/>
      <c r="M5" s="112"/>
      <c r="N5" s="112"/>
      <c r="O5" s="112"/>
      <c r="P5" s="112"/>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row>
    <row r="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ht="34.5" customHeight="1">
      <c r="A7" s="159" t="s">
        <v>181</v>
      </c>
      <c r="B7" s="155" t="s">
        <v>272</v>
      </c>
      <c r="C7" s="155" t="s">
        <v>273</v>
      </c>
      <c r="D7" s="155" t="s">
        <v>274</v>
      </c>
      <c r="E7" s="155" t="s">
        <v>275</v>
      </c>
      <c r="F7" s="155" t="s">
        <v>276</v>
      </c>
      <c r="G7" s="155" t="s">
        <v>277</v>
      </c>
      <c r="H7" s="155" t="s">
        <v>278</v>
      </c>
      <c r="I7" s="155" t="s">
        <v>279</v>
      </c>
      <c r="J7" s="154" t="s">
        <v>280</v>
      </c>
      <c r="K7" s="154" t="s">
        <v>281</v>
      </c>
      <c r="L7" s="155" t="s">
        <v>282</v>
      </c>
      <c r="M7" s="155" t="s">
        <v>283</v>
      </c>
      <c r="N7" s="155" t="s">
        <v>284</v>
      </c>
      <c r="O7" s="155" t="s">
        <v>285</v>
      </c>
      <c r="P7" s="155" t="s">
        <v>286</v>
      </c>
      <c r="Q7" s="155" t="s">
        <v>287</v>
      </c>
      <c r="R7" s="155" t="s">
        <v>288</v>
      </c>
      <c r="S7" s="154" t="s">
        <v>289</v>
      </c>
      <c r="T7" s="155" t="s">
        <v>290</v>
      </c>
      <c r="U7" s="155" t="s">
        <v>291</v>
      </c>
      <c r="V7" s="154" t="s">
        <v>292</v>
      </c>
      <c r="W7" s="155" t="s">
        <v>293</v>
      </c>
      <c r="X7" s="154" t="s">
        <v>294</v>
      </c>
      <c r="Y7" s="154" t="s">
        <v>295</v>
      </c>
      <c r="Z7" s="154" t="s">
        <v>296</v>
      </c>
      <c r="AA7" s="155" t="s">
        <v>297</v>
      </c>
      <c r="AB7" s="155" t="s">
        <v>298</v>
      </c>
      <c r="AC7" s="155" t="s">
        <v>299</v>
      </c>
      <c r="AD7" s="155" t="s">
        <v>300</v>
      </c>
      <c r="AE7" s="155" t="s">
        <v>301</v>
      </c>
      <c r="AF7" s="155" t="s">
        <v>302</v>
      </c>
      <c r="AG7" s="154" t="s">
        <v>303</v>
      </c>
      <c r="AH7" s="155" t="s">
        <v>304</v>
      </c>
      <c r="AI7" s="155" t="s">
        <v>305</v>
      </c>
      <c r="AJ7" s="155" t="s">
        <v>306</v>
      </c>
      <c r="AK7" s="154" t="s">
        <v>307</v>
      </c>
      <c r="AL7" s="154" t="s">
        <v>308</v>
      </c>
      <c r="AM7" s="155" t="s">
        <v>309</v>
      </c>
      <c r="AN7" s="155" t="s">
        <v>310</v>
      </c>
      <c r="AO7" s="155" t="s">
        <v>266</v>
      </c>
    </row>
    <row r="8">
      <c r="A8" s="245" t="s">
        <v>314</v>
      </c>
      <c r="B8" s="135">
        <v>16178.0</v>
      </c>
      <c r="C8" s="135">
        <v>22234.0</v>
      </c>
      <c r="D8" s="135">
        <v>16453.0</v>
      </c>
      <c r="E8" s="135">
        <v>19382.0</v>
      </c>
      <c r="F8" s="135">
        <v>7780.0</v>
      </c>
      <c r="G8" s="135">
        <v>34575.0</v>
      </c>
      <c r="H8" s="135">
        <v>81196.0</v>
      </c>
      <c r="I8" s="135">
        <v>34652.0</v>
      </c>
      <c r="J8" s="135">
        <v>13073.0</v>
      </c>
      <c r="K8" s="135">
        <v>47449.0</v>
      </c>
      <c r="L8" s="135">
        <v>6782.0</v>
      </c>
      <c r="M8" s="135">
        <v>4689.0</v>
      </c>
      <c r="N8" s="135">
        <v>10062.0</v>
      </c>
      <c r="O8" s="135">
        <v>8111.0</v>
      </c>
      <c r="P8" s="135">
        <v>5496.0</v>
      </c>
      <c r="Q8" s="135">
        <v>29235.0</v>
      </c>
      <c r="R8" s="135">
        <v>21644.0</v>
      </c>
      <c r="S8" s="135">
        <v>3505.0</v>
      </c>
      <c r="T8" s="135">
        <v>16078.0</v>
      </c>
      <c r="U8" s="135">
        <v>15550.0</v>
      </c>
      <c r="V8" s="119">
        <v>827.0</v>
      </c>
      <c r="W8" s="135">
        <v>24762.0</v>
      </c>
      <c r="X8" s="135">
        <v>26207.0</v>
      </c>
      <c r="Y8" s="135">
        <v>32459.0</v>
      </c>
      <c r="Z8" s="135">
        <v>12349.0</v>
      </c>
      <c r="AA8" s="135">
        <v>71756.0</v>
      </c>
      <c r="AB8" s="135">
        <v>17418.0</v>
      </c>
      <c r="AC8" s="135">
        <v>179435.0</v>
      </c>
      <c r="AD8" s="135">
        <v>7626.0</v>
      </c>
      <c r="AE8" s="135">
        <v>10603.0</v>
      </c>
      <c r="AF8" s="135">
        <v>21630.0</v>
      </c>
      <c r="AG8" s="135">
        <v>30735.0</v>
      </c>
      <c r="AH8" s="135">
        <v>15816.0</v>
      </c>
      <c r="AI8" s="135">
        <v>10488.0</v>
      </c>
      <c r="AJ8" s="135">
        <v>81079.0</v>
      </c>
      <c r="AK8" s="135">
        <v>6179.0</v>
      </c>
      <c r="AL8" s="135">
        <v>28955.0</v>
      </c>
      <c r="AM8" s="135">
        <v>22624.0</v>
      </c>
      <c r="AN8" s="135">
        <v>41539.0</v>
      </c>
      <c r="AO8" s="135">
        <v>1056611.0</v>
      </c>
    </row>
    <row r="9">
      <c r="A9" s="250" t="s">
        <v>147</v>
      </c>
      <c r="B9" s="119">
        <v>0.0</v>
      </c>
      <c r="C9" s="119">
        <v>0.0</v>
      </c>
      <c r="D9" s="119">
        <v>0.0</v>
      </c>
      <c r="E9" s="119">
        <v>0.0</v>
      </c>
      <c r="F9" s="119">
        <v>0.0</v>
      </c>
      <c r="G9" s="119">
        <v>0.0</v>
      </c>
      <c r="H9" s="119">
        <v>0.0</v>
      </c>
      <c r="I9" s="119">
        <v>0.0</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v>0.0</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row>
    <row r="10">
      <c r="A10" s="250" t="s">
        <v>148</v>
      </c>
      <c r="B10" s="119">
        <v>0.0</v>
      </c>
      <c r="C10" s="119">
        <v>0.0</v>
      </c>
      <c r="D10" s="119">
        <v>0.0</v>
      </c>
      <c r="E10" s="119">
        <v>0.0</v>
      </c>
      <c r="F10" s="119">
        <v>0.0</v>
      </c>
      <c r="G10" s="119">
        <v>0.0</v>
      </c>
      <c r="H10" s="119">
        <v>0.0</v>
      </c>
      <c r="I10" s="119">
        <v>0.0</v>
      </c>
      <c r="J10" s="119">
        <v>0.0</v>
      </c>
      <c r="K10" s="119">
        <v>0.0</v>
      </c>
      <c r="L10" s="119">
        <v>0.0</v>
      </c>
      <c r="M10" s="119">
        <v>0.0</v>
      </c>
      <c r="N10" s="119">
        <v>0.0</v>
      </c>
      <c r="O10" s="119">
        <v>0.0</v>
      </c>
      <c r="P10" s="119">
        <v>0.0</v>
      </c>
      <c r="Q10" s="119">
        <v>0.0</v>
      </c>
      <c r="R10" s="119">
        <v>0.0</v>
      </c>
      <c r="S10" s="119">
        <v>0.0</v>
      </c>
      <c r="T10" s="119">
        <v>0.0</v>
      </c>
      <c r="U10" s="119">
        <v>0.0</v>
      </c>
      <c r="V10" s="119">
        <v>0.0</v>
      </c>
      <c r="W10" s="119">
        <v>0.0</v>
      </c>
      <c r="X10" s="119">
        <v>0.0</v>
      </c>
      <c r="Y10" s="119">
        <v>0.0</v>
      </c>
      <c r="Z10" s="119">
        <v>0.0</v>
      </c>
      <c r="AA10" s="119">
        <v>0.0</v>
      </c>
      <c r="AB10" s="119">
        <v>0.0</v>
      </c>
      <c r="AC10" s="119">
        <v>0.0</v>
      </c>
      <c r="AD10" s="119">
        <v>0.0</v>
      </c>
      <c r="AE10" s="119">
        <v>0.0</v>
      </c>
      <c r="AF10" s="119">
        <v>0.0</v>
      </c>
      <c r="AG10" s="119">
        <v>0.0</v>
      </c>
      <c r="AH10" s="119">
        <v>0.0</v>
      </c>
      <c r="AI10" s="119">
        <v>0.0</v>
      </c>
      <c r="AJ10" s="119">
        <v>0.0</v>
      </c>
      <c r="AK10" s="119">
        <v>0.0</v>
      </c>
      <c r="AL10" s="119">
        <v>0.0</v>
      </c>
      <c r="AM10" s="119">
        <v>0.0</v>
      </c>
      <c r="AN10" s="119">
        <v>0.0</v>
      </c>
      <c r="AO10" s="119">
        <v>0.0</v>
      </c>
    </row>
    <row r="11">
      <c r="A11" s="250" t="s">
        <v>149</v>
      </c>
      <c r="B11" s="119" t="s">
        <v>163</v>
      </c>
      <c r="C11" s="119">
        <v>0.0</v>
      </c>
      <c r="D11" s="119">
        <v>0.0</v>
      </c>
      <c r="E11" s="119" t="s">
        <v>163</v>
      </c>
      <c r="F11" s="119">
        <v>0.0</v>
      </c>
      <c r="G11" s="119">
        <v>0.0</v>
      </c>
      <c r="H11" s="119" t="s">
        <v>163</v>
      </c>
      <c r="I11" s="119">
        <v>0.0</v>
      </c>
      <c r="J11" s="119">
        <v>0.0</v>
      </c>
      <c r="K11" s="119" t="s">
        <v>163</v>
      </c>
      <c r="L11" s="119">
        <v>0.0</v>
      </c>
      <c r="M11" s="119">
        <v>0.0</v>
      </c>
      <c r="N11" s="119">
        <v>0.0</v>
      </c>
      <c r="O11" s="119">
        <v>0.0</v>
      </c>
      <c r="P11" s="119">
        <v>0.0</v>
      </c>
      <c r="Q11" s="119" t="s">
        <v>163</v>
      </c>
      <c r="R11" s="119" t="s">
        <v>163</v>
      </c>
      <c r="S11" s="119">
        <v>0.0</v>
      </c>
      <c r="T11" s="119">
        <v>0.0</v>
      </c>
      <c r="U11" s="119">
        <v>0.0</v>
      </c>
      <c r="V11" s="119">
        <v>0.0</v>
      </c>
      <c r="W11" s="119">
        <v>0.0</v>
      </c>
      <c r="X11" s="119">
        <v>0.0</v>
      </c>
      <c r="Y11" s="119" t="s">
        <v>163</v>
      </c>
      <c r="Z11" s="119">
        <v>0.0</v>
      </c>
      <c r="AA11" s="119" t="s">
        <v>163</v>
      </c>
      <c r="AB11" s="119">
        <v>0.0</v>
      </c>
      <c r="AC11" s="119" t="s">
        <v>163</v>
      </c>
      <c r="AD11" s="119">
        <v>0.0</v>
      </c>
      <c r="AE11" s="119" t="s">
        <v>163</v>
      </c>
      <c r="AF11" s="119">
        <v>0.0</v>
      </c>
      <c r="AG11" s="119">
        <v>0.0</v>
      </c>
      <c r="AH11" s="119">
        <v>0.0</v>
      </c>
      <c r="AI11" s="119">
        <v>0.0</v>
      </c>
      <c r="AJ11" s="119">
        <v>0.0</v>
      </c>
      <c r="AK11" s="119">
        <v>0.0</v>
      </c>
      <c r="AL11" s="119">
        <v>0.0</v>
      </c>
      <c r="AM11" s="119">
        <v>0.0</v>
      </c>
      <c r="AN11" s="119">
        <v>0.0</v>
      </c>
      <c r="AO11" s="119">
        <v>2.0</v>
      </c>
    </row>
    <row r="12">
      <c r="A12" s="250" t="s">
        <v>150</v>
      </c>
      <c r="B12" s="119">
        <v>977.0</v>
      </c>
      <c r="C12" s="119">
        <v>180.0</v>
      </c>
      <c r="D12" s="119">
        <v>401.0</v>
      </c>
      <c r="E12" s="119" t="s">
        <v>163</v>
      </c>
      <c r="F12" s="119">
        <v>296.0</v>
      </c>
      <c r="G12" s="119">
        <v>333.0</v>
      </c>
      <c r="H12" s="119">
        <v>347.0</v>
      </c>
      <c r="I12" s="119">
        <v>315.0</v>
      </c>
      <c r="J12" s="135">
        <v>1048.0</v>
      </c>
      <c r="K12" s="119">
        <v>287.0</v>
      </c>
      <c r="L12" s="119">
        <v>413.0</v>
      </c>
      <c r="M12" s="119">
        <v>320.0</v>
      </c>
      <c r="N12" s="119">
        <v>378.0</v>
      </c>
      <c r="O12" s="119">
        <v>234.0</v>
      </c>
      <c r="P12" s="119">
        <v>382.0</v>
      </c>
      <c r="Q12" s="119">
        <v>202.0</v>
      </c>
      <c r="R12" s="119">
        <v>365.0</v>
      </c>
      <c r="S12" s="119" t="s">
        <v>163</v>
      </c>
      <c r="T12" s="119">
        <v>255.0</v>
      </c>
      <c r="U12" s="119">
        <v>469.0</v>
      </c>
      <c r="V12" s="119">
        <v>0.0</v>
      </c>
      <c r="W12" s="119">
        <v>295.0</v>
      </c>
      <c r="X12" s="119">
        <v>466.0</v>
      </c>
      <c r="Y12" s="119">
        <v>308.0</v>
      </c>
      <c r="Z12" s="119">
        <v>283.0</v>
      </c>
      <c r="AA12" s="119">
        <v>157.0</v>
      </c>
      <c r="AB12" s="119">
        <v>287.0</v>
      </c>
      <c r="AC12" s="119">
        <v>353.0</v>
      </c>
      <c r="AD12" s="119">
        <v>380.0</v>
      </c>
      <c r="AE12" s="119">
        <v>330.0</v>
      </c>
      <c r="AF12" s="119">
        <v>342.0</v>
      </c>
      <c r="AG12" s="119">
        <v>524.0</v>
      </c>
      <c r="AH12" s="119">
        <v>133.0</v>
      </c>
      <c r="AI12" s="119">
        <v>219.0</v>
      </c>
      <c r="AJ12" s="119">
        <v>392.0</v>
      </c>
      <c r="AK12" s="119">
        <v>502.0</v>
      </c>
      <c r="AL12" s="119">
        <v>256.0</v>
      </c>
      <c r="AM12" s="119">
        <v>265.0</v>
      </c>
      <c r="AN12" s="119">
        <v>104.0</v>
      </c>
      <c r="AO12" s="119">
        <v>331.0</v>
      </c>
    </row>
    <row r="13">
      <c r="A13" s="250" t="s">
        <v>151</v>
      </c>
      <c r="B13" s="135">
        <v>1150.0</v>
      </c>
      <c r="C13" s="119">
        <v>423.0</v>
      </c>
      <c r="D13" s="119">
        <v>699.0</v>
      </c>
      <c r="E13" s="119">
        <v>72.0</v>
      </c>
      <c r="F13" s="119">
        <v>758.0</v>
      </c>
      <c r="G13" s="119">
        <v>648.0</v>
      </c>
      <c r="H13" s="119">
        <v>591.0</v>
      </c>
      <c r="I13" s="119">
        <v>566.0</v>
      </c>
      <c r="J13" s="135">
        <v>1232.0</v>
      </c>
      <c r="K13" s="119">
        <v>628.0</v>
      </c>
      <c r="L13" s="119">
        <v>767.0</v>
      </c>
      <c r="M13" s="119">
        <v>512.0</v>
      </c>
      <c r="N13" s="119">
        <v>497.0</v>
      </c>
      <c r="O13" s="119">
        <v>493.0</v>
      </c>
      <c r="P13" s="119">
        <v>437.0</v>
      </c>
      <c r="Q13" s="119">
        <v>540.0</v>
      </c>
      <c r="R13" s="119">
        <v>601.0</v>
      </c>
      <c r="S13" s="119">
        <v>143.0</v>
      </c>
      <c r="T13" s="119">
        <v>448.0</v>
      </c>
      <c r="U13" s="119">
        <v>669.0</v>
      </c>
      <c r="V13" s="119">
        <v>0.0</v>
      </c>
      <c r="W13" s="119">
        <v>275.0</v>
      </c>
      <c r="X13" s="119">
        <v>733.0</v>
      </c>
      <c r="Y13" s="119">
        <v>542.0</v>
      </c>
      <c r="Z13" s="119">
        <v>713.0</v>
      </c>
      <c r="AA13" s="119">
        <v>298.0</v>
      </c>
      <c r="AB13" s="119">
        <v>431.0</v>
      </c>
      <c r="AC13" s="119">
        <v>482.0</v>
      </c>
      <c r="AD13" s="119">
        <v>629.0</v>
      </c>
      <c r="AE13" s="119">
        <v>707.0</v>
      </c>
      <c r="AF13" s="119">
        <v>495.0</v>
      </c>
      <c r="AG13" s="119">
        <v>748.0</v>
      </c>
      <c r="AH13" s="119">
        <v>266.0</v>
      </c>
      <c r="AI13" s="119">
        <v>381.0</v>
      </c>
      <c r="AJ13" s="119">
        <v>611.0</v>
      </c>
      <c r="AK13" s="119">
        <v>550.0</v>
      </c>
      <c r="AL13" s="119">
        <v>446.0</v>
      </c>
      <c r="AM13" s="119">
        <v>446.0</v>
      </c>
      <c r="AN13" s="119">
        <v>205.0</v>
      </c>
      <c r="AO13" s="119">
        <v>538.0</v>
      </c>
    </row>
    <row r="14">
      <c r="A14" s="250" t="s">
        <v>152</v>
      </c>
      <c r="B14" s="119">
        <v>377.0</v>
      </c>
      <c r="C14" s="135">
        <v>1142.0</v>
      </c>
      <c r="D14" s="119">
        <v>164.0</v>
      </c>
      <c r="E14" s="119">
        <v>253.0</v>
      </c>
      <c r="F14" s="119">
        <v>219.0</v>
      </c>
      <c r="G14" s="119">
        <v>283.0</v>
      </c>
      <c r="H14" s="119">
        <v>223.0</v>
      </c>
      <c r="I14" s="119">
        <v>367.0</v>
      </c>
      <c r="J14" s="119">
        <v>344.0</v>
      </c>
      <c r="K14" s="119">
        <v>367.0</v>
      </c>
      <c r="L14" s="119">
        <v>324.0</v>
      </c>
      <c r="M14" s="119">
        <v>320.0</v>
      </c>
      <c r="N14" s="119">
        <v>239.0</v>
      </c>
      <c r="O14" s="119">
        <v>259.0</v>
      </c>
      <c r="P14" s="119">
        <v>91.0</v>
      </c>
      <c r="Q14" s="119">
        <v>438.0</v>
      </c>
      <c r="R14" s="119">
        <v>319.0</v>
      </c>
      <c r="S14" s="119" t="s">
        <v>163</v>
      </c>
      <c r="T14" s="119">
        <v>124.0</v>
      </c>
      <c r="U14" s="119">
        <v>302.0</v>
      </c>
      <c r="V14" s="119">
        <v>0.0</v>
      </c>
      <c r="W14" s="119">
        <v>73.0</v>
      </c>
      <c r="X14" s="119">
        <v>317.0</v>
      </c>
      <c r="Y14" s="119">
        <v>250.0</v>
      </c>
      <c r="Z14" s="119">
        <v>769.0</v>
      </c>
      <c r="AA14" s="119">
        <v>397.0</v>
      </c>
      <c r="AB14" s="119">
        <v>144.0</v>
      </c>
      <c r="AC14" s="119">
        <v>319.0</v>
      </c>
      <c r="AD14" s="119">
        <v>288.0</v>
      </c>
      <c r="AE14" s="119">
        <v>264.0</v>
      </c>
      <c r="AF14" s="119">
        <v>227.0</v>
      </c>
      <c r="AG14" s="119">
        <v>368.0</v>
      </c>
      <c r="AH14" s="119">
        <v>145.0</v>
      </c>
      <c r="AI14" s="119">
        <v>420.0</v>
      </c>
      <c r="AJ14" s="119">
        <v>566.0</v>
      </c>
      <c r="AK14" s="119">
        <v>340.0</v>
      </c>
      <c r="AL14" s="119">
        <v>332.0</v>
      </c>
      <c r="AM14" s="119">
        <v>305.0</v>
      </c>
      <c r="AN14" s="119">
        <v>337.0</v>
      </c>
      <c r="AO14" s="119">
        <v>345.0</v>
      </c>
    </row>
    <row r="15">
      <c r="A15" s="250" t="s">
        <v>153</v>
      </c>
      <c r="B15" s="135">
        <v>1026.0</v>
      </c>
      <c r="C15" s="135">
        <v>1372.0</v>
      </c>
      <c r="D15" s="135">
        <v>1021.0</v>
      </c>
      <c r="E15" s="135">
        <v>3839.0</v>
      </c>
      <c r="F15" s="135">
        <v>1645.0</v>
      </c>
      <c r="G15" s="135">
        <v>1640.0</v>
      </c>
      <c r="H15" s="119">
        <v>786.0</v>
      </c>
      <c r="I15" s="119">
        <v>794.0</v>
      </c>
      <c r="J15" s="135">
        <v>1935.0</v>
      </c>
      <c r="K15" s="135">
        <v>1475.0</v>
      </c>
      <c r="L15" s="135">
        <v>1578.0</v>
      </c>
      <c r="M15" s="119">
        <v>874.0</v>
      </c>
      <c r="N15" s="135">
        <v>1133.0</v>
      </c>
      <c r="O15" s="135">
        <v>2047.0</v>
      </c>
      <c r="P15" s="135">
        <v>2402.0</v>
      </c>
      <c r="Q15" s="119">
        <v>992.0</v>
      </c>
      <c r="R15" s="119">
        <v>878.0</v>
      </c>
      <c r="S15" s="119">
        <v>913.0</v>
      </c>
      <c r="T15" s="135">
        <v>1959.0</v>
      </c>
      <c r="U15" s="135">
        <v>1125.0</v>
      </c>
      <c r="V15" s="135">
        <v>1693.0</v>
      </c>
      <c r="W15" s="135">
        <v>1321.0</v>
      </c>
      <c r="X15" s="135">
        <v>1400.0</v>
      </c>
      <c r="Y15" s="119">
        <v>709.0</v>
      </c>
      <c r="Z15" s="135">
        <v>1223.0</v>
      </c>
      <c r="AA15" s="119">
        <v>783.0</v>
      </c>
      <c r="AB15" s="135">
        <v>1407.0</v>
      </c>
      <c r="AC15" s="119">
        <v>653.0</v>
      </c>
      <c r="AD15" s="135">
        <v>2046.0</v>
      </c>
      <c r="AE15" s="135">
        <v>1217.0</v>
      </c>
      <c r="AF15" s="135">
        <v>1540.0</v>
      </c>
      <c r="AG15" s="135">
        <v>1539.0</v>
      </c>
      <c r="AH15" s="119">
        <v>797.0</v>
      </c>
      <c r="AI15" s="135">
        <v>1812.0</v>
      </c>
      <c r="AJ15" s="135">
        <v>1242.0</v>
      </c>
      <c r="AK15" s="135">
        <v>1246.0</v>
      </c>
      <c r="AL15" s="135">
        <v>1036.0</v>
      </c>
      <c r="AM15" s="135">
        <v>1733.0</v>
      </c>
      <c r="AN15" s="135">
        <v>1059.0</v>
      </c>
      <c r="AO15" s="135">
        <v>1166.0</v>
      </c>
    </row>
    <row r="16">
      <c r="A16" s="250" t="s">
        <v>154</v>
      </c>
      <c r="B16" s="119">
        <v>940.0</v>
      </c>
      <c r="C16" s="135">
        <v>1277.0</v>
      </c>
      <c r="D16" s="135">
        <v>1185.0</v>
      </c>
      <c r="E16" s="135">
        <v>1739.0</v>
      </c>
      <c r="F16" s="119">
        <v>540.0</v>
      </c>
      <c r="G16" s="119">
        <v>764.0</v>
      </c>
      <c r="H16" s="135">
        <v>1059.0</v>
      </c>
      <c r="I16" s="119">
        <v>822.0</v>
      </c>
      <c r="J16" s="119">
        <v>818.0</v>
      </c>
      <c r="K16" s="135">
        <v>1016.0</v>
      </c>
      <c r="L16" s="119">
        <v>826.0</v>
      </c>
      <c r="M16" s="135">
        <v>1280.0</v>
      </c>
      <c r="N16" s="135">
        <v>1302.0</v>
      </c>
      <c r="O16" s="119">
        <v>505.0</v>
      </c>
      <c r="P16" s="119">
        <v>418.0</v>
      </c>
      <c r="Q16" s="135">
        <v>1064.0</v>
      </c>
      <c r="R16" s="135">
        <v>1723.0</v>
      </c>
      <c r="S16" s="119">
        <v>770.0</v>
      </c>
      <c r="T16" s="119">
        <v>970.0</v>
      </c>
      <c r="U16" s="119">
        <v>540.0</v>
      </c>
      <c r="V16" s="135">
        <v>2660.0</v>
      </c>
      <c r="W16" s="119">
        <v>695.0</v>
      </c>
      <c r="X16" s="119">
        <v>649.0</v>
      </c>
      <c r="Y16" s="135">
        <v>1235.0</v>
      </c>
      <c r="Z16" s="119">
        <v>842.0</v>
      </c>
      <c r="AA16" s="119">
        <v>695.0</v>
      </c>
      <c r="AB16" s="119">
        <v>815.0</v>
      </c>
      <c r="AC16" s="119">
        <v>611.0</v>
      </c>
      <c r="AD16" s="119">
        <v>577.0</v>
      </c>
      <c r="AE16" s="135">
        <v>1358.0</v>
      </c>
      <c r="AF16" s="135">
        <v>1757.0</v>
      </c>
      <c r="AG16" s="119">
        <v>579.0</v>
      </c>
      <c r="AH16" s="119">
        <v>620.0</v>
      </c>
      <c r="AI16" s="135">
        <v>1497.0</v>
      </c>
      <c r="AJ16" s="119">
        <v>841.0</v>
      </c>
      <c r="AK16" s="119">
        <v>890.0</v>
      </c>
      <c r="AL16" s="119">
        <v>591.0</v>
      </c>
      <c r="AM16" s="119">
        <v>716.0</v>
      </c>
      <c r="AN16" s="119">
        <v>455.0</v>
      </c>
      <c r="AO16" s="119">
        <v>874.0</v>
      </c>
    </row>
    <row r="17">
      <c r="A17" s="250" t="s">
        <v>155</v>
      </c>
      <c r="B17" s="119">
        <v>970.0</v>
      </c>
      <c r="C17" s="135">
        <v>1318.0</v>
      </c>
      <c r="D17" s="135">
        <v>1027.0</v>
      </c>
      <c r="E17" s="135">
        <v>2667.0</v>
      </c>
      <c r="F17" s="119">
        <v>977.0</v>
      </c>
      <c r="G17" s="135">
        <v>1180.0</v>
      </c>
      <c r="H17" s="135">
        <v>1085.0</v>
      </c>
      <c r="I17" s="135">
        <v>1091.0</v>
      </c>
      <c r="J17" s="135">
        <v>1293.0</v>
      </c>
      <c r="K17" s="135">
        <v>1106.0</v>
      </c>
      <c r="L17" s="119">
        <v>885.0</v>
      </c>
      <c r="M17" s="135">
        <v>1024.0</v>
      </c>
      <c r="N17" s="135">
        <v>1133.0</v>
      </c>
      <c r="O17" s="135">
        <v>1923.0</v>
      </c>
      <c r="P17" s="119">
        <v>782.0</v>
      </c>
      <c r="Q17" s="135">
        <v>1450.0</v>
      </c>
      <c r="R17" s="119">
        <v>993.0</v>
      </c>
      <c r="S17" s="119">
        <v>200.0</v>
      </c>
      <c r="T17" s="119">
        <v>442.0</v>
      </c>
      <c r="U17" s="119">
        <v>785.0</v>
      </c>
      <c r="V17" s="119">
        <v>846.0</v>
      </c>
      <c r="W17" s="119">
        <v>339.0</v>
      </c>
      <c r="X17" s="135">
        <v>1412.0</v>
      </c>
      <c r="Y17" s="135">
        <v>1266.0</v>
      </c>
      <c r="Z17" s="135">
        <v>1134.0</v>
      </c>
      <c r="AA17" s="119">
        <v>918.0</v>
      </c>
      <c r="AB17" s="119">
        <v>551.0</v>
      </c>
      <c r="AC17" s="119">
        <v>724.0</v>
      </c>
      <c r="AD17" s="119">
        <v>918.0</v>
      </c>
      <c r="AE17" s="135">
        <v>1075.0</v>
      </c>
      <c r="AF17" s="135">
        <v>1299.0</v>
      </c>
      <c r="AG17" s="119">
        <v>696.0</v>
      </c>
      <c r="AH17" s="119">
        <v>961.0</v>
      </c>
      <c r="AI17" s="135">
        <v>1030.0</v>
      </c>
      <c r="AJ17" s="135">
        <v>1785.0</v>
      </c>
      <c r="AK17" s="135">
        <v>1246.0</v>
      </c>
      <c r="AL17" s="135">
        <v>1219.0</v>
      </c>
      <c r="AM17" s="119">
        <v>972.0</v>
      </c>
      <c r="AN17" s="119">
        <v>888.0</v>
      </c>
      <c r="AO17" s="135">
        <v>1094.0</v>
      </c>
    </row>
    <row r="18">
      <c r="A18" s="250" t="s">
        <v>156</v>
      </c>
      <c r="B18" s="119">
        <v>773.0</v>
      </c>
      <c r="C18" s="119">
        <v>531.0</v>
      </c>
      <c r="D18" s="119">
        <v>729.0</v>
      </c>
      <c r="E18" s="135">
        <v>3839.0</v>
      </c>
      <c r="F18" s="119">
        <v>681.0</v>
      </c>
      <c r="G18" s="135">
        <v>1380.0</v>
      </c>
      <c r="H18" s="119">
        <v>995.0</v>
      </c>
      <c r="I18" s="119">
        <v>857.0</v>
      </c>
      <c r="J18" s="135">
        <v>1453.0</v>
      </c>
      <c r="K18" s="135">
        <v>1092.0</v>
      </c>
      <c r="L18" s="119">
        <v>723.0</v>
      </c>
      <c r="M18" s="119">
        <v>704.0</v>
      </c>
      <c r="N18" s="119">
        <v>914.0</v>
      </c>
      <c r="O18" s="119">
        <v>518.0</v>
      </c>
      <c r="P18" s="119">
        <v>728.0</v>
      </c>
      <c r="Q18" s="135">
        <v>1184.0</v>
      </c>
      <c r="R18" s="119">
        <v>984.0</v>
      </c>
      <c r="S18" s="119">
        <v>428.0</v>
      </c>
      <c r="T18" s="135">
        <v>1598.0</v>
      </c>
      <c r="U18" s="135">
        <v>1061.0</v>
      </c>
      <c r="V18" s="135">
        <v>1935.0</v>
      </c>
      <c r="W18" s="135">
        <v>1123.0</v>
      </c>
      <c r="X18" s="135">
        <v>1431.0</v>
      </c>
      <c r="Y18" s="119">
        <v>832.0</v>
      </c>
      <c r="Z18" s="135">
        <v>1595.0</v>
      </c>
      <c r="AA18" s="119">
        <v>907.0</v>
      </c>
      <c r="AB18" s="119">
        <v>488.0</v>
      </c>
      <c r="AC18" s="119">
        <v>736.0</v>
      </c>
      <c r="AD18" s="119">
        <v>551.0</v>
      </c>
      <c r="AE18" s="135">
        <v>1037.0</v>
      </c>
      <c r="AF18" s="135">
        <v>1577.0</v>
      </c>
      <c r="AG18" s="119">
        <v>878.0</v>
      </c>
      <c r="AH18" s="119">
        <v>297.0</v>
      </c>
      <c r="AI18" s="135">
        <v>1869.0</v>
      </c>
      <c r="AJ18" s="119">
        <v>900.0</v>
      </c>
      <c r="AK18" s="119">
        <v>728.0</v>
      </c>
      <c r="AL18" s="135">
        <v>1720.0</v>
      </c>
      <c r="AM18" s="119">
        <v>411.0</v>
      </c>
      <c r="AN18" s="119">
        <v>722.0</v>
      </c>
      <c r="AO18" s="135">
        <v>1004.0</v>
      </c>
    </row>
    <row r="19">
      <c r="A19" s="250" t="s">
        <v>157</v>
      </c>
      <c r="B19" s="119">
        <v>853.0</v>
      </c>
      <c r="C19" s="119">
        <v>841.0</v>
      </c>
      <c r="D19" s="135">
        <v>1380.0</v>
      </c>
      <c r="E19" s="135">
        <v>3369.0</v>
      </c>
      <c r="F19" s="135">
        <v>1324.0</v>
      </c>
      <c r="G19" s="135">
        <v>1203.0</v>
      </c>
      <c r="H19" s="135">
        <v>1315.0</v>
      </c>
      <c r="I19" s="135">
        <v>1241.0</v>
      </c>
      <c r="J19" s="135">
        <v>2142.0</v>
      </c>
      <c r="K19" s="135">
        <v>1439.0</v>
      </c>
      <c r="L19" s="119">
        <v>988.0</v>
      </c>
      <c r="M19" s="135">
        <v>1194.0</v>
      </c>
      <c r="N19" s="135">
        <v>1113.0</v>
      </c>
      <c r="O19" s="119">
        <v>999.0</v>
      </c>
      <c r="P19" s="135">
        <v>1292.0</v>
      </c>
      <c r="Q19" s="135">
        <v>1115.0</v>
      </c>
      <c r="R19" s="135">
        <v>2837.0</v>
      </c>
      <c r="S19" s="119">
        <v>713.0</v>
      </c>
      <c r="T19" s="119">
        <v>790.0</v>
      </c>
      <c r="U19" s="119">
        <v>965.0</v>
      </c>
      <c r="V19" s="119" t="s">
        <v>163</v>
      </c>
      <c r="W19" s="135">
        <v>1018.0</v>
      </c>
      <c r="X19" s="135">
        <v>1160.0</v>
      </c>
      <c r="Y19" s="135">
        <v>1491.0</v>
      </c>
      <c r="Z19" s="135">
        <v>1441.0</v>
      </c>
      <c r="AA19" s="135">
        <v>1370.0</v>
      </c>
      <c r="AB19" s="135">
        <v>1527.0</v>
      </c>
      <c r="AC19" s="119">
        <v>845.0</v>
      </c>
      <c r="AD19" s="135">
        <v>1534.0</v>
      </c>
      <c r="AE19" s="135">
        <v>1396.0</v>
      </c>
      <c r="AF19" s="135">
        <v>1882.0</v>
      </c>
      <c r="AG19" s="135">
        <v>1100.0</v>
      </c>
      <c r="AH19" s="119">
        <v>493.0</v>
      </c>
      <c r="AI19" s="135">
        <v>1106.0</v>
      </c>
      <c r="AJ19" s="135">
        <v>1249.0</v>
      </c>
      <c r="AK19" s="119">
        <v>858.0</v>
      </c>
      <c r="AL19" s="119">
        <v>846.0</v>
      </c>
      <c r="AM19" s="135">
        <v>1277.0</v>
      </c>
      <c r="AN19" s="135">
        <v>1769.0</v>
      </c>
      <c r="AO19" s="135">
        <v>1297.0</v>
      </c>
    </row>
    <row r="20">
      <c r="A20" s="250" t="s">
        <v>158</v>
      </c>
      <c r="B20" s="135">
        <v>1972.0</v>
      </c>
      <c r="C20" s="135">
        <v>1138.0</v>
      </c>
      <c r="D20" s="135">
        <v>638.0</v>
      </c>
      <c r="E20" s="135">
        <v>1243.0</v>
      </c>
      <c r="F20" s="135">
        <v>733.0</v>
      </c>
      <c r="G20" s="135">
        <v>1125.0</v>
      </c>
      <c r="H20" s="135">
        <v>1299.0</v>
      </c>
      <c r="I20" s="135">
        <v>2439.0</v>
      </c>
      <c r="J20" s="135">
        <v>1637.0</v>
      </c>
      <c r="K20" s="135">
        <v>1079.0</v>
      </c>
      <c r="L20" s="135">
        <v>1135.0</v>
      </c>
      <c r="M20" s="135">
        <v>725.0</v>
      </c>
      <c r="N20" s="135">
        <v>875.0</v>
      </c>
      <c r="O20" s="135">
        <v>937.0</v>
      </c>
      <c r="P20" s="135">
        <v>1437.0</v>
      </c>
      <c r="Q20" s="135">
        <v>1132.0</v>
      </c>
      <c r="R20" s="135">
        <v>1474.0</v>
      </c>
      <c r="S20" s="135">
        <v>1255.0</v>
      </c>
      <c r="T20" s="135">
        <v>815.0</v>
      </c>
      <c r="U20" s="135">
        <v>1325.0</v>
      </c>
      <c r="V20" s="135">
        <v>605.0</v>
      </c>
      <c r="W20" s="135">
        <v>981.0</v>
      </c>
      <c r="X20" s="135">
        <v>1355.0</v>
      </c>
      <c r="Y20" s="135">
        <v>1223.0</v>
      </c>
      <c r="Z20" s="135">
        <v>818.0</v>
      </c>
      <c r="AA20" s="135">
        <v>1070.0</v>
      </c>
      <c r="AB20" s="135">
        <v>1280.0</v>
      </c>
      <c r="AC20" s="135">
        <v>908.0</v>
      </c>
      <c r="AD20" s="135">
        <v>800.0</v>
      </c>
      <c r="AE20" s="135">
        <v>1019.0</v>
      </c>
      <c r="AF20" s="135">
        <v>966.0</v>
      </c>
      <c r="AG20" s="135">
        <v>1393.0</v>
      </c>
      <c r="AH20" s="135">
        <v>1132.0</v>
      </c>
      <c r="AI20" s="135">
        <v>1278.0</v>
      </c>
      <c r="AJ20" s="135">
        <v>1594.0</v>
      </c>
      <c r="AK20" s="135">
        <v>1327.0</v>
      </c>
      <c r="AL20" s="135">
        <v>1143.0</v>
      </c>
      <c r="AM20" s="135">
        <v>844.0</v>
      </c>
      <c r="AN20" s="135">
        <v>402.0</v>
      </c>
      <c r="AO20" s="135">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3" t="s">
        <v>354</v>
      </c>
      <c r="B1" s="254" t="s">
        <v>355</v>
      </c>
      <c r="C1" s="255" t="s">
        <v>220</v>
      </c>
      <c r="D1" s="255" t="s">
        <v>221</v>
      </c>
      <c r="E1" s="255" t="s">
        <v>222</v>
      </c>
      <c r="F1" s="255" t="s">
        <v>223</v>
      </c>
      <c r="G1" s="255" t="s">
        <v>25</v>
      </c>
      <c r="H1" s="255" t="s">
        <v>224</v>
      </c>
    </row>
    <row r="2" ht="14.25" customHeight="1">
      <c r="A2" s="256" t="s">
        <v>227</v>
      </c>
      <c r="B2" s="254" t="s">
        <v>272</v>
      </c>
      <c r="C2" s="257">
        <f>Municipality!B2</f>
        <v>1134</v>
      </c>
      <c r="D2" s="257">
        <f>Municipality!C2</f>
        <v>7010</v>
      </c>
      <c r="E2" s="257">
        <f>Municipality!D2</f>
        <v>67</v>
      </c>
      <c r="F2" s="257">
        <f>Municipality!E2</f>
        <v>414</v>
      </c>
      <c r="G2" s="257">
        <f>Municipality!F2</f>
        <v>16</v>
      </c>
      <c r="H2" s="257">
        <f>Municipality!G2</f>
        <v>99</v>
      </c>
    </row>
    <row r="3" ht="14.25" customHeight="1">
      <c r="A3" s="256" t="s">
        <v>228</v>
      </c>
      <c r="B3" s="254" t="s">
        <v>273</v>
      </c>
      <c r="C3" s="257">
        <f>Municipality!B3</f>
        <v>2115</v>
      </c>
      <c r="D3" s="257">
        <f>Municipality!C3</f>
        <v>9512</v>
      </c>
      <c r="E3" s="257">
        <f>Municipality!D3</f>
        <v>114</v>
      </c>
      <c r="F3" s="257">
        <f>Municipality!E3</f>
        <v>513</v>
      </c>
      <c r="G3" s="257">
        <f>Municipality!F3</f>
        <v>72</v>
      </c>
      <c r="H3" s="257">
        <f>Municipality!G3</f>
        <v>324</v>
      </c>
    </row>
    <row r="4" ht="14.25" customHeight="1">
      <c r="A4" s="256" t="s">
        <v>229</v>
      </c>
      <c r="B4" s="254" t="s">
        <v>274</v>
      </c>
      <c r="C4" s="257">
        <f>Municipality!B4</f>
        <v>1710</v>
      </c>
      <c r="D4" s="257">
        <f>Municipality!C4</f>
        <v>10393</v>
      </c>
      <c r="E4" s="257">
        <f>Municipality!D4</f>
        <v>61</v>
      </c>
      <c r="F4" s="257">
        <f>Municipality!E4</f>
        <v>371</v>
      </c>
      <c r="G4" s="257">
        <f>Municipality!F4</f>
        <v>64</v>
      </c>
      <c r="H4" s="257">
        <f>Municipality!G4</f>
        <v>389</v>
      </c>
    </row>
    <row r="5" ht="14.25" customHeight="1">
      <c r="A5" s="256" t="s">
        <v>230</v>
      </c>
      <c r="B5" s="254" t="s">
        <v>275</v>
      </c>
      <c r="C5" s="257">
        <f>Municipality!B5</f>
        <v>4081</v>
      </c>
      <c r="D5" s="257">
        <f>Municipality!C5</f>
        <v>21056</v>
      </c>
      <c r="E5" s="257">
        <f>Municipality!D5</f>
        <v>220</v>
      </c>
      <c r="F5" s="257">
        <f>Municipality!E5</f>
        <v>1135</v>
      </c>
      <c r="G5" s="257">
        <f>Municipality!F5</f>
        <v>25</v>
      </c>
      <c r="H5" s="257">
        <f>Municipality!G5</f>
        <v>129</v>
      </c>
    </row>
    <row r="6" ht="14.25" customHeight="1">
      <c r="A6" s="256" t="s">
        <v>231</v>
      </c>
      <c r="B6" s="254" t="s">
        <v>276</v>
      </c>
      <c r="C6" s="257">
        <f>Municipality!B6</f>
        <v>488</v>
      </c>
      <c r="D6" s="257">
        <f>Municipality!C6</f>
        <v>6272</v>
      </c>
      <c r="E6" s="257">
        <f>Municipality!D6</f>
        <v>24</v>
      </c>
      <c r="F6" s="257">
        <f>Municipality!E6</f>
        <v>308</v>
      </c>
      <c r="G6" s="257" t="str">
        <f>Municipality!F6</f>
        <v>&lt;5</v>
      </c>
      <c r="H6" s="257" t="str">
        <f>Municipality!G6</f>
        <v>--</v>
      </c>
    </row>
    <row r="7" ht="14.25" customHeight="1">
      <c r="A7" s="256" t="s">
        <v>232</v>
      </c>
      <c r="B7" s="254" t="s">
        <v>277</v>
      </c>
      <c r="C7" s="257">
        <f>Municipality!B7</f>
        <v>3455</v>
      </c>
      <c r="D7" s="257">
        <f>Municipality!C7</f>
        <v>9993</v>
      </c>
      <c r="E7" s="257">
        <f>Municipality!D7</f>
        <v>213</v>
      </c>
      <c r="F7" s="257">
        <f>Municipality!E7</f>
        <v>616</v>
      </c>
      <c r="G7" s="257">
        <f>Municipality!F7</f>
        <v>92</v>
      </c>
      <c r="H7" s="257">
        <f>Municipality!G7</f>
        <v>266</v>
      </c>
    </row>
    <row r="8" ht="14.25" customHeight="1">
      <c r="A8" s="256" t="s">
        <v>233</v>
      </c>
      <c r="B8" s="254" t="s">
        <v>278</v>
      </c>
      <c r="C8" s="257">
        <f>Municipality!B8</f>
        <v>11186</v>
      </c>
      <c r="D8" s="257">
        <f>Municipality!C8</f>
        <v>13777</v>
      </c>
      <c r="E8" s="257">
        <f>Municipality!D8</f>
        <v>680</v>
      </c>
      <c r="F8" s="257">
        <f>Municipality!E8</f>
        <v>837</v>
      </c>
      <c r="G8" s="257">
        <f>Municipality!F8</f>
        <v>132</v>
      </c>
      <c r="H8" s="257">
        <f>Municipality!G8</f>
        <v>163</v>
      </c>
    </row>
    <row r="9" ht="14.25" customHeight="1">
      <c r="A9" s="256" t="s">
        <v>234</v>
      </c>
      <c r="B9" s="254" t="s">
        <v>279</v>
      </c>
      <c r="C9" s="257">
        <f>Municipality!B9</f>
        <v>3570</v>
      </c>
      <c r="D9" s="257">
        <f>Municipality!C9</f>
        <v>10302</v>
      </c>
      <c r="E9" s="257">
        <f>Municipality!D9</f>
        <v>215</v>
      </c>
      <c r="F9" s="257">
        <f>Municipality!E9</f>
        <v>620</v>
      </c>
      <c r="G9" s="257">
        <f>Municipality!F9</f>
        <v>76</v>
      </c>
      <c r="H9" s="257">
        <f>Municipality!G9</f>
        <v>219</v>
      </c>
    </row>
    <row r="10" ht="14.25" customHeight="1">
      <c r="A10" s="256" t="s">
        <v>235</v>
      </c>
      <c r="B10" s="254" t="s">
        <v>280</v>
      </c>
      <c r="C10" s="257">
        <f>Municipality!B10</f>
        <v>1514</v>
      </c>
      <c r="D10" s="257">
        <f>Municipality!C10</f>
        <v>11581</v>
      </c>
      <c r="E10" s="257">
        <f>Municipality!D10</f>
        <v>75</v>
      </c>
      <c r="F10" s="257">
        <f>Municipality!E10</f>
        <v>574</v>
      </c>
      <c r="G10" s="257">
        <f>Municipality!F10</f>
        <v>26</v>
      </c>
      <c r="H10" s="257">
        <f>Municipality!G10</f>
        <v>199</v>
      </c>
    </row>
    <row r="11" ht="14.25" customHeight="1">
      <c r="A11" s="256" t="s">
        <v>236</v>
      </c>
      <c r="B11" s="254" t="s">
        <v>281</v>
      </c>
      <c r="C11" s="257">
        <f>Municipality!B11</f>
        <v>4978</v>
      </c>
      <c r="D11" s="257">
        <f>Municipality!C11</f>
        <v>10491</v>
      </c>
      <c r="E11" s="257">
        <f>Municipality!D11</f>
        <v>376</v>
      </c>
      <c r="F11" s="257">
        <f>Municipality!E11</f>
        <v>792</v>
      </c>
      <c r="G11" s="257">
        <f>Municipality!F11</f>
        <v>195</v>
      </c>
      <c r="H11" s="257">
        <f>Municipality!G11</f>
        <v>411</v>
      </c>
    </row>
    <row r="12" ht="14.25" customHeight="1">
      <c r="A12" s="256" t="s">
        <v>237</v>
      </c>
      <c r="B12" s="254" t="s">
        <v>282</v>
      </c>
      <c r="C12" s="257">
        <f>Municipality!B12</f>
        <v>470</v>
      </c>
      <c r="D12" s="257">
        <f>Municipality!C12</f>
        <v>6930</v>
      </c>
      <c r="E12" s="257">
        <f>Municipality!D12</f>
        <v>30</v>
      </c>
      <c r="F12" s="257">
        <f>Municipality!E12</f>
        <v>442</v>
      </c>
      <c r="G12" s="257">
        <f>Municipality!F12</f>
        <v>7</v>
      </c>
      <c r="H12" s="257">
        <f>Municipality!G12</f>
        <v>103</v>
      </c>
    </row>
    <row r="13" ht="14.25" customHeight="1">
      <c r="A13" s="256" t="s">
        <v>238</v>
      </c>
      <c r="B13" s="254" t="s">
        <v>283</v>
      </c>
      <c r="C13" s="257">
        <f>Municipality!B13</f>
        <v>426</v>
      </c>
      <c r="D13" s="257">
        <f>Municipality!C13</f>
        <v>9085</v>
      </c>
      <c r="E13" s="257">
        <f>Municipality!D13</f>
        <v>15</v>
      </c>
      <c r="F13" s="257">
        <f>Municipality!E13</f>
        <v>320</v>
      </c>
      <c r="G13" s="257">
        <f>Municipality!F13</f>
        <v>5</v>
      </c>
      <c r="H13" s="257">
        <f>Municipality!G13</f>
        <v>107</v>
      </c>
    </row>
    <row r="14" ht="14.25" customHeight="1">
      <c r="A14" s="256" t="s">
        <v>239</v>
      </c>
      <c r="B14" s="254" t="s">
        <v>284</v>
      </c>
      <c r="C14" s="257">
        <f>Municipality!B14</f>
        <v>714</v>
      </c>
      <c r="D14" s="257">
        <f>Municipality!C14</f>
        <v>7096</v>
      </c>
      <c r="E14" s="257">
        <f>Municipality!D14</f>
        <v>27</v>
      </c>
      <c r="F14" s="257">
        <f>Municipality!E14</f>
        <v>268</v>
      </c>
      <c r="G14" s="257">
        <f>Municipality!F14</f>
        <v>7</v>
      </c>
      <c r="H14" s="257">
        <f>Municipality!G14</f>
        <v>70</v>
      </c>
    </row>
    <row r="15" ht="14.25" customHeight="1">
      <c r="A15" s="256" t="s">
        <v>240</v>
      </c>
      <c r="B15" s="254" t="s">
        <v>285</v>
      </c>
      <c r="C15" s="257">
        <f>Municipality!B15</f>
        <v>527</v>
      </c>
      <c r="D15" s="257">
        <f>Municipality!C15</f>
        <v>6497</v>
      </c>
      <c r="E15" s="257">
        <f>Municipality!D15</f>
        <v>31</v>
      </c>
      <c r="F15" s="257">
        <f>Municipality!E15</f>
        <v>382</v>
      </c>
      <c r="G15" s="257" t="str">
        <f>Municipality!F15</f>
        <v>&lt;5</v>
      </c>
      <c r="H15" s="257" t="str">
        <f>Municipality!G15</f>
        <v>--</v>
      </c>
    </row>
    <row r="16" ht="14.25" customHeight="1">
      <c r="A16" s="256" t="s">
        <v>241</v>
      </c>
      <c r="B16" s="254" t="s">
        <v>286</v>
      </c>
      <c r="C16" s="257">
        <f>Municipality!B16</f>
        <v>299</v>
      </c>
      <c r="D16" s="257">
        <f>Municipality!C16</f>
        <v>5440</v>
      </c>
      <c r="E16" s="257">
        <f>Municipality!D16</f>
        <v>10</v>
      </c>
      <c r="F16" s="257">
        <f>Municipality!E16</f>
        <v>182</v>
      </c>
      <c r="G16" s="257" t="str">
        <f>Municipality!F16</f>
        <v>&lt;5</v>
      </c>
      <c r="H16" s="257" t="str">
        <f>Municipality!G16</f>
        <v>--</v>
      </c>
    </row>
    <row r="17" ht="14.25" customHeight="1">
      <c r="A17" s="256" t="s">
        <v>242</v>
      </c>
      <c r="B17" s="254" t="s">
        <v>287</v>
      </c>
      <c r="C17" s="257">
        <f>Municipality!B17</f>
        <v>4135</v>
      </c>
      <c r="D17" s="257">
        <f>Municipality!C17</f>
        <v>14144</v>
      </c>
      <c r="E17" s="257">
        <f>Municipality!D17</f>
        <v>280</v>
      </c>
      <c r="F17" s="257">
        <f>Municipality!E17</f>
        <v>958</v>
      </c>
      <c r="G17" s="257">
        <f>Municipality!F17</f>
        <v>152</v>
      </c>
      <c r="H17" s="257">
        <f>Municipality!G17</f>
        <v>520</v>
      </c>
    </row>
    <row r="18" ht="14.25" customHeight="1">
      <c r="A18" s="256" t="s">
        <v>243</v>
      </c>
      <c r="B18" s="254" t="s">
        <v>288</v>
      </c>
      <c r="C18" s="257">
        <f>Municipality!B18</f>
        <v>2355</v>
      </c>
      <c r="D18" s="257">
        <f>Municipality!C18</f>
        <v>10881</v>
      </c>
      <c r="E18" s="257">
        <f>Municipality!D18</f>
        <v>175</v>
      </c>
      <c r="F18" s="257">
        <f>Municipality!E18</f>
        <v>809</v>
      </c>
      <c r="G18" s="257">
        <f>Municipality!F18</f>
        <v>75</v>
      </c>
      <c r="H18" s="257">
        <f>Municipality!G18</f>
        <v>347</v>
      </c>
    </row>
    <row r="19" ht="14.25" customHeight="1">
      <c r="A19" s="256" t="s">
        <v>244</v>
      </c>
      <c r="B19" s="254" t="s">
        <v>289</v>
      </c>
      <c r="C19" s="257">
        <f>Municipality!B19</f>
        <v>152</v>
      </c>
      <c r="D19" s="257">
        <f>Municipality!C19</f>
        <v>4337</v>
      </c>
      <c r="E19" s="257" t="str">
        <f>Municipality!D19</f>
        <v>&lt;5</v>
      </c>
      <c r="F19" s="257" t="str">
        <f>Municipality!E19</f>
        <v>--</v>
      </c>
      <c r="G19" s="257" t="str">
        <f>Municipality!F19</f>
        <v>&lt;5</v>
      </c>
      <c r="H19" s="257" t="str">
        <f>Municipality!G19</f>
        <v>--</v>
      </c>
    </row>
    <row r="20" ht="14.25" customHeight="1">
      <c r="A20" s="256" t="s">
        <v>245</v>
      </c>
      <c r="B20" s="254" t="s">
        <v>290</v>
      </c>
      <c r="C20" s="257">
        <f>Municipality!B20</f>
        <v>997</v>
      </c>
      <c r="D20" s="257">
        <f>Municipality!C20</f>
        <v>6201</v>
      </c>
      <c r="E20" s="257">
        <f>Municipality!D20</f>
        <v>54</v>
      </c>
      <c r="F20" s="257">
        <f>Municipality!E20</f>
        <v>336</v>
      </c>
      <c r="G20" s="257">
        <f>Municipality!F20</f>
        <v>8</v>
      </c>
      <c r="H20" s="257">
        <f>Municipality!G20</f>
        <v>50</v>
      </c>
    </row>
    <row r="21" ht="14.25" customHeight="1">
      <c r="A21" s="256" t="s">
        <v>246</v>
      </c>
      <c r="B21" s="254" t="s">
        <v>291</v>
      </c>
      <c r="C21" s="257">
        <f>Municipality!B21</f>
        <v>1357</v>
      </c>
      <c r="D21" s="257">
        <f>Municipality!C21</f>
        <v>8727</v>
      </c>
      <c r="E21" s="257">
        <f>Municipality!D21</f>
        <v>38</v>
      </c>
      <c r="F21" s="257">
        <f>Municipality!E21</f>
        <v>244</v>
      </c>
      <c r="G21" s="257">
        <f>Municipality!F21</f>
        <v>7</v>
      </c>
      <c r="H21" s="257">
        <f>Municipality!G21</f>
        <v>45</v>
      </c>
    </row>
    <row r="22" ht="14.25" customHeight="1">
      <c r="A22" s="256" t="s">
        <v>247</v>
      </c>
      <c r="B22" s="254" t="s">
        <v>292</v>
      </c>
      <c r="C22" s="257">
        <f>Municipality!B22</f>
        <v>47</v>
      </c>
      <c r="D22" s="257">
        <f>Municipality!C22</f>
        <v>5683</v>
      </c>
      <c r="E22" s="257">
        <f>Municipality!D22</f>
        <v>0</v>
      </c>
      <c r="F22" s="257">
        <f>Municipality!E22</f>
        <v>0</v>
      </c>
      <c r="G22" s="257">
        <f>Municipality!F22</f>
        <v>0</v>
      </c>
      <c r="H22" s="257">
        <f>Municipality!G22</f>
        <v>0</v>
      </c>
    </row>
    <row r="23" ht="14.25" customHeight="1">
      <c r="A23" s="256" t="s">
        <v>248</v>
      </c>
      <c r="B23" s="254" t="s">
        <v>293</v>
      </c>
      <c r="C23" s="257">
        <f>Municipality!B23</f>
        <v>1646</v>
      </c>
      <c r="D23" s="257">
        <f>Municipality!C23</f>
        <v>6647</v>
      </c>
      <c r="E23" s="257">
        <f>Municipality!D23</f>
        <v>65</v>
      </c>
      <c r="F23" s="257">
        <f>Municipality!E23</f>
        <v>262</v>
      </c>
      <c r="G23" s="257">
        <f>Municipality!F23</f>
        <v>9</v>
      </c>
      <c r="H23" s="257">
        <f>Municipality!G23</f>
        <v>36</v>
      </c>
    </row>
    <row r="24" ht="14.25" customHeight="1">
      <c r="A24" s="256" t="s">
        <v>249</v>
      </c>
      <c r="B24" s="254" t="s">
        <v>294</v>
      </c>
      <c r="C24" s="257">
        <f>Municipality!B24</f>
        <v>2024</v>
      </c>
      <c r="D24" s="257">
        <f>Municipality!C24</f>
        <v>7723</v>
      </c>
      <c r="E24" s="257">
        <f>Municipality!D24</f>
        <v>123</v>
      </c>
      <c r="F24" s="257">
        <f>Municipality!E24</f>
        <v>469</v>
      </c>
      <c r="G24" s="257">
        <f>Municipality!F24</f>
        <v>75</v>
      </c>
      <c r="H24" s="257">
        <f>Municipality!G24</f>
        <v>286</v>
      </c>
    </row>
    <row r="25" ht="15.75" customHeight="1">
      <c r="A25" s="256" t="s">
        <v>250</v>
      </c>
      <c r="B25" s="254" t="s">
        <v>295</v>
      </c>
      <c r="C25" s="257">
        <f>Municipality!B25</f>
        <v>4260</v>
      </c>
      <c r="D25" s="257">
        <f>Municipality!C25</f>
        <v>13124</v>
      </c>
      <c r="E25" s="257">
        <f>Municipality!D25</f>
        <v>319</v>
      </c>
      <c r="F25" s="257">
        <f>Municipality!E25</f>
        <v>983</v>
      </c>
      <c r="G25" s="257">
        <f>Municipality!F25</f>
        <v>122</v>
      </c>
      <c r="H25" s="257">
        <f>Municipality!G25</f>
        <v>376</v>
      </c>
    </row>
    <row r="26" ht="14.25" customHeight="1">
      <c r="A26" s="256" t="s">
        <v>251</v>
      </c>
      <c r="B26" s="254" t="s">
        <v>296</v>
      </c>
      <c r="C26" s="257">
        <f>Municipality!B26</f>
        <v>1241</v>
      </c>
      <c r="D26" s="257">
        <f>Municipality!C26</f>
        <v>10049</v>
      </c>
      <c r="E26" s="257">
        <f>Municipality!D26</f>
        <v>80</v>
      </c>
      <c r="F26" s="257">
        <f>Municipality!E26</f>
        <v>648</v>
      </c>
      <c r="G26" s="257">
        <f>Municipality!F26</f>
        <v>60</v>
      </c>
      <c r="H26" s="257">
        <f>Municipality!G26</f>
        <v>486</v>
      </c>
    </row>
    <row r="27" ht="14.25" customHeight="1">
      <c r="A27" s="256" t="s">
        <v>252</v>
      </c>
      <c r="B27" s="254" t="s">
        <v>297</v>
      </c>
      <c r="C27" s="257">
        <f>Municipality!B27</f>
        <v>10023</v>
      </c>
      <c r="D27" s="257">
        <f>Municipality!C27</f>
        <v>13968</v>
      </c>
      <c r="E27" s="257">
        <f>Municipality!D27</f>
        <v>625</v>
      </c>
      <c r="F27" s="257">
        <f>Municipality!E27</f>
        <v>871</v>
      </c>
      <c r="G27" s="257">
        <f>Municipality!F27</f>
        <v>114</v>
      </c>
      <c r="H27" s="257">
        <f>Municipality!G27</f>
        <v>159</v>
      </c>
    </row>
    <row r="28" ht="14.25" customHeight="1">
      <c r="A28" s="256" t="s">
        <v>253</v>
      </c>
      <c r="B28" s="254" t="s">
        <v>298</v>
      </c>
      <c r="C28" s="257">
        <f>Municipality!B28</f>
        <v>1078</v>
      </c>
      <c r="D28" s="257">
        <f>Municipality!C28</f>
        <v>6189</v>
      </c>
      <c r="E28" s="257">
        <f>Municipality!D28</f>
        <v>18</v>
      </c>
      <c r="F28" s="257">
        <f>Municipality!E28</f>
        <v>103</v>
      </c>
      <c r="G28" s="257">
        <f>Municipality!F28</f>
        <v>5</v>
      </c>
      <c r="H28" s="257">
        <f>Municipality!G28</f>
        <v>29</v>
      </c>
    </row>
    <row r="29" ht="14.25" customHeight="1">
      <c r="A29" s="256" t="s">
        <v>254</v>
      </c>
      <c r="B29" s="254" t="s">
        <v>299</v>
      </c>
      <c r="C29" s="257">
        <f>Municipality!B29</f>
        <v>27702</v>
      </c>
      <c r="D29" s="257">
        <f>Municipality!C29</f>
        <v>15438</v>
      </c>
      <c r="E29" s="257">
        <f>Municipality!D29</f>
        <v>2004</v>
      </c>
      <c r="F29" s="257">
        <f>Municipality!E29</f>
        <v>1117</v>
      </c>
      <c r="G29" s="257">
        <f>Municipality!F29</f>
        <v>494</v>
      </c>
      <c r="H29" s="257">
        <f>Municipality!G29</f>
        <v>275</v>
      </c>
    </row>
    <row r="30" ht="14.25" customHeight="1">
      <c r="A30" s="256" t="s">
        <v>255</v>
      </c>
      <c r="B30" s="254" t="s">
        <v>300</v>
      </c>
      <c r="C30" s="257">
        <f>Municipality!B30</f>
        <v>302</v>
      </c>
      <c r="D30" s="257">
        <f>Municipality!C30</f>
        <v>3960</v>
      </c>
      <c r="E30" s="257">
        <f>Municipality!D30</f>
        <v>17</v>
      </c>
      <c r="F30" s="257">
        <f>Municipality!E30</f>
        <v>223</v>
      </c>
      <c r="G30" s="257">
        <f>Municipality!F30</f>
        <v>0</v>
      </c>
      <c r="H30" s="257">
        <f>Municipality!G30</f>
        <v>0</v>
      </c>
    </row>
    <row r="31" ht="14.25" customHeight="1">
      <c r="A31" s="256" t="s">
        <v>256</v>
      </c>
      <c r="B31" s="254" t="s">
        <v>301</v>
      </c>
      <c r="C31" s="257">
        <f>Municipality!B31</f>
        <v>775</v>
      </c>
      <c r="D31" s="257">
        <f>Municipality!C31</f>
        <v>7309</v>
      </c>
      <c r="E31" s="257">
        <f>Municipality!D31</f>
        <v>34</v>
      </c>
      <c r="F31" s="257">
        <f>Municipality!E31</f>
        <v>321</v>
      </c>
      <c r="G31" s="257" t="str">
        <f>Municipality!F31</f>
        <v>&lt;5</v>
      </c>
      <c r="H31" s="257" t="str">
        <f>Municipality!G31</f>
        <v>--</v>
      </c>
    </row>
    <row r="32" ht="14.25" customHeight="1">
      <c r="A32" s="256" t="s">
        <v>257</v>
      </c>
      <c r="B32" s="254" t="s">
        <v>302</v>
      </c>
      <c r="C32" s="257">
        <f>Municipality!B32</f>
        <v>2753</v>
      </c>
      <c r="D32" s="257">
        <f>Municipality!C32</f>
        <v>12728</v>
      </c>
      <c r="E32" s="257">
        <f>Municipality!D32</f>
        <v>198</v>
      </c>
      <c r="F32" s="257">
        <f>Municipality!E32</f>
        <v>915</v>
      </c>
      <c r="G32" s="257">
        <f>Municipality!F32</f>
        <v>141</v>
      </c>
      <c r="H32" s="257">
        <f>Municipality!G32</f>
        <v>652</v>
      </c>
    </row>
    <row r="33" ht="14.25" customHeight="1">
      <c r="A33" s="256" t="s">
        <v>258</v>
      </c>
      <c r="B33" s="254" t="s">
        <v>303</v>
      </c>
      <c r="C33" s="257">
        <f>Municipality!B33</f>
        <v>1327</v>
      </c>
      <c r="D33" s="257">
        <f>Municipality!C33</f>
        <v>4318</v>
      </c>
      <c r="E33" s="257">
        <f>Municipality!D33</f>
        <v>54</v>
      </c>
      <c r="F33" s="257">
        <f>Municipality!E33</f>
        <v>176</v>
      </c>
      <c r="G33" s="257">
        <f>Municipality!F33</f>
        <v>34</v>
      </c>
      <c r="H33" s="257">
        <f>Municipality!G33</f>
        <v>111</v>
      </c>
    </row>
    <row r="34" ht="14.25" customHeight="1">
      <c r="A34" s="256" t="s">
        <v>259</v>
      </c>
      <c r="B34" s="254" t="s">
        <v>304</v>
      </c>
      <c r="C34" s="257">
        <f>Municipality!B34</f>
        <v>1175</v>
      </c>
      <c r="D34" s="257">
        <f>Municipality!C34</f>
        <v>7429</v>
      </c>
      <c r="E34" s="257">
        <f>Municipality!D34</f>
        <v>14</v>
      </c>
      <c r="F34" s="257">
        <f>Municipality!E34</f>
        <v>89</v>
      </c>
      <c r="G34" s="257">
        <f>Municipality!F34</f>
        <v>14</v>
      </c>
      <c r="H34" s="257">
        <f>Municipality!G34</f>
        <v>89</v>
      </c>
    </row>
    <row r="35" ht="14.25" customHeight="1">
      <c r="A35" s="256" t="s">
        <v>260</v>
      </c>
      <c r="B35" s="254" t="s">
        <v>305</v>
      </c>
      <c r="C35" s="257">
        <f>Municipality!B35</f>
        <v>1071</v>
      </c>
      <c r="D35" s="257">
        <f>Municipality!C35</f>
        <v>10212</v>
      </c>
      <c r="E35" s="257">
        <f>Municipality!D35</f>
        <v>72</v>
      </c>
      <c r="F35" s="257">
        <f>Municipality!E35</f>
        <v>686</v>
      </c>
      <c r="G35" s="257">
        <f>Municipality!F35</f>
        <v>50</v>
      </c>
      <c r="H35" s="257">
        <f>Municipality!G35</f>
        <v>477</v>
      </c>
    </row>
    <row r="36" ht="14.25" customHeight="1">
      <c r="A36" s="256" t="s">
        <v>261</v>
      </c>
      <c r="B36" s="254" t="s">
        <v>306</v>
      </c>
      <c r="C36" s="257">
        <f>Municipality!B36</f>
        <v>7436</v>
      </c>
      <c r="D36" s="257">
        <f>Municipality!C36</f>
        <v>9171</v>
      </c>
      <c r="E36" s="257">
        <f>Municipality!D36</f>
        <v>470</v>
      </c>
      <c r="F36" s="257">
        <f>Municipality!E36</f>
        <v>580</v>
      </c>
      <c r="G36" s="257">
        <f>Municipality!F36</f>
        <v>169</v>
      </c>
      <c r="H36" s="257">
        <f>Municipality!G36</f>
        <v>208</v>
      </c>
    </row>
    <row r="37" ht="14.25" customHeight="1">
      <c r="A37" s="256" t="s">
        <v>262</v>
      </c>
      <c r="B37" s="254" t="s">
        <v>307</v>
      </c>
      <c r="C37" s="257">
        <f>Municipality!B37</f>
        <v>478</v>
      </c>
      <c r="D37" s="257">
        <f>Municipality!C37</f>
        <v>7736</v>
      </c>
      <c r="E37" s="257">
        <f>Municipality!D37</f>
        <v>19</v>
      </c>
      <c r="F37" s="257">
        <f>Municipality!E37</f>
        <v>307</v>
      </c>
      <c r="G37" s="257" t="str">
        <f>Municipality!F37</f>
        <v>&lt;5</v>
      </c>
      <c r="H37" s="257" t="str">
        <f>Municipality!G37</f>
        <v>--</v>
      </c>
    </row>
    <row r="38" ht="14.25" customHeight="1">
      <c r="A38" s="256" t="s">
        <v>263</v>
      </c>
      <c r="B38" s="254" t="s">
        <v>308</v>
      </c>
      <c r="C38" s="257">
        <f>Municipality!B38</f>
        <v>2877</v>
      </c>
      <c r="D38" s="257">
        <f>Municipality!C38</f>
        <v>9936</v>
      </c>
      <c r="E38" s="257">
        <f>Municipality!D38</f>
        <v>176</v>
      </c>
      <c r="F38" s="257">
        <f>Municipality!E38</f>
        <v>608</v>
      </c>
      <c r="G38" s="257">
        <f>Municipality!F38</f>
        <v>48</v>
      </c>
      <c r="H38" s="257">
        <f>Municipality!G38</f>
        <v>166</v>
      </c>
    </row>
    <row r="39" ht="14.25" customHeight="1">
      <c r="A39" s="256" t="s">
        <v>264</v>
      </c>
      <c r="B39" s="254" t="s">
        <v>309</v>
      </c>
      <c r="C39" s="257">
        <f>Municipality!B39</f>
        <v>1599</v>
      </c>
      <c r="D39" s="257">
        <f>Municipality!C39</f>
        <v>7068</v>
      </c>
      <c r="E39" s="257">
        <f>Municipality!D39</f>
        <v>94</v>
      </c>
      <c r="F39" s="257">
        <f>Municipality!E39</f>
        <v>415</v>
      </c>
      <c r="G39" s="257">
        <f>Municipality!F39</f>
        <v>35</v>
      </c>
      <c r="H39" s="257">
        <f>Municipality!G39</f>
        <v>155</v>
      </c>
    </row>
    <row r="40" ht="14.25" customHeight="1">
      <c r="A40" s="256" t="s">
        <v>265</v>
      </c>
      <c r="B40" s="254" t="s">
        <v>310</v>
      </c>
      <c r="C40" s="257">
        <f>Municipality!B40</f>
        <v>4620</v>
      </c>
      <c r="D40" s="257">
        <f>Municipality!C40</f>
        <v>11122</v>
      </c>
      <c r="E40" s="257">
        <f>Municipality!D40</f>
        <v>372</v>
      </c>
      <c r="F40" s="257">
        <f>Municipality!E40</f>
        <v>896</v>
      </c>
      <c r="G40" s="257">
        <f>Municipality!F40</f>
        <v>199</v>
      </c>
      <c r="H40" s="257">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8" t="s">
        <v>356</v>
      </c>
      <c r="B1" s="259" t="s">
        <v>357</v>
      </c>
      <c r="C1" s="183" t="s">
        <v>221</v>
      </c>
    </row>
    <row r="2" ht="14.25" customHeight="1">
      <c r="A2" s="260" t="s">
        <v>358</v>
      </c>
      <c r="B2" s="261">
        <v>52.0</v>
      </c>
      <c r="C2" s="262">
        <v>7750.0</v>
      </c>
    </row>
    <row r="3" ht="14.25" customHeight="1">
      <c r="A3" s="263" t="s">
        <v>359</v>
      </c>
      <c r="B3" s="264">
        <v>194.0</v>
      </c>
      <c r="C3" s="265">
        <v>9681.0</v>
      </c>
    </row>
    <row r="4" ht="14.25" customHeight="1">
      <c r="A4" s="263" t="s">
        <v>360</v>
      </c>
      <c r="B4" s="264">
        <v>1132.0</v>
      </c>
      <c r="C4" s="265">
        <v>6991.0</v>
      </c>
    </row>
    <row r="5" ht="14.25" customHeight="1">
      <c r="A5" s="263" t="s">
        <v>361</v>
      </c>
      <c r="B5" s="264">
        <v>45.0</v>
      </c>
      <c r="C5" s="265">
        <v>5441.0</v>
      </c>
    </row>
    <row r="6" ht="14.25" customHeight="1">
      <c r="A6" s="263" t="s">
        <v>362</v>
      </c>
      <c r="B6" s="264">
        <v>167.0</v>
      </c>
      <c r="C6" s="265">
        <v>6511.0</v>
      </c>
    </row>
    <row r="7" ht="14.25" customHeight="1">
      <c r="A7" s="263" t="s">
        <v>363</v>
      </c>
      <c r="B7" s="264">
        <v>2106.0</v>
      </c>
      <c r="C7" s="265">
        <v>9462.0</v>
      </c>
    </row>
    <row r="8" ht="14.25" customHeight="1">
      <c r="A8" s="263" t="s">
        <v>364</v>
      </c>
      <c r="B8" s="264">
        <v>82.0</v>
      </c>
      <c r="C8" s="265">
        <v>6788.0</v>
      </c>
    </row>
    <row r="9" ht="14.25" customHeight="1">
      <c r="A9" s="263" t="s">
        <v>365</v>
      </c>
      <c r="B9" s="264">
        <v>451.0</v>
      </c>
      <c r="C9" s="265">
        <v>5797.0</v>
      </c>
    </row>
    <row r="10" ht="14.25" customHeight="1">
      <c r="A10" s="263" t="s">
        <v>366</v>
      </c>
      <c r="B10" s="264">
        <v>656.0</v>
      </c>
      <c r="C10" s="265">
        <v>8549.0</v>
      </c>
    </row>
    <row r="11" ht="14.25" customHeight="1">
      <c r="A11" s="263" t="s">
        <v>367</v>
      </c>
      <c r="B11" s="264">
        <v>23.0</v>
      </c>
      <c r="C11" s="265">
        <v>11058.0</v>
      </c>
    </row>
    <row r="12" ht="14.25" customHeight="1">
      <c r="A12" s="263" t="s">
        <v>368</v>
      </c>
      <c r="B12" s="264">
        <v>3239.0</v>
      </c>
      <c r="C12" s="265">
        <v>9867.0</v>
      </c>
    </row>
    <row r="13" ht="14.25" customHeight="1">
      <c r="A13" s="263" t="s">
        <v>369</v>
      </c>
      <c r="B13" s="264">
        <v>482.0</v>
      </c>
      <c r="C13" s="265">
        <v>7989.0</v>
      </c>
    </row>
    <row r="14" ht="14.25" customHeight="1">
      <c r="A14" s="263" t="s">
        <v>370</v>
      </c>
      <c r="B14" s="264">
        <v>1566.0</v>
      </c>
      <c r="C14" s="265">
        <v>8609.0</v>
      </c>
    </row>
    <row r="15" ht="14.25" customHeight="1">
      <c r="A15" s="263" t="s">
        <v>371</v>
      </c>
      <c r="B15" s="264">
        <v>432.0</v>
      </c>
      <c r="C15" s="265">
        <v>6564.0</v>
      </c>
    </row>
    <row r="16" ht="14.25" customHeight="1">
      <c r="A16" s="263" t="s">
        <v>372</v>
      </c>
      <c r="B16" s="264">
        <v>421.0</v>
      </c>
      <c r="C16" s="265">
        <v>7655.0</v>
      </c>
    </row>
    <row r="17" ht="14.25" customHeight="1">
      <c r="A17" s="263" t="s">
        <v>373</v>
      </c>
      <c r="B17" s="264">
        <v>76.0</v>
      </c>
      <c r="C17" s="265">
        <v>15170.0</v>
      </c>
    </row>
    <row r="18" ht="14.25" customHeight="1">
      <c r="A18" s="263" t="s">
        <v>374</v>
      </c>
      <c r="B18" s="264">
        <v>191.0</v>
      </c>
      <c r="C18" s="265">
        <v>9272.0</v>
      </c>
    </row>
    <row r="19" ht="14.25" customHeight="1">
      <c r="A19" s="263" t="s">
        <v>375</v>
      </c>
      <c r="B19" s="264">
        <v>975.0</v>
      </c>
      <c r="C19" s="265">
        <v>12400.0</v>
      </c>
    </row>
    <row r="20" ht="14.25" customHeight="1">
      <c r="A20" s="263" t="s">
        <v>376</v>
      </c>
      <c r="B20" s="264">
        <v>576.0</v>
      </c>
      <c r="C20" s="265">
        <v>9705.0</v>
      </c>
    </row>
    <row r="21" ht="14.25" customHeight="1">
      <c r="A21" s="263" t="s">
        <v>377</v>
      </c>
      <c r="B21" s="264">
        <v>433.0</v>
      </c>
      <c r="C21" s="265">
        <v>12368.0</v>
      </c>
    </row>
    <row r="22" ht="14.25" customHeight="1">
      <c r="A22" s="263" t="s">
        <v>378</v>
      </c>
      <c r="B22" s="264">
        <v>301.0</v>
      </c>
      <c r="C22" s="265">
        <v>6968.0</v>
      </c>
    </row>
    <row r="23" ht="14.25" customHeight="1">
      <c r="A23" s="263" t="s">
        <v>379</v>
      </c>
      <c r="B23" s="264">
        <v>30.0</v>
      </c>
      <c r="C23" s="265">
        <v>2622.0</v>
      </c>
    </row>
    <row r="24" ht="14.25" customHeight="1">
      <c r="A24" s="263" t="s">
        <v>380</v>
      </c>
      <c r="B24" s="264">
        <v>300.0</v>
      </c>
      <c r="C24" s="265">
        <v>5459.0</v>
      </c>
    </row>
    <row r="25" ht="14.25" customHeight="1">
      <c r="A25" s="263" t="s">
        <v>381</v>
      </c>
      <c r="B25" s="266">
        <v>6.0</v>
      </c>
      <c r="C25" s="265">
        <v>3209.0</v>
      </c>
    </row>
    <row r="26" ht="14.25" customHeight="1">
      <c r="A26" s="263" t="s">
        <v>382</v>
      </c>
      <c r="B26" s="264">
        <v>150.0</v>
      </c>
      <c r="C26" s="265">
        <v>4280.0</v>
      </c>
    </row>
    <row r="27" ht="14.25" customHeight="1">
      <c r="A27" s="263" t="s">
        <v>383</v>
      </c>
      <c r="B27" s="264">
        <v>450.0</v>
      </c>
      <c r="C27" s="265">
        <v>12788.0</v>
      </c>
    </row>
    <row r="28" ht="14.25" customHeight="1">
      <c r="A28" s="263" t="s">
        <v>384</v>
      </c>
      <c r="B28" s="264">
        <v>171.0</v>
      </c>
      <c r="C28" s="265">
        <v>8293.0</v>
      </c>
    </row>
    <row r="29" ht="14.25" customHeight="1">
      <c r="A29" s="263" t="s">
        <v>385</v>
      </c>
      <c r="B29" s="264">
        <v>1589.0</v>
      </c>
      <c r="C29" s="265">
        <v>6846.0</v>
      </c>
    </row>
    <row r="30" ht="14.25" customHeight="1">
      <c r="A30" s="263" t="s">
        <v>386</v>
      </c>
      <c r="B30" s="264">
        <v>75.0</v>
      </c>
      <c r="C30" s="265">
        <v>4596.0</v>
      </c>
    </row>
    <row r="31" ht="14.25" customHeight="1">
      <c r="A31" s="263" t="s">
        <v>387</v>
      </c>
      <c r="B31" s="264">
        <v>982.0</v>
      </c>
      <c r="C31" s="265">
        <v>6139.0</v>
      </c>
    </row>
    <row r="32" ht="14.25" customHeight="1">
      <c r="A32" s="263" t="s">
        <v>388</v>
      </c>
      <c r="B32" s="264">
        <v>1907.0</v>
      </c>
      <c r="C32" s="265">
        <v>8656.0</v>
      </c>
    </row>
    <row r="33" ht="14.25" customHeight="1">
      <c r="A33" s="263" t="s">
        <v>389</v>
      </c>
      <c r="B33" s="264">
        <v>707.0</v>
      </c>
      <c r="C33" s="265">
        <v>8096.0</v>
      </c>
    </row>
    <row r="34" ht="14.25" customHeight="1">
      <c r="A34" s="263" t="s">
        <v>390</v>
      </c>
      <c r="B34" s="266">
        <v>68.0</v>
      </c>
      <c r="C34" s="265">
        <v>9341.0</v>
      </c>
    </row>
    <row r="35" ht="14.25" customHeight="1">
      <c r="A35" s="263" t="s">
        <v>391</v>
      </c>
      <c r="B35" s="264">
        <v>824.0</v>
      </c>
      <c r="C35" s="265">
        <v>11402.0</v>
      </c>
    </row>
    <row r="36" ht="14.25" customHeight="1">
      <c r="A36" s="263" t="s">
        <v>392</v>
      </c>
      <c r="B36" s="264">
        <v>6900.0</v>
      </c>
      <c r="C36" s="265">
        <v>14641.0</v>
      </c>
    </row>
    <row r="37" ht="14.25" customHeight="1">
      <c r="A37" s="263" t="s">
        <v>393</v>
      </c>
      <c r="B37" s="264">
        <v>3097.0</v>
      </c>
      <c r="C37" s="265">
        <v>12366.0</v>
      </c>
    </row>
    <row r="38" ht="14.25" customHeight="1">
      <c r="A38" s="263" t="s">
        <v>394</v>
      </c>
      <c r="B38" s="264">
        <v>4075.0</v>
      </c>
      <c r="C38" s="265">
        <v>21064.0</v>
      </c>
    </row>
    <row r="39" ht="14.25" customHeight="1">
      <c r="A39" s="263" t="s">
        <v>395</v>
      </c>
      <c r="B39" s="264">
        <v>3543.0</v>
      </c>
      <c r="C39" s="265">
        <v>10233.0</v>
      </c>
    </row>
    <row r="40" ht="14.25" customHeight="1">
      <c r="A40" s="263" t="s">
        <v>396</v>
      </c>
      <c r="B40" s="264">
        <v>1870.0</v>
      </c>
      <c r="C40" s="265">
        <v>10718.0</v>
      </c>
    </row>
    <row r="41" ht="14.25" customHeight="1">
      <c r="A41" s="263" t="s">
        <v>397</v>
      </c>
      <c r="B41" s="264">
        <v>1072.0</v>
      </c>
      <c r="C41" s="265">
        <v>6254.0</v>
      </c>
    </row>
    <row r="42" ht="14.25" customHeight="1">
      <c r="A42" s="263" t="s">
        <v>398</v>
      </c>
      <c r="B42" s="264">
        <v>6.0</v>
      </c>
      <c r="C42" s="265">
        <v>2158.0</v>
      </c>
    </row>
    <row r="43" ht="14.25" customHeight="1">
      <c r="A43" s="263" t="s">
        <v>399</v>
      </c>
      <c r="B43" s="264">
        <v>12.0</v>
      </c>
      <c r="C43" s="265">
        <v>6316.0</v>
      </c>
    </row>
    <row r="44" ht="14.25" customHeight="1">
      <c r="A44" s="263" t="s">
        <v>400</v>
      </c>
      <c r="B44" s="264">
        <v>444.0</v>
      </c>
      <c r="C44" s="265">
        <v>7450.0</v>
      </c>
    </row>
    <row r="45" ht="14.25" customHeight="1">
      <c r="A45" s="263" t="s">
        <v>401</v>
      </c>
      <c r="B45" s="264">
        <v>24.0</v>
      </c>
      <c r="C45" s="265">
        <v>4396.0</v>
      </c>
    </row>
    <row r="46" ht="14.25" customHeight="1">
      <c r="A46" s="263" t="s">
        <v>402</v>
      </c>
      <c r="B46" s="264">
        <v>64.0</v>
      </c>
      <c r="C46" s="265">
        <v>21993.0</v>
      </c>
    </row>
    <row r="47" ht="14.25" customHeight="1">
      <c r="A47" s="263" t="s">
        <v>403</v>
      </c>
      <c r="B47" s="264">
        <v>1180.0</v>
      </c>
      <c r="C47" s="265">
        <v>7461.0</v>
      </c>
    </row>
    <row r="48" ht="14.25" customHeight="1">
      <c r="A48" s="263" t="s">
        <v>404</v>
      </c>
      <c r="B48" s="264">
        <v>1401.0</v>
      </c>
      <c r="C48" s="265">
        <v>6826.0</v>
      </c>
    </row>
    <row r="49" ht="14.25" customHeight="1">
      <c r="A49" s="263" t="s">
        <v>405</v>
      </c>
      <c r="B49" s="264">
        <v>439.0</v>
      </c>
      <c r="C49" s="265">
        <v>5602.0</v>
      </c>
    </row>
    <row r="50" ht="14.25" customHeight="1">
      <c r="A50" s="263" t="s">
        <v>406</v>
      </c>
      <c r="B50" s="264">
        <v>1277.0</v>
      </c>
      <c r="C50" s="265">
        <v>9153.0</v>
      </c>
    </row>
    <row r="51" ht="14.25" customHeight="1">
      <c r="A51" s="263" t="s">
        <v>407</v>
      </c>
      <c r="B51" s="264">
        <v>1075.0</v>
      </c>
      <c r="C51" s="265">
        <v>10273.0</v>
      </c>
    </row>
    <row r="52" ht="14.25" customHeight="1">
      <c r="A52" s="263" t="s">
        <v>408</v>
      </c>
      <c r="B52" s="264">
        <v>2837.0</v>
      </c>
      <c r="C52" s="265">
        <v>9780.0</v>
      </c>
    </row>
    <row r="53" ht="14.25" customHeight="1">
      <c r="A53" s="263" t="s">
        <v>409</v>
      </c>
      <c r="B53" s="264">
        <v>1819.0</v>
      </c>
      <c r="C53" s="265">
        <v>9490.0</v>
      </c>
    </row>
    <row r="54" ht="14.25" customHeight="1">
      <c r="A54" s="263" t="s">
        <v>410</v>
      </c>
      <c r="B54" s="264">
        <v>2710.0</v>
      </c>
      <c r="C54" s="265">
        <v>9915.0</v>
      </c>
    </row>
    <row r="55" ht="14.25" customHeight="1">
      <c r="A55" s="263" t="s">
        <v>411</v>
      </c>
      <c r="B55" s="264">
        <v>1443.0</v>
      </c>
      <c r="C55" s="265">
        <v>6844.0</v>
      </c>
    </row>
    <row r="56" ht="14.25" customHeight="1">
      <c r="A56" s="263" t="s">
        <v>412</v>
      </c>
      <c r="B56" s="264">
        <v>414.0</v>
      </c>
      <c r="C56" s="265">
        <v>7983.0</v>
      </c>
    </row>
    <row r="57" ht="14.25" customHeight="1">
      <c r="A57" s="263" t="s">
        <v>413</v>
      </c>
      <c r="B57" s="264">
        <v>2868.0</v>
      </c>
      <c r="C57" s="265">
        <v>9838.0</v>
      </c>
    </row>
    <row r="58" ht="14.25" customHeight="1">
      <c r="A58" s="263" t="s">
        <v>414</v>
      </c>
      <c r="B58" s="264">
        <v>48.0</v>
      </c>
      <c r="C58" s="265">
        <v>7122.0</v>
      </c>
    </row>
    <row r="59" ht="14.25" customHeight="1">
      <c r="A59" s="263" t="s">
        <v>415</v>
      </c>
      <c r="B59" s="264">
        <v>4610.0</v>
      </c>
      <c r="C59" s="265">
        <v>11098.0</v>
      </c>
    </row>
    <row r="60" ht="14.25" customHeight="1">
      <c r="A60" s="263" t="s">
        <v>416</v>
      </c>
      <c r="B60" s="264">
        <v>1160.0</v>
      </c>
      <c r="C60" s="265">
        <v>9620.0</v>
      </c>
    </row>
    <row r="61" ht="14.25" customHeight="1">
      <c r="A61" s="263" t="s">
        <v>417</v>
      </c>
      <c r="B61" s="264">
        <v>128.0</v>
      </c>
      <c r="C61" s="265">
        <v>7791.0</v>
      </c>
    </row>
    <row r="62" ht="14.25" customHeight="1">
      <c r="A62" s="263" t="s">
        <v>418</v>
      </c>
      <c r="B62" s="264">
        <v>1066.0</v>
      </c>
      <c r="C62" s="265">
        <v>10112.0</v>
      </c>
    </row>
    <row r="63" ht="14.25" customHeight="1">
      <c r="A63" s="263" t="s">
        <v>419</v>
      </c>
      <c r="B63" s="264">
        <v>4408.0</v>
      </c>
      <c r="C63" s="265">
        <v>14442.0</v>
      </c>
    </row>
    <row r="64" ht="14.25" customHeight="1">
      <c r="A64" s="263" t="s">
        <v>420</v>
      </c>
      <c r="B64" s="264">
        <v>3453.0</v>
      </c>
      <c r="C64" s="265">
        <v>13548.0</v>
      </c>
    </row>
    <row r="65" ht="14.25" customHeight="1">
      <c r="A65" s="263" t="s">
        <v>421</v>
      </c>
      <c r="B65" s="264">
        <v>2776.0</v>
      </c>
      <c r="C65" s="265">
        <v>9845.0</v>
      </c>
    </row>
    <row r="66" ht="14.25" customHeight="1">
      <c r="A66" s="263" t="s">
        <v>422</v>
      </c>
      <c r="B66" s="264">
        <v>5453.0</v>
      </c>
      <c r="C66" s="265">
        <v>17715.0</v>
      </c>
    </row>
    <row r="67" ht="14.25" customHeight="1">
      <c r="A67" s="263" t="s">
        <v>423</v>
      </c>
      <c r="B67" s="264">
        <v>6420.0</v>
      </c>
      <c r="C67" s="265">
        <v>17098.0</v>
      </c>
    </row>
    <row r="68" ht="14.25" customHeight="1">
      <c r="A68" s="263" t="s">
        <v>424</v>
      </c>
      <c r="B68" s="264">
        <v>7646.0</v>
      </c>
      <c r="C68" s="265">
        <v>18846.0</v>
      </c>
    </row>
    <row r="69" ht="14.25" customHeight="1">
      <c r="A69" s="263" t="s">
        <v>425</v>
      </c>
      <c r="B69" s="264">
        <v>2594.0</v>
      </c>
      <c r="C69" s="265">
        <v>11715.0</v>
      </c>
    </row>
    <row r="70" ht="14.25" customHeight="1">
      <c r="A70" s="263" t="s">
        <v>426</v>
      </c>
      <c r="B70" s="264">
        <v>1737.0</v>
      </c>
      <c r="C70" s="265">
        <v>10949.0</v>
      </c>
    </row>
    <row r="71" ht="14.25" customHeight="1">
      <c r="A71" s="263" t="s">
        <v>427</v>
      </c>
      <c r="B71" s="264">
        <v>44.0</v>
      </c>
      <c r="C71" s="265">
        <v>3235.0</v>
      </c>
    </row>
    <row r="72" ht="14.25" customHeight="1">
      <c r="A72" s="263" t="s">
        <v>428</v>
      </c>
      <c r="B72" s="264">
        <v>2748.0</v>
      </c>
      <c r="C72" s="265">
        <v>12719.0</v>
      </c>
    </row>
    <row r="73" ht="14.25" customHeight="1">
      <c r="A73" s="263" t="s">
        <v>429</v>
      </c>
      <c r="B73" s="264">
        <v>1510.0</v>
      </c>
      <c r="C73" s="265">
        <v>9071.0</v>
      </c>
    </row>
    <row r="74" ht="14.25" customHeight="1">
      <c r="A74" s="263" t="s">
        <v>430</v>
      </c>
      <c r="B74" s="264">
        <v>712.0</v>
      </c>
      <c r="C74" s="265">
        <v>7846.0</v>
      </c>
    </row>
    <row r="75" ht="14.25" customHeight="1">
      <c r="A75" s="263" t="s">
        <v>431</v>
      </c>
      <c r="B75" s="264">
        <v>1788.0</v>
      </c>
      <c r="C75" s="265">
        <v>12954.0</v>
      </c>
    </row>
    <row r="76" ht="14.25" customHeight="1">
      <c r="A76" s="263" t="s">
        <v>432</v>
      </c>
      <c r="B76" s="264">
        <v>4133.0</v>
      </c>
      <c r="C76" s="265">
        <v>14128.0</v>
      </c>
    </row>
    <row r="77" ht="14.25" customHeight="1">
      <c r="A77" s="263" t="s">
        <v>433</v>
      </c>
      <c r="B77" s="264">
        <v>5853.0</v>
      </c>
      <c r="C77" s="265">
        <v>15734.0</v>
      </c>
    </row>
    <row r="78" ht="14.25" customHeight="1">
      <c r="A78" s="263" t="s">
        <v>434</v>
      </c>
      <c r="B78" s="264">
        <v>1483.0</v>
      </c>
      <c r="C78" s="265">
        <v>11945.0</v>
      </c>
    </row>
    <row r="79" ht="14.25" customHeight="1">
      <c r="A79" s="267" t="s">
        <v>435</v>
      </c>
      <c r="B79" s="264">
        <v>3888.0</v>
      </c>
      <c r="C79" s="265" t="s">
        <v>38</v>
      </c>
    </row>
    <row r="80" ht="14.25" customHeight="1">
      <c r="A80" s="267" t="s">
        <v>266</v>
      </c>
      <c r="B80" s="264">
        <v>123087.0</v>
      </c>
      <c r="C80" s="265">
        <v>11649.0</v>
      </c>
    </row>
    <row r="81" ht="14.25" customHeight="1">
      <c r="A81" s="268" t="s">
        <v>436</v>
      </c>
    </row>
    <row r="82" ht="14.25" customHeight="1">
      <c r="A82" s="191" t="s">
        <v>437</v>
      </c>
    </row>
    <row r="83" ht="14.25" customHeight="1"/>
    <row r="84" ht="14.25" customHeight="1"/>
    <row r="85" ht="14.25" customHeight="1"/>
    <row r="86" ht="14.25" customHeight="1">
      <c r="A86" s="192" t="s">
        <v>0</v>
      </c>
      <c r="B86" s="193">
        <v>44265.0</v>
      </c>
      <c r="C86" s="269"/>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0" t="s">
        <v>438</v>
      </c>
      <c r="B1" s="111"/>
      <c r="C1" s="111"/>
      <c r="D1" s="111"/>
      <c r="E1" s="111"/>
      <c r="F1" s="41"/>
      <c r="G1" s="271"/>
      <c r="H1" s="271"/>
      <c r="I1" s="271"/>
      <c r="J1" s="271"/>
      <c r="K1" s="271"/>
      <c r="L1" s="271"/>
      <c r="M1" s="271"/>
      <c r="N1" s="271"/>
      <c r="O1" s="271"/>
      <c r="P1" s="271"/>
      <c r="Q1" s="271"/>
      <c r="R1" s="271"/>
      <c r="S1" s="271"/>
      <c r="T1" s="271"/>
      <c r="U1" s="271"/>
      <c r="V1" s="271"/>
      <c r="W1" s="271"/>
      <c r="X1" s="271"/>
      <c r="Y1" s="271"/>
      <c r="Z1" s="271"/>
    </row>
    <row r="2">
      <c r="A2" s="272" t="s">
        <v>439</v>
      </c>
      <c r="B2" s="111"/>
      <c r="C2" s="111"/>
      <c r="D2" s="111"/>
      <c r="E2" s="111"/>
      <c r="F2" s="41"/>
    </row>
    <row r="3">
      <c r="A3" s="273" t="s">
        <v>440</v>
      </c>
      <c r="B3" s="111"/>
      <c r="C3" s="111"/>
      <c r="D3" s="111"/>
      <c r="E3" s="111"/>
      <c r="F3" s="41"/>
      <c r="G3" s="274"/>
      <c r="H3" s="274"/>
      <c r="I3" s="274"/>
      <c r="J3" s="274"/>
      <c r="K3" s="274"/>
      <c r="L3" s="274"/>
      <c r="M3" s="274"/>
      <c r="N3" s="274"/>
      <c r="O3" s="274"/>
      <c r="P3" s="274"/>
      <c r="Q3" s="274"/>
      <c r="R3" s="274"/>
      <c r="S3" s="274"/>
      <c r="T3" s="274"/>
      <c r="U3" s="274"/>
      <c r="V3" s="274"/>
      <c r="W3" s="274"/>
      <c r="X3" s="274"/>
      <c r="Y3" s="274"/>
      <c r="Z3" s="275"/>
    </row>
    <row r="4">
      <c r="A4" s="276" t="s">
        <v>441</v>
      </c>
      <c r="B4" s="277" t="s">
        <v>442</v>
      </c>
      <c r="C4" s="278" t="s">
        <v>443</v>
      </c>
      <c r="D4" s="278" t="s">
        <v>444</v>
      </c>
      <c r="E4" s="279" t="s">
        <v>445</v>
      </c>
      <c r="F4" s="279" t="s">
        <v>446</v>
      </c>
      <c r="G4" s="280"/>
      <c r="H4" s="280"/>
      <c r="I4" s="280"/>
      <c r="J4" s="280"/>
      <c r="K4" s="280"/>
      <c r="L4" s="280"/>
      <c r="M4" s="280"/>
      <c r="N4" s="280"/>
      <c r="O4" s="280"/>
      <c r="P4" s="280"/>
      <c r="Q4" s="280"/>
      <c r="R4" s="280"/>
      <c r="S4" s="280"/>
      <c r="T4" s="280"/>
      <c r="U4" s="280"/>
      <c r="V4" s="280"/>
      <c r="W4" s="280"/>
      <c r="X4" s="280"/>
      <c r="Y4" s="280"/>
      <c r="Z4" s="280"/>
    </row>
    <row r="5">
      <c r="A5" s="281" t="s">
        <v>447</v>
      </c>
      <c r="B5" s="282"/>
      <c r="C5" s="282"/>
      <c r="D5" s="282"/>
      <c r="E5" s="282"/>
      <c r="F5" s="283"/>
      <c r="G5" s="280"/>
      <c r="H5" s="280"/>
      <c r="I5" s="280"/>
      <c r="J5" s="280"/>
      <c r="K5" s="280"/>
      <c r="L5" s="280"/>
      <c r="M5" s="280"/>
      <c r="N5" s="280"/>
      <c r="O5" s="280"/>
      <c r="P5" s="280"/>
      <c r="Q5" s="280"/>
      <c r="R5" s="280"/>
      <c r="S5" s="280"/>
      <c r="T5" s="280"/>
      <c r="U5" s="280"/>
      <c r="V5" s="280"/>
      <c r="W5" s="280"/>
      <c r="X5" s="280"/>
      <c r="Y5" s="280"/>
      <c r="Z5" s="280"/>
    </row>
    <row r="6">
      <c r="A6" s="284" t="s">
        <v>448</v>
      </c>
      <c r="B6" s="285" t="s">
        <v>449</v>
      </c>
      <c r="C6" s="286">
        <v>0.0</v>
      </c>
      <c r="D6" s="286">
        <v>0.0</v>
      </c>
      <c r="E6" s="286" t="s">
        <v>450</v>
      </c>
      <c r="F6" s="286" t="s">
        <v>450</v>
      </c>
      <c r="G6" s="280"/>
      <c r="H6" s="280"/>
      <c r="I6" s="280"/>
      <c r="J6" s="280"/>
      <c r="K6" s="280"/>
      <c r="L6" s="280"/>
      <c r="M6" s="280"/>
      <c r="N6" s="280"/>
      <c r="O6" s="280"/>
      <c r="P6" s="280"/>
      <c r="Q6" s="280"/>
      <c r="R6" s="280"/>
      <c r="S6" s="280"/>
      <c r="T6" s="280"/>
      <c r="U6" s="280"/>
      <c r="V6" s="280"/>
      <c r="W6" s="280"/>
      <c r="X6" s="280"/>
      <c r="Y6" s="280"/>
      <c r="Z6" s="280"/>
    </row>
    <row r="7">
      <c r="A7" s="284" t="s">
        <v>451</v>
      </c>
      <c r="B7" s="285" t="s">
        <v>449</v>
      </c>
      <c r="C7" s="286">
        <v>0.0</v>
      </c>
      <c r="D7" s="286" t="s">
        <v>450</v>
      </c>
      <c r="E7" s="286">
        <v>0.0</v>
      </c>
      <c r="F7" s="286" t="s">
        <v>450</v>
      </c>
      <c r="G7" s="280"/>
      <c r="H7" s="280"/>
      <c r="I7" s="280"/>
      <c r="J7" s="280"/>
      <c r="K7" s="280"/>
      <c r="L7" s="280"/>
      <c r="M7" s="280"/>
      <c r="N7" s="280"/>
      <c r="O7" s="280"/>
      <c r="P7" s="280"/>
      <c r="Q7" s="280"/>
      <c r="R7" s="280"/>
      <c r="S7" s="280"/>
      <c r="T7" s="280"/>
      <c r="U7" s="280"/>
      <c r="V7" s="280"/>
      <c r="W7" s="280"/>
      <c r="X7" s="280"/>
      <c r="Y7" s="280"/>
      <c r="Z7" s="280"/>
    </row>
    <row r="8">
      <c r="A8" s="284" t="s">
        <v>452</v>
      </c>
      <c r="B8" s="285" t="s">
        <v>449</v>
      </c>
      <c r="C8" s="286">
        <v>0.0</v>
      </c>
      <c r="D8" s="286" t="s">
        <v>450</v>
      </c>
      <c r="E8" s="286">
        <v>0.0</v>
      </c>
      <c r="F8" s="286" t="s">
        <v>450</v>
      </c>
      <c r="G8" s="280"/>
      <c r="H8" s="280"/>
      <c r="I8" s="280"/>
      <c r="J8" s="280"/>
      <c r="K8" s="280"/>
      <c r="L8" s="280"/>
      <c r="M8" s="280"/>
      <c r="N8" s="280"/>
      <c r="O8" s="280"/>
      <c r="P8" s="280"/>
      <c r="Q8" s="280"/>
      <c r="R8" s="280"/>
      <c r="S8" s="280"/>
      <c r="T8" s="280"/>
      <c r="U8" s="280"/>
      <c r="V8" s="280"/>
      <c r="W8" s="280"/>
      <c r="X8" s="280"/>
      <c r="Y8" s="280"/>
      <c r="Z8" s="280"/>
    </row>
    <row r="9">
      <c r="A9" s="284" t="s">
        <v>453</v>
      </c>
      <c r="B9" s="285" t="s">
        <v>449</v>
      </c>
      <c r="C9" s="286">
        <v>0.0</v>
      </c>
      <c r="D9" s="286" t="s">
        <v>454</v>
      </c>
      <c r="E9" s="286">
        <v>0.0</v>
      </c>
      <c r="F9" s="286" t="s">
        <v>450</v>
      </c>
      <c r="G9" s="280"/>
      <c r="H9" s="280"/>
      <c r="I9" s="280"/>
      <c r="J9" s="280"/>
      <c r="K9" s="280"/>
      <c r="L9" s="280"/>
      <c r="M9" s="280"/>
      <c r="N9" s="280"/>
      <c r="O9" s="280"/>
      <c r="P9" s="280"/>
      <c r="Q9" s="280"/>
      <c r="R9" s="280"/>
      <c r="S9" s="280"/>
      <c r="T9" s="280"/>
      <c r="U9" s="280"/>
      <c r="V9" s="280"/>
      <c r="W9" s="280"/>
      <c r="X9" s="280"/>
      <c r="Y9" s="280"/>
      <c r="Z9" s="280"/>
    </row>
    <row r="10">
      <c r="A10" s="284" t="s">
        <v>455</v>
      </c>
      <c r="B10" s="285" t="s">
        <v>227</v>
      </c>
      <c r="C10" s="286">
        <v>0.0</v>
      </c>
      <c r="D10" s="286" t="s">
        <v>456</v>
      </c>
      <c r="E10" s="286">
        <v>0.0</v>
      </c>
      <c r="F10" s="286" t="s">
        <v>454</v>
      </c>
      <c r="G10" s="280"/>
      <c r="H10" s="280"/>
      <c r="I10" s="280"/>
      <c r="J10" s="280"/>
      <c r="K10" s="280"/>
      <c r="L10" s="280"/>
      <c r="M10" s="280"/>
      <c r="N10" s="280"/>
      <c r="O10" s="280"/>
      <c r="P10" s="280"/>
      <c r="Q10" s="280"/>
      <c r="R10" s="280"/>
      <c r="S10" s="280"/>
      <c r="T10" s="280"/>
      <c r="U10" s="280"/>
      <c r="V10" s="280"/>
      <c r="W10" s="280"/>
      <c r="X10" s="280"/>
      <c r="Y10" s="280"/>
      <c r="Z10" s="280"/>
    </row>
    <row r="11">
      <c r="A11" s="284" t="s">
        <v>457</v>
      </c>
      <c r="B11" s="285" t="s">
        <v>227</v>
      </c>
      <c r="C11" s="286" t="s">
        <v>450</v>
      </c>
      <c r="D11" s="286" t="s">
        <v>458</v>
      </c>
      <c r="E11" s="286">
        <v>0.0</v>
      </c>
      <c r="F11" s="286" t="s">
        <v>454</v>
      </c>
      <c r="G11" s="280"/>
      <c r="H11" s="280"/>
      <c r="I11" s="280"/>
      <c r="J11" s="280"/>
      <c r="K11" s="280"/>
      <c r="L11" s="280"/>
      <c r="M11" s="280"/>
      <c r="N11" s="280"/>
      <c r="O11" s="280"/>
      <c r="P11" s="280"/>
      <c r="Q11" s="280"/>
      <c r="R11" s="280"/>
      <c r="S11" s="280"/>
      <c r="T11" s="280"/>
      <c r="U11" s="280"/>
      <c r="V11" s="280"/>
      <c r="W11" s="280"/>
      <c r="X11" s="280"/>
      <c r="Y11" s="280"/>
      <c r="Z11" s="280"/>
    </row>
    <row r="12">
      <c r="A12" s="284" t="s">
        <v>459</v>
      </c>
      <c r="B12" s="285" t="s">
        <v>227</v>
      </c>
      <c r="C12" s="286">
        <v>0.0</v>
      </c>
      <c r="D12" s="286" t="s">
        <v>460</v>
      </c>
      <c r="E12" s="286">
        <v>0.0</v>
      </c>
      <c r="F12" s="286" t="s">
        <v>461</v>
      </c>
      <c r="G12" s="280"/>
      <c r="H12" s="280"/>
      <c r="I12" s="280"/>
      <c r="J12" s="280"/>
      <c r="K12" s="280"/>
      <c r="L12" s="280"/>
      <c r="M12" s="280"/>
      <c r="N12" s="280"/>
      <c r="O12" s="280"/>
      <c r="P12" s="280"/>
      <c r="Q12" s="280"/>
      <c r="R12" s="280"/>
      <c r="S12" s="280"/>
      <c r="T12" s="280"/>
      <c r="U12" s="280"/>
      <c r="V12" s="280"/>
      <c r="W12" s="280"/>
      <c r="X12" s="280"/>
      <c r="Y12" s="280"/>
      <c r="Z12" s="280"/>
    </row>
    <row r="13">
      <c r="A13" s="284" t="s">
        <v>462</v>
      </c>
      <c r="B13" s="285" t="s">
        <v>227</v>
      </c>
      <c r="C13" s="286" t="s">
        <v>450</v>
      </c>
      <c r="D13" s="286" t="s">
        <v>460</v>
      </c>
      <c r="E13" s="286">
        <v>0.0</v>
      </c>
      <c r="F13" s="286" t="s">
        <v>461</v>
      </c>
      <c r="G13" s="280"/>
      <c r="H13" s="280"/>
      <c r="I13" s="280"/>
      <c r="J13" s="280"/>
      <c r="K13" s="280"/>
      <c r="L13" s="280"/>
      <c r="M13" s="280"/>
      <c r="N13" s="280"/>
      <c r="O13" s="280"/>
      <c r="P13" s="280"/>
      <c r="Q13" s="280"/>
      <c r="R13" s="280"/>
      <c r="S13" s="280"/>
      <c r="T13" s="280"/>
      <c r="U13" s="280"/>
      <c r="V13" s="280"/>
      <c r="W13" s="280"/>
      <c r="X13" s="280"/>
      <c r="Y13" s="280"/>
      <c r="Z13" s="280"/>
    </row>
    <row r="14">
      <c r="A14" s="284" t="s">
        <v>463</v>
      </c>
      <c r="B14" s="285" t="s">
        <v>227</v>
      </c>
      <c r="C14" s="286" t="s">
        <v>450</v>
      </c>
      <c r="D14" s="286" t="s">
        <v>454</v>
      </c>
      <c r="E14" s="286">
        <v>0.0</v>
      </c>
      <c r="F14" s="286" t="s">
        <v>461</v>
      </c>
      <c r="G14" s="280"/>
      <c r="H14" s="280"/>
      <c r="I14" s="280"/>
      <c r="J14" s="280"/>
      <c r="K14" s="280"/>
      <c r="L14" s="280"/>
      <c r="M14" s="280"/>
      <c r="N14" s="280"/>
      <c r="O14" s="280"/>
      <c r="P14" s="280"/>
      <c r="Q14" s="280"/>
      <c r="R14" s="280"/>
      <c r="S14" s="280"/>
      <c r="T14" s="280"/>
      <c r="U14" s="280"/>
      <c r="V14" s="280"/>
      <c r="W14" s="280"/>
      <c r="X14" s="280"/>
      <c r="Y14" s="280"/>
      <c r="Z14" s="280"/>
    </row>
    <row r="15">
      <c r="A15" s="284" t="s">
        <v>464</v>
      </c>
      <c r="B15" s="285" t="s">
        <v>227</v>
      </c>
      <c r="C15" s="286">
        <v>0.0</v>
      </c>
      <c r="D15" s="286" t="s">
        <v>461</v>
      </c>
      <c r="E15" s="286">
        <v>0.0</v>
      </c>
      <c r="F15" s="286" t="s">
        <v>450</v>
      </c>
      <c r="G15" s="280"/>
      <c r="H15" s="280"/>
      <c r="I15" s="280"/>
      <c r="J15" s="280"/>
      <c r="K15" s="280"/>
      <c r="L15" s="280"/>
      <c r="M15" s="280"/>
      <c r="N15" s="280"/>
      <c r="O15" s="280"/>
      <c r="P15" s="280"/>
      <c r="Q15" s="280"/>
      <c r="R15" s="280"/>
      <c r="S15" s="280"/>
      <c r="T15" s="280"/>
      <c r="U15" s="280"/>
      <c r="V15" s="280"/>
      <c r="W15" s="280"/>
      <c r="X15" s="280"/>
      <c r="Y15" s="280"/>
      <c r="Z15" s="280"/>
    </row>
    <row r="16">
      <c r="A16" s="284" t="s">
        <v>465</v>
      </c>
      <c r="B16" s="285" t="s">
        <v>466</v>
      </c>
      <c r="C16" s="286">
        <v>0.0</v>
      </c>
      <c r="D16" s="286" t="s">
        <v>450</v>
      </c>
      <c r="E16" s="286">
        <v>0.0</v>
      </c>
      <c r="F16" s="286" t="s">
        <v>450</v>
      </c>
      <c r="G16" s="280"/>
      <c r="H16" s="280"/>
      <c r="I16" s="280"/>
      <c r="J16" s="280"/>
      <c r="K16" s="280"/>
      <c r="L16" s="280"/>
      <c r="M16" s="280"/>
      <c r="N16" s="280"/>
      <c r="O16" s="280"/>
      <c r="P16" s="280"/>
      <c r="Q16" s="280"/>
      <c r="R16" s="280"/>
      <c r="S16" s="280"/>
      <c r="T16" s="280"/>
      <c r="U16" s="280"/>
      <c r="V16" s="280"/>
      <c r="W16" s="280"/>
      <c r="X16" s="280"/>
      <c r="Y16" s="280"/>
      <c r="Z16" s="280"/>
    </row>
    <row r="17">
      <c r="A17" s="284" t="s">
        <v>467</v>
      </c>
      <c r="B17" s="285" t="s">
        <v>466</v>
      </c>
      <c r="C17" s="286">
        <v>0.0</v>
      </c>
      <c r="D17" s="286" t="s">
        <v>450</v>
      </c>
      <c r="E17" s="286">
        <v>0.0</v>
      </c>
      <c r="F17" s="286">
        <v>0.0</v>
      </c>
      <c r="G17" s="280"/>
      <c r="H17" s="280"/>
      <c r="I17" s="280"/>
      <c r="J17" s="280"/>
      <c r="K17" s="280"/>
      <c r="L17" s="280"/>
      <c r="M17" s="280"/>
      <c r="N17" s="280"/>
      <c r="O17" s="280"/>
      <c r="P17" s="280"/>
      <c r="Q17" s="280"/>
      <c r="R17" s="280"/>
      <c r="S17" s="280"/>
      <c r="T17" s="280"/>
      <c r="U17" s="280"/>
      <c r="V17" s="280"/>
      <c r="W17" s="280"/>
      <c r="X17" s="280"/>
      <c r="Y17" s="280"/>
      <c r="Z17" s="280"/>
    </row>
    <row r="18">
      <c r="A18" s="284" t="s">
        <v>468</v>
      </c>
      <c r="B18" s="285" t="s">
        <v>469</v>
      </c>
      <c r="C18" s="286">
        <v>0.0</v>
      </c>
      <c r="D18" s="286" t="s">
        <v>450</v>
      </c>
      <c r="E18" s="286">
        <v>0.0</v>
      </c>
      <c r="F18" s="286" t="s">
        <v>450</v>
      </c>
      <c r="G18" s="280"/>
      <c r="H18" s="280"/>
      <c r="I18" s="280"/>
      <c r="J18" s="280"/>
      <c r="K18" s="280"/>
      <c r="L18" s="280"/>
      <c r="M18" s="280"/>
      <c r="N18" s="280"/>
      <c r="O18" s="280"/>
      <c r="P18" s="280"/>
      <c r="Q18" s="280"/>
      <c r="R18" s="280"/>
      <c r="S18" s="280"/>
      <c r="T18" s="280"/>
      <c r="U18" s="280"/>
      <c r="V18" s="280"/>
      <c r="W18" s="280"/>
      <c r="X18" s="280"/>
      <c r="Y18" s="280"/>
      <c r="Z18" s="280"/>
    </row>
    <row r="19">
      <c r="A19" s="284" t="s">
        <v>470</v>
      </c>
      <c r="B19" s="285" t="s">
        <v>471</v>
      </c>
      <c r="C19" s="286" t="s">
        <v>450</v>
      </c>
      <c r="D19" s="286" t="s">
        <v>461</v>
      </c>
      <c r="E19" s="286">
        <v>0.0</v>
      </c>
      <c r="F19" s="286" t="s">
        <v>450</v>
      </c>
      <c r="G19" s="280"/>
      <c r="H19" s="280"/>
      <c r="I19" s="280"/>
      <c r="J19" s="280"/>
      <c r="K19" s="280"/>
      <c r="L19" s="280"/>
      <c r="M19" s="280"/>
      <c r="N19" s="280"/>
      <c r="O19" s="280"/>
      <c r="P19" s="280"/>
      <c r="Q19" s="280"/>
      <c r="R19" s="280"/>
      <c r="S19" s="280"/>
      <c r="T19" s="280"/>
      <c r="U19" s="280"/>
      <c r="V19" s="280"/>
      <c r="W19" s="280"/>
      <c r="X19" s="280"/>
      <c r="Y19" s="280"/>
      <c r="Z19" s="280"/>
    </row>
    <row r="20">
      <c r="A20" s="284" t="s">
        <v>472</v>
      </c>
      <c r="B20" s="285" t="s">
        <v>471</v>
      </c>
      <c r="C20" s="286" t="s">
        <v>450</v>
      </c>
      <c r="D20" s="286" t="s">
        <v>461</v>
      </c>
      <c r="E20" s="286">
        <v>0.0</v>
      </c>
      <c r="F20" s="286" t="s">
        <v>450</v>
      </c>
      <c r="G20" s="280"/>
      <c r="H20" s="280"/>
      <c r="I20" s="280"/>
      <c r="J20" s="280"/>
      <c r="K20" s="280"/>
      <c r="L20" s="280"/>
      <c r="M20" s="280"/>
      <c r="N20" s="280"/>
      <c r="O20" s="280"/>
      <c r="P20" s="280"/>
      <c r="Q20" s="280"/>
      <c r="R20" s="280"/>
      <c r="S20" s="280"/>
      <c r="T20" s="280"/>
      <c r="U20" s="280"/>
      <c r="V20" s="280"/>
      <c r="W20" s="280"/>
      <c r="X20" s="280"/>
      <c r="Y20" s="280"/>
      <c r="Z20" s="280"/>
    </row>
    <row r="21">
      <c r="A21" s="284" t="s">
        <v>473</v>
      </c>
      <c r="B21" s="285" t="s">
        <v>471</v>
      </c>
      <c r="C21" s="286" t="s">
        <v>450</v>
      </c>
      <c r="D21" s="286" t="s">
        <v>460</v>
      </c>
      <c r="E21" s="286" t="s">
        <v>450</v>
      </c>
      <c r="F21" s="286" t="s">
        <v>461</v>
      </c>
      <c r="G21" s="280"/>
      <c r="H21" s="280"/>
      <c r="I21" s="280"/>
      <c r="J21" s="280"/>
      <c r="K21" s="280"/>
      <c r="L21" s="280"/>
      <c r="M21" s="280"/>
      <c r="N21" s="280"/>
      <c r="O21" s="280"/>
      <c r="P21" s="280"/>
      <c r="Q21" s="280"/>
      <c r="R21" s="280"/>
      <c r="S21" s="280"/>
      <c r="T21" s="280"/>
      <c r="U21" s="280"/>
      <c r="V21" s="280"/>
      <c r="W21" s="280"/>
      <c r="X21" s="280"/>
      <c r="Y21" s="280"/>
      <c r="Z21" s="280"/>
    </row>
    <row r="22">
      <c r="A22" s="284" t="s">
        <v>474</v>
      </c>
      <c r="B22" s="285" t="s">
        <v>471</v>
      </c>
      <c r="C22" s="286">
        <v>0.0</v>
      </c>
      <c r="D22" s="286" t="s">
        <v>450</v>
      </c>
      <c r="E22" s="286">
        <v>0.0</v>
      </c>
      <c r="F22" s="286" t="s">
        <v>450</v>
      </c>
      <c r="G22" s="280"/>
      <c r="H22" s="280"/>
      <c r="I22" s="280"/>
      <c r="J22" s="280"/>
      <c r="K22" s="280"/>
      <c r="L22" s="280"/>
      <c r="M22" s="280"/>
      <c r="N22" s="280"/>
      <c r="O22" s="280"/>
      <c r="P22" s="280"/>
      <c r="Q22" s="280"/>
      <c r="R22" s="280"/>
      <c r="S22" s="280"/>
      <c r="T22" s="280"/>
      <c r="U22" s="280"/>
      <c r="V22" s="280"/>
      <c r="W22" s="280"/>
      <c r="X22" s="280"/>
      <c r="Y22" s="280"/>
      <c r="Z22" s="280"/>
    </row>
    <row r="23">
      <c r="A23" s="284" t="s">
        <v>475</v>
      </c>
      <c r="B23" s="285" t="s">
        <v>471</v>
      </c>
      <c r="C23" s="286" t="s">
        <v>450</v>
      </c>
      <c r="D23" s="286" t="s">
        <v>450</v>
      </c>
      <c r="E23" s="286" t="s">
        <v>450</v>
      </c>
      <c r="F23" s="286" t="s">
        <v>450</v>
      </c>
      <c r="G23" s="280"/>
      <c r="H23" s="280"/>
      <c r="I23" s="280"/>
      <c r="J23" s="280"/>
      <c r="K23" s="280"/>
      <c r="L23" s="280"/>
      <c r="M23" s="280"/>
      <c r="N23" s="280"/>
      <c r="O23" s="280"/>
      <c r="P23" s="280"/>
      <c r="Q23" s="280"/>
      <c r="R23" s="280"/>
      <c r="S23" s="280"/>
      <c r="T23" s="280"/>
      <c r="U23" s="280"/>
      <c r="V23" s="280"/>
      <c r="W23" s="280"/>
      <c r="X23" s="280"/>
      <c r="Y23" s="280"/>
      <c r="Z23" s="280"/>
    </row>
    <row r="24">
      <c r="A24" s="284" t="s">
        <v>476</v>
      </c>
      <c r="B24" s="285" t="s">
        <v>471</v>
      </c>
      <c r="C24" s="286" t="s">
        <v>450</v>
      </c>
      <c r="D24" s="286" t="s">
        <v>461</v>
      </c>
      <c r="E24" s="286">
        <v>0.0</v>
      </c>
      <c r="F24" s="286" t="s">
        <v>450</v>
      </c>
      <c r="G24" s="280"/>
      <c r="H24" s="280"/>
      <c r="I24" s="280"/>
      <c r="J24" s="280"/>
      <c r="K24" s="280"/>
      <c r="L24" s="280"/>
      <c r="M24" s="280"/>
      <c r="N24" s="280"/>
      <c r="O24" s="280"/>
      <c r="P24" s="280"/>
      <c r="Q24" s="280"/>
      <c r="R24" s="280"/>
      <c r="S24" s="280"/>
      <c r="T24" s="280"/>
      <c r="U24" s="280"/>
      <c r="V24" s="280"/>
      <c r="W24" s="280"/>
      <c r="X24" s="280"/>
      <c r="Y24" s="280"/>
      <c r="Z24" s="280"/>
    </row>
    <row r="25">
      <c r="A25" s="284" t="s">
        <v>477</v>
      </c>
      <c r="B25" s="285" t="s">
        <v>478</v>
      </c>
      <c r="C25" s="286">
        <v>0.0</v>
      </c>
      <c r="D25" s="286" t="s">
        <v>454</v>
      </c>
      <c r="E25" s="286" t="s">
        <v>450</v>
      </c>
      <c r="F25" s="286" t="s">
        <v>461</v>
      </c>
      <c r="G25" s="280"/>
      <c r="H25" s="280"/>
      <c r="I25" s="280"/>
      <c r="J25" s="280"/>
      <c r="K25" s="280"/>
      <c r="L25" s="280"/>
      <c r="M25" s="280"/>
      <c r="N25" s="280"/>
      <c r="O25" s="280"/>
      <c r="P25" s="280"/>
      <c r="Q25" s="280"/>
      <c r="R25" s="280"/>
      <c r="S25" s="280"/>
      <c r="T25" s="280"/>
      <c r="U25" s="280"/>
      <c r="V25" s="280"/>
      <c r="W25" s="280"/>
      <c r="X25" s="280"/>
      <c r="Y25" s="280"/>
      <c r="Z25" s="280"/>
    </row>
    <row r="26">
      <c r="A26" s="284" t="s">
        <v>479</v>
      </c>
      <c r="B26" s="285" t="s">
        <v>478</v>
      </c>
      <c r="C26" s="286">
        <v>0.0</v>
      </c>
      <c r="D26" s="286" t="s">
        <v>461</v>
      </c>
      <c r="E26" s="286">
        <v>0.0</v>
      </c>
      <c r="F26" s="286" t="s">
        <v>461</v>
      </c>
      <c r="G26" s="280"/>
      <c r="H26" s="280"/>
      <c r="I26" s="280"/>
      <c r="J26" s="280"/>
      <c r="K26" s="280"/>
      <c r="L26" s="280"/>
      <c r="M26" s="280"/>
      <c r="N26" s="280"/>
      <c r="O26" s="280"/>
      <c r="P26" s="280"/>
      <c r="Q26" s="280"/>
      <c r="R26" s="280"/>
      <c r="S26" s="280"/>
      <c r="T26" s="280"/>
      <c r="U26" s="280"/>
      <c r="V26" s="280"/>
      <c r="W26" s="280"/>
      <c r="X26" s="280"/>
      <c r="Y26" s="280"/>
      <c r="Z26" s="280"/>
    </row>
    <row r="27">
      <c r="A27" s="284" t="s">
        <v>480</v>
      </c>
      <c r="B27" s="285" t="s">
        <v>478</v>
      </c>
      <c r="C27" s="286" t="s">
        <v>450</v>
      </c>
      <c r="D27" s="286" t="s">
        <v>460</v>
      </c>
      <c r="E27" s="286">
        <v>0.0</v>
      </c>
      <c r="F27" s="286" t="s">
        <v>454</v>
      </c>
      <c r="G27" s="280"/>
      <c r="H27" s="280"/>
      <c r="I27" s="280"/>
      <c r="J27" s="280"/>
      <c r="K27" s="280"/>
      <c r="L27" s="280"/>
      <c r="M27" s="280"/>
      <c r="N27" s="280"/>
      <c r="O27" s="280"/>
      <c r="P27" s="280"/>
      <c r="Q27" s="280"/>
      <c r="R27" s="280"/>
      <c r="S27" s="280"/>
      <c r="T27" s="280"/>
      <c r="U27" s="280"/>
      <c r="V27" s="280"/>
      <c r="W27" s="280"/>
      <c r="X27" s="280"/>
      <c r="Y27" s="280"/>
      <c r="Z27" s="280"/>
    </row>
    <row r="28">
      <c r="A28" s="284" t="s">
        <v>481</v>
      </c>
      <c r="B28" s="285" t="s">
        <v>478</v>
      </c>
      <c r="C28" s="286">
        <v>0.0</v>
      </c>
      <c r="D28" s="286" t="s">
        <v>482</v>
      </c>
      <c r="E28" s="286">
        <v>0.0</v>
      </c>
      <c r="F28" s="286" t="s">
        <v>450</v>
      </c>
      <c r="G28" s="280"/>
      <c r="H28" s="280"/>
      <c r="I28" s="280"/>
      <c r="J28" s="280"/>
      <c r="K28" s="280"/>
      <c r="L28" s="280"/>
      <c r="M28" s="280"/>
      <c r="N28" s="280"/>
      <c r="O28" s="280"/>
      <c r="P28" s="280"/>
      <c r="Q28" s="280"/>
      <c r="R28" s="280"/>
      <c r="S28" s="280"/>
      <c r="T28" s="280"/>
      <c r="U28" s="280"/>
      <c r="V28" s="280"/>
      <c r="W28" s="280"/>
      <c r="X28" s="280"/>
      <c r="Y28" s="280"/>
      <c r="Z28" s="280"/>
    </row>
    <row r="29">
      <c r="A29" s="284" t="s">
        <v>483</v>
      </c>
      <c r="B29" s="285" t="s">
        <v>478</v>
      </c>
      <c r="C29" s="286">
        <v>0.0</v>
      </c>
      <c r="D29" s="286" t="s">
        <v>458</v>
      </c>
      <c r="E29" s="286" t="s">
        <v>450</v>
      </c>
      <c r="F29" s="286" t="s">
        <v>454</v>
      </c>
      <c r="G29" s="280"/>
      <c r="H29" s="280"/>
      <c r="I29" s="280"/>
      <c r="J29" s="280"/>
      <c r="K29" s="280"/>
      <c r="L29" s="280"/>
      <c r="M29" s="280"/>
      <c r="N29" s="280"/>
      <c r="O29" s="280"/>
      <c r="P29" s="280"/>
      <c r="Q29" s="280"/>
      <c r="R29" s="280"/>
      <c r="S29" s="280"/>
      <c r="T29" s="280"/>
      <c r="U29" s="280"/>
      <c r="V29" s="280"/>
      <c r="W29" s="280"/>
      <c r="X29" s="280"/>
      <c r="Y29" s="280"/>
      <c r="Z29" s="280"/>
    </row>
    <row r="30">
      <c r="A30" s="284" t="s">
        <v>484</v>
      </c>
      <c r="B30" s="285" t="s">
        <v>478</v>
      </c>
      <c r="C30" s="286" t="s">
        <v>450</v>
      </c>
      <c r="D30" s="286" t="s">
        <v>454</v>
      </c>
      <c r="E30" s="286">
        <v>0.0</v>
      </c>
      <c r="F30" s="286" t="s">
        <v>450</v>
      </c>
      <c r="G30" s="280"/>
      <c r="H30" s="280"/>
      <c r="I30" s="280"/>
      <c r="J30" s="280"/>
      <c r="K30" s="280"/>
      <c r="L30" s="280"/>
      <c r="M30" s="280"/>
      <c r="N30" s="280"/>
      <c r="O30" s="280"/>
      <c r="P30" s="280"/>
      <c r="Q30" s="280"/>
      <c r="R30" s="280"/>
      <c r="S30" s="280"/>
      <c r="T30" s="280"/>
      <c r="U30" s="280"/>
      <c r="V30" s="280"/>
      <c r="W30" s="280"/>
      <c r="X30" s="280"/>
      <c r="Y30" s="280"/>
      <c r="Z30" s="280"/>
    </row>
    <row r="31">
      <c r="A31" s="284" t="s">
        <v>485</v>
      </c>
      <c r="B31" s="285" t="s">
        <v>229</v>
      </c>
      <c r="C31" s="286" t="s">
        <v>450</v>
      </c>
      <c r="D31" s="286" t="s">
        <v>454</v>
      </c>
      <c r="E31" s="286">
        <v>0.0</v>
      </c>
      <c r="F31" s="286" t="s">
        <v>450</v>
      </c>
      <c r="G31" s="280"/>
      <c r="H31" s="280"/>
      <c r="I31" s="280"/>
      <c r="J31" s="280"/>
      <c r="K31" s="280"/>
      <c r="L31" s="280"/>
      <c r="M31" s="280"/>
      <c r="N31" s="280"/>
      <c r="O31" s="280"/>
      <c r="P31" s="280"/>
      <c r="Q31" s="280"/>
      <c r="R31" s="280"/>
      <c r="S31" s="280"/>
      <c r="T31" s="280"/>
      <c r="U31" s="280"/>
      <c r="V31" s="280"/>
      <c r="W31" s="280"/>
      <c r="X31" s="280"/>
      <c r="Y31" s="280"/>
      <c r="Z31" s="280"/>
    </row>
    <row r="32">
      <c r="A32" s="284" t="s">
        <v>486</v>
      </c>
      <c r="B32" s="285" t="s">
        <v>229</v>
      </c>
      <c r="C32" s="286">
        <v>0.0</v>
      </c>
      <c r="D32" s="286" t="s">
        <v>456</v>
      </c>
      <c r="E32" s="286">
        <v>0.0</v>
      </c>
      <c r="F32" s="286" t="s">
        <v>461</v>
      </c>
      <c r="G32" s="280"/>
      <c r="H32" s="280"/>
      <c r="I32" s="280"/>
      <c r="J32" s="280"/>
      <c r="K32" s="280"/>
      <c r="L32" s="280"/>
      <c r="M32" s="280"/>
      <c r="N32" s="280"/>
      <c r="O32" s="280"/>
      <c r="P32" s="280"/>
      <c r="Q32" s="280"/>
      <c r="R32" s="280"/>
      <c r="S32" s="280"/>
      <c r="T32" s="280"/>
      <c r="U32" s="280"/>
      <c r="V32" s="280"/>
      <c r="W32" s="280"/>
      <c r="X32" s="280"/>
      <c r="Y32" s="280"/>
      <c r="Z32" s="280"/>
    </row>
    <row r="33">
      <c r="A33" s="284" t="s">
        <v>487</v>
      </c>
      <c r="B33" s="285" t="s">
        <v>229</v>
      </c>
      <c r="C33" s="286">
        <v>0.0</v>
      </c>
      <c r="D33" s="286" t="s">
        <v>454</v>
      </c>
      <c r="E33" s="286">
        <v>0.0</v>
      </c>
      <c r="F33" s="286" t="s">
        <v>461</v>
      </c>
      <c r="G33" s="280"/>
      <c r="H33" s="280"/>
      <c r="I33" s="280"/>
      <c r="J33" s="280"/>
      <c r="K33" s="280"/>
      <c r="L33" s="280"/>
      <c r="M33" s="280"/>
      <c r="N33" s="280"/>
      <c r="O33" s="280"/>
      <c r="P33" s="280"/>
      <c r="Q33" s="280"/>
      <c r="R33" s="280"/>
      <c r="S33" s="280"/>
      <c r="T33" s="280"/>
      <c r="U33" s="280"/>
      <c r="V33" s="280"/>
      <c r="W33" s="280"/>
      <c r="X33" s="280"/>
      <c r="Y33" s="280"/>
      <c r="Z33" s="280"/>
    </row>
    <row r="34">
      <c r="A34" s="284" t="s">
        <v>488</v>
      </c>
      <c r="B34" s="285" t="s">
        <v>229</v>
      </c>
      <c r="C34" s="286">
        <v>0.0</v>
      </c>
      <c r="D34" s="286" t="s">
        <v>461</v>
      </c>
      <c r="E34" s="286" t="s">
        <v>450</v>
      </c>
      <c r="F34" s="286" t="s">
        <v>450</v>
      </c>
      <c r="G34" s="280"/>
      <c r="H34" s="280"/>
      <c r="I34" s="280"/>
      <c r="J34" s="280"/>
      <c r="K34" s="280"/>
      <c r="L34" s="280"/>
      <c r="M34" s="280"/>
      <c r="N34" s="280"/>
      <c r="O34" s="280"/>
      <c r="P34" s="280"/>
      <c r="Q34" s="280"/>
      <c r="R34" s="280"/>
      <c r="S34" s="280"/>
      <c r="T34" s="280"/>
      <c r="U34" s="280"/>
      <c r="V34" s="280"/>
      <c r="W34" s="280"/>
      <c r="X34" s="280"/>
      <c r="Y34" s="280"/>
      <c r="Z34" s="280"/>
    </row>
    <row r="35">
      <c r="A35" s="284" t="s">
        <v>489</v>
      </c>
      <c r="B35" s="285" t="s">
        <v>229</v>
      </c>
      <c r="C35" s="286">
        <v>0.0</v>
      </c>
      <c r="D35" s="286" t="s">
        <v>460</v>
      </c>
      <c r="E35" s="286">
        <v>0.0</v>
      </c>
      <c r="F35" s="286" t="s">
        <v>450</v>
      </c>
      <c r="G35" s="280"/>
      <c r="H35" s="280"/>
      <c r="I35" s="280"/>
      <c r="J35" s="280"/>
      <c r="K35" s="280"/>
      <c r="L35" s="280"/>
      <c r="M35" s="280"/>
      <c r="N35" s="280"/>
      <c r="O35" s="280"/>
      <c r="P35" s="280"/>
      <c r="Q35" s="280"/>
      <c r="R35" s="280"/>
      <c r="S35" s="280"/>
      <c r="T35" s="280"/>
      <c r="U35" s="280"/>
      <c r="V35" s="280"/>
      <c r="W35" s="280"/>
      <c r="X35" s="280"/>
      <c r="Y35" s="280"/>
      <c r="Z35" s="280"/>
    </row>
    <row r="36">
      <c r="A36" s="284" t="s">
        <v>490</v>
      </c>
      <c r="B36" s="285" t="s">
        <v>491</v>
      </c>
      <c r="C36" s="286">
        <v>0.0</v>
      </c>
      <c r="D36" s="286" t="s">
        <v>461</v>
      </c>
      <c r="E36" s="286">
        <v>0.0</v>
      </c>
      <c r="F36" s="286" t="s">
        <v>450</v>
      </c>
      <c r="G36" s="280"/>
      <c r="H36" s="280"/>
      <c r="I36" s="280"/>
      <c r="J36" s="280"/>
      <c r="K36" s="280"/>
      <c r="L36" s="280"/>
      <c r="M36" s="280"/>
      <c r="N36" s="280"/>
      <c r="O36" s="280"/>
      <c r="P36" s="280"/>
      <c r="Q36" s="280"/>
      <c r="R36" s="280"/>
      <c r="S36" s="280"/>
      <c r="T36" s="280"/>
      <c r="U36" s="280"/>
      <c r="V36" s="280"/>
      <c r="W36" s="280"/>
      <c r="X36" s="280"/>
      <c r="Y36" s="280"/>
      <c r="Z36" s="280"/>
    </row>
    <row r="37">
      <c r="A37" s="284" t="s">
        <v>492</v>
      </c>
      <c r="B37" s="285" t="s">
        <v>491</v>
      </c>
      <c r="C37" s="286">
        <v>0.0</v>
      </c>
      <c r="D37" s="286" t="s">
        <v>450</v>
      </c>
      <c r="E37" s="286">
        <v>0.0</v>
      </c>
      <c r="F37" s="286">
        <v>0.0</v>
      </c>
      <c r="G37" s="280"/>
      <c r="H37" s="280"/>
      <c r="I37" s="280"/>
      <c r="J37" s="280"/>
      <c r="K37" s="280"/>
      <c r="L37" s="280"/>
      <c r="M37" s="280"/>
      <c r="N37" s="280"/>
      <c r="O37" s="280"/>
      <c r="P37" s="280"/>
      <c r="Q37" s="280"/>
      <c r="R37" s="280"/>
      <c r="S37" s="280"/>
      <c r="T37" s="280"/>
      <c r="U37" s="280"/>
      <c r="V37" s="280"/>
      <c r="W37" s="280"/>
      <c r="X37" s="280"/>
      <c r="Y37" s="280"/>
      <c r="Z37" s="280"/>
    </row>
    <row r="38">
      <c r="A38" s="284" t="s">
        <v>493</v>
      </c>
      <c r="B38" s="285" t="s">
        <v>491</v>
      </c>
      <c r="C38" s="286">
        <v>0.0</v>
      </c>
      <c r="D38" s="286" t="s">
        <v>494</v>
      </c>
      <c r="E38" s="286" t="s">
        <v>450</v>
      </c>
      <c r="F38" s="286" t="s">
        <v>461</v>
      </c>
      <c r="G38" s="280"/>
      <c r="H38" s="280"/>
      <c r="I38" s="280"/>
      <c r="J38" s="280"/>
      <c r="K38" s="280"/>
      <c r="L38" s="280"/>
      <c r="M38" s="280"/>
      <c r="N38" s="280"/>
      <c r="O38" s="280"/>
      <c r="P38" s="280"/>
      <c r="Q38" s="280"/>
      <c r="R38" s="280"/>
      <c r="S38" s="280"/>
      <c r="T38" s="280"/>
      <c r="U38" s="280"/>
      <c r="V38" s="280"/>
      <c r="W38" s="280"/>
      <c r="X38" s="280"/>
      <c r="Y38" s="280"/>
      <c r="Z38" s="280"/>
    </row>
    <row r="39">
      <c r="A39" s="284" t="s">
        <v>495</v>
      </c>
      <c r="B39" s="285" t="s">
        <v>491</v>
      </c>
      <c r="C39" s="286" t="s">
        <v>450</v>
      </c>
      <c r="D39" s="286" t="s">
        <v>454</v>
      </c>
      <c r="E39" s="286">
        <v>0.0</v>
      </c>
      <c r="F39" s="286" t="s">
        <v>450</v>
      </c>
      <c r="G39" s="280"/>
      <c r="H39" s="280"/>
      <c r="I39" s="280"/>
      <c r="J39" s="280"/>
      <c r="K39" s="280"/>
      <c r="L39" s="280"/>
      <c r="M39" s="280"/>
      <c r="N39" s="280"/>
      <c r="O39" s="280"/>
      <c r="P39" s="280"/>
      <c r="Q39" s="280"/>
      <c r="R39" s="280"/>
      <c r="S39" s="280"/>
      <c r="T39" s="280"/>
      <c r="U39" s="280"/>
      <c r="V39" s="280"/>
      <c r="W39" s="280"/>
      <c r="X39" s="280"/>
      <c r="Y39" s="280"/>
      <c r="Z39" s="280"/>
    </row>
    <row r="40">
      <c r="A40" s="284" t="s">
        <v>496</v>
      </c>
      <c r="B40" s="285" t="s">
        <v>491</v>
      </c>
      <c r="C40" s="286">
        <v>0.0</v>
      </c>
      <c r="D40" s="286" t="s">
        <v>454</v>
      </c>
      <c r="E40" s="286">
        <v>0.0</v>
      </c>
      <c r="F40" s="286" t="s">
        <v>450</v>
      </c>
      <c r="G40" s="280"/>
      <c r="H40" s="280"/>
      <c r="I40" s="280"/>
      <c r="J40" s="280"/>
      <c r="K40" s="280"/>
      <c r="L40" s="280"/>
      <c r="M40" s="280"/>
      <c r="N40" s="280"/>
      <c r="O40" s="280"/>
      <c r="P40" s="280"/>
      <c r="Q40" s="280"/>
      <c r="R40" s="280"/>
      <c r="S40" s="280"/>
      <c r="T40" s="280"/>
      <c r="U40" s="280"/>
      <c r="V40" s="280"/>
      <c r="W40" s="280"/>
      <c r="X40" s="280"/>
      <c r="Y40" s="280"/>
      <c r="Z40" s="280"/>
    </row>
    <row r="41">
      <c r="A41" s="284" t="s">
        <v>497</v>
      </c>
      <c r="B41" s="285" t="s">
        <v>491</v>
      </c>
      <c r="C41" s="286" t="s">
        <v>450</v>
      </c>
      <c r="D41" s="286" t="s">
        <v>460</v>
      </c>
      <c r="E41" s="286">
        <v>0.0</v>
      </c>
      <c r="F41" s="286" t="s">
        <v>450</v>
      </c>
      <c r="G41" s="280"/>
      <c r="H41" s="280"/>
      <c r="I41" s="280"/>
      <c r="J41" s="280"/>
      <c r="K41" s="280"/>
      <c r="L41" s="280"/>
      <c r="M41" s="280"/>
      <c r="N41" s="280"/>
      <c r="O41" s="280"/>
      <c r="P41" s="280"/>
      <c r="Q41" s="280"/>
      <c r="R41" s="280"/>
      <c r="S41" s="280"/>
      <c r="T41" s="280"/>
      <c r="U41" s="280"/>
      <c r="V41" s="280"/>
      <c r="W41" s="280"/>
      <c r="X41" s="280"/>
      <c r="Y41" s="280"/>
      <c r="Z41" s="280"/>
    </row>
    <row r="42">
      <c r="A42" s="284" t="s">
        <v>498</v>
      </c>
      <c r="B42" s="285" t="s">
        <v>491</v>
      </c>
      <c r="C42" s="286">
        <v>0.0</v>
      </c>
      <c r="D42" s="286" t="s">
        <v>454</v>
      </c>
      <c r="E42" s="286">
        <v>0.0</v>
      </c>
      <c r="F42" s="286" t="s">
        <v>450</v>
      </c>
      <c r="G42" s="280"/>
      <c r="H42" s="280"/>
      <c r="I42" s="280"/>
      <c r="J42" s="280"/>
      <c r="K42" s="280"/>
      <c r="L42" s="280"/>
      <c r="M42" s="280"/>
      <c r="N42" s="280"/>
      <c r="O42" s="280"/>
      <c r="P42" s="280"/>
      <c r="Q42" s="280"/>
      <c r="R42" s="280"/>
      <c r="S42" s="280"/>
      <c r="T42" s="280"/>
      <c r="U42" s="280"/>
      <c r="V42" s="280"/>
      <c r="W42" s="280"/>
      <c r="X42" s="280"/>
      <c r="Y42" s="280"/>
      <c r="Z42" s="280"/>
    </row>
    <row r="43">
      <c r="A43" s="284" t="s">
        <v>499</v>
      </c>
      <c r="B43" s="285" t="s">
        <v>491</v>
      </c>
      <c r="C43" s="286">
        <v>0.0</v>
      </c>
      <c r="D43" s="286" t="s">
        <v>450</v>
      </c>
      <c r="E43" s="286">
        <v>0.0</v>
      </c>
      <c r="F43" s="286">
        <v>0.0</v>
      </c>
      <c r="G43" s="280"/>
      <c r="H43" s="280"/>
      <c r="I43" s="280"/>
      <c r="J43" s="280"/>
      <c r="K43" s="280"/>
      <c r="L43" s="280"/>
      <c r="M43" s="280"/>
      <c r="N43" s="280"/>
      <c r="O43" s="280"/>
      <c r="P43" s="280"/>
      <c r="Q43" s="280"/>
      <c r="R43" s="280"/>
      <c r="S43" s="280"/>
      <c r="T43" s="280"/>
      <c r="U43" s="280"/>
      <c r="V43" s="280"/>
      <c r="W43" s="280"/>
      <c r="X43" s="280"/>
      <c r="Y43" s="280"/>
      <c r="Z43" s="280"/>
    </row>
    <row r="44">
      <c r="A44" s="284" t="s">
        <v>500</v>
      </c>
      <c r="B44" s="285" t="s">
        <v>491</v>
      </c>
      <c r="C44" s="286" t="s">
        <v>450</v>
      </c>
      <c r="D44" s="286" t="s">
        <v>456</v>
      </c>
      <c r="E44" s="286">
        <v>0.0</v>
      </c>
      <c r="F44" s="286" t="s">
        <v>450</v>
      </c>
      <c r="G44" s="280"/>
      <c r="H44" s="280"/>
      <c r="I44" s="280"/>
      <c r="J44" s="280"/>
      <c r="K44" s="280"/>
      <c r="L44" s="280"/>
      <c r="M44" s="280"/>
      <c r="N44" s="280"/>
      <c r="O44" s="280"/>
      <c r="P44" s="280"/>
      <c r="Q44" s="280"/>
      <c r="R44" s="280"/>
      <c r="S44" s="280"/>
      <c r="T44" s="280"/>
      <c r="U44" s="280"/>
      <c r="V44" s="280"/>
      <c r="W44" s="280"/>
      <c r="X44" s="280"/>
      <c r="Y44" s="280"/>
      <c r="Z44" s="280"/>
    </row>
    <row r="45">
      <c r="A45" s="284" t="s">
        <v>501</v>
      </c>
      <c r="B45" s="285" t="s">
        <v>491</v>
      </c>
      <c r="C45" s="286" t="s">
        <v>450</v>
      </c>
      <c r="D45" s="286" t="s">
        <v>502</v>
      </c>
      <c r="E45" s="286" t="s">
        <v>450</v>
      </c>
      <c r="F45" s="286" t="s">
        <v>461</v>
      </c>
      <c r="G45" s="280"/>
      <c r="H45" s="280"/>
      <c r="I45" s="280"/>
      <c r="J45" s="280"/>
      <c r="K45" s="280"/>
      <c r="L45" s="280"/>
      <c r="M45" s="280"/>
      <c r="N45" s="280"/>
      <c r="O45" s="280"/>
      <c r="P45" s="280"/>
      <c r="Q45" s="280"/>
      <c r="R45" s="280"/>
      <c r="S45" s="280"/>
      <c r="T45" s="280"/>
      <c r="U45" s="280"/>
      <c r="V45" s="280"/>
      <c r="W45" s="280"/>
      <c r="X45" s="280"/>
      <c r="Y45" s="280"/>
      <c r="Z45" s="280"/>
    </row>
    <row r="46">
      <c r="A46" s="284" t="s">
        <v>503</v>
      </c>
      <c r="B46" s="285" t="s">
        <v>491</v>
      </c>
      <c r="C46" s="286">
        <v>0.0</v>
      </c>
      <c r="D46" s="286" t="s">
        <v>454</v>
      </c>
      <c r="E46" s="286">
        <v>0.0</v>
      </c>
      <c r="F46" s="286" t="s">
        <v>461</v>
      </c>
      <c r="G46" s="280"/>
      <c r="H46" s="280"/>
      <c r="I46" s="280"/>
      <c r="J46" s="280"/>
      <c r="K46" s="280"/>
      <c r="L46" s="280"/>
      <c r="M46" s="280"/>
      <c r="N46" s="280"/>
      <c r="O46" s="280"/>
      <c r="P46" s="280"/>
      <c r="Q46" s="280"/>
      <c r="R46" s="280"/>
      <c r="S46" s="280"/>
      <c r="T46" s="280"/>
      <c r="U46" s="280"/>
      <c r="V46" s="280"/>
      <c r="W46" s="280"/>
      <c r="X46" s="280"/>
      <c r="Y46" s="280"/>
      <c r="Z46" s="280"/>
    </row>
    <row r="47">
      <c r="A47" s="284" t="s">
        <v>504</v>
      </c>
      <c r="B47" s="285" t="s">
        <v>491</v>
      </c>
      <c r="C47" s="286" t="s">
        <v>450</v>
      </c>
      <c r="D47" s="286" t="s">
        <v>458</v>
      </c>
      <c r="E47" s="286">
        <v>0.0</v>
      </c>
      <c r="F47" s="286" t="s">
        <v>461</v>
      </c>
      <c r="G47" s="280"/>
      <c r="H47" s="280"/>
      <c r="I47" s="280"/>
      <c r="J47" s="280"/>
      <c r="K47" s="280"/>
      <c r="L47" s="280"/>
      <c r="M47" s="280"/>
      <c r="N47" s="280"/>
      <c r="O47" s="280"/>
      <c r="P47" s="280"/>
      <c r="Q47" s="280"/>
      <c r="R47" s="280"/>
      <c r="S47" s="280"/>
      <c r="T47" s="280"/>
      <c r="U47" s="280"/>
      <c r="V47" s="280"/>
      <c r="W47" s="280"/>
      <c r="X47" s="280"/>
      <c r="Y47" s="280"/>
      <c r="Z47" s="280"/>
    </row>
    <row r="48">
      <c r="A48" s="284" t="s">
        <v>505</v>
      </c>
      <c r="B48" s="285" t="s">
        <v>491</v>
      </c>
      <c r="C48" s="286">
        <v>0.0</v>
      </c>
      <c r="D48" s="286" t="s">
        <v>454</v>
      </c>
      <c r="E48" s="286">
        <v>0.0</v>
      </c>
      <c r="F48" s="286" t="s">
        <v>450</v>
      </c>
      <c r="G48" s="280"/>
      <c r="H48" s="280"/>
      <c r="I48" s="280"/>
      <c r="J48" s="280"/>
      <c r="K48" s="280"/>
      <c r="L48" s="280"/>
      <c r="M48" s="280"/>
      <c r="N48" s="280"/>
      <c r="O48" s="280"/>
      <c r="P48" s="280"/>
      <c r="Q48" s="280"/>
      <c r="R48" s="280"/>
      <c r="S48" s="280"/>
      <c r="T48" s="280"/>
      <c r="U48" s="280"/>
      <c r="V48" s="280"/>
      <c r="W48" s="280"/>
      <c r="X48" s="280"/>
      <c r="Y48" s="280"/>
      <c r="Z48" s="280"/>
    </row>
    <row r="49">
      <c r="A49" s="284" t="s">
        <v>506</v>
      </c>
      <c r="B49" s="285" t="s">
        <v>491</v>
      </c>
      <c r="C49" s="286">
        <v>0.0</v>
      </c>
      <c r="D49" s="286" t="s">
        <v>454</v>
      </c>
      <c r="E49" s="286">
        <v>0.0</v>
      </c>
      <c r="F49" s="286" t="s">
        <v>450</v>
      </c>
      <c r="G49" s="280"/>
      <c r="H49" s="280"/>
      <c r="I49" s="280"/>
      <c r="J49" s="280"/>
      <c r="K49" s="280"/>
      <c r="L49" s="280"/>
      <c r="M49" s="280"/>
      <c r="N49" s="280"/>
      <c r="O49" s="280"/>
      <c r="P49" s="280"/>
      <c r="Q49" s="280"/>
      <c r="R49" s="280"/>
      <c r="S49" s="280"/>
      <c r="T49" s="280"/>
      <c r="U49" s="280"/>
      <c r="V49" s="280"/>
      <c r="W49" s="280"/>
      <c r="X49" s="280"/>
      <c r="Y49" s="280"/>
      <c r="Z49" s="280"/>
    </row>
    <row r="50">
      <c r="A50" s="284" t="s">
        <v>507</v>
      </c>
      <c r="B50" s="285" t="s">
        <v>491</v>
      </c>
      <c r="C50" s="286">
        <v>0.0</v>
      </c>
      <c r="D50" s="286" t="s">
        <v>461</v>
      </c>
      <c r="E50" s="286">
        <v>0.0</v>
      </c>
      <c r="F50" s="286">
        <v>0.0</v>
      </c>
      <c r="G50" s="280"/>
      <c r="H50" s="280"/>
      <c r="I50" s="280"/>
      <c r="J50" s="280"/>
      <c r="K50" s="280"/>
      <c r="L50" s="280"/>
      <c r="M50" s="280"/>
      <c r="N50" s="280"/>
      <c r="O50" s="280"/>
      <c r="P50" s="280"/>
      <c r="Q50" s="280"/>
      <c r="R50" s="280"/>
      <c r="S50" s="280"/>
      <c r="T50" s="280"/>
      <c r="U50" s="280"/>
      <c r="V50" s="280"/>
      <c r="W50" s="280"/>
      <c r="X50" s="280"/>
      <c r="Y50" s="280"/>
      <c r="Z50" s="280"/>
    </row>
    <row r="51">
      <c r="A51" s="284" t="s">
        <v>508</v>
      </c>
      <c r="B51" s="285" t="s">
        <v>491</v>
      </c>
      <c r="C51" s="286">
        <v>0.0</v>
      </c>
      <c r="D51" s="286" t="s">
        <v>450</v>
      </c>
      <c r="E51" s="286">
        <v>0.0</v>
      </c>
      <c r="F51" s="286" t="s">
        <v>461</v>
      </c>
      <c r="G51" s="280"/>
      <c r="H51" s="280"/>
      <c r="I51" s="280"/>
      <c r="J51" s="280"/>
      <c r="K51" s="280"/>
      <c r="L51" s="280"/>
      <c r="M51" s="280"/>
      <c r="N51" s="280"/>
      <c r="O51" s="280"/>
      <c r="P51" s="280"/>
      <c r="Q51" s="280"/>
      <c r="R51" s="280"/>
      <c r="S51" s="280"/>
      <c r="T51" s="280"/>
      <c r="U51" s="280"/>
      <c r="V51" s="280"/>
      <c r="W51" s="280"/>
      <c r="X51" s="280"/>
      <c r="Y51" s="280"/>
      <c r="Z51" s="280"/>
    </row>
    <row r="52">
      <c r="A52" s="284" t="s">
        <v>509</v>
      </c>
      <c r="B52" s="285" t="s">
        <v>491</v>
      </c>
      <c r="C52" s="286">
        <v>0.0</v>
      </c>
      <c r="D52" s="286" t="s">
        <v>454</v>
      </c>
      <c r="E52" s="286">
        <v>0.0</v>
      </c>
      <c r="F52" s="286" t="s">
        <v>450</v>
      </c>
      <c r="G52" s="280"/>
      <c r="H52" s="280"/>
      <c r="I52" s="280"/>
      <c r="J52" s="280"/>
      <c r="K52" s="280"/>
      <c r="L52" s="280"/>
      <c r="M52" s="280"/>
      <c r="N52" s="280"/>
      <c r="O52" s="280"/>
      <c r="P52" s="280"/>
      <c r="Q52" s="280"/>
      <c r="R52" s="280"/>
      <c r="S52" s="280"/>
      <c r="T52" s="280"/>
      <c r="U52" s="280"/>
      <c r="V52" s="280"/>
      <c r="W52" s="280"/>
      <c r="X52" s="280"/>
      <c r="Y52" s="280"/>
      <c r="Z52" s="280"/>
    </row>
    <row r="53">
      <c r="A53" s="284" t="s">
        <v>510</v>
      </c>
      <c r="B53" s="285" t="s">
        <v>491</v>
      </c>
      <c r="C53" s="286">
        <v>0.0</v>
      </c>
      <c r="D53" s="286" t="s">
        <v>461</v>
      </c>
      <c r="E53" s="286">
        <v>0.0</v>
      </c>
      <c r="F53" s="286" t="s">
        <v>461</v>
      </c>
      <c r="G53" s="280"/>
      <c r="H53" s="280"/>
      <c r="I53" s="280"/>
      <c r="J53" s="280"/>
      <c r="K53" s="280"/>
      <c r="L53" s="280"/>
      <c r="M53" s="280"/>
      <c r="N53" s="280"/>
      <c r="O53" s="280"/>
      <c r="P53" s="280"/>
      <c r="Q53" s="280"/>
      <c r="R53" s="280"/>
      <c r="S53" s="280"/>
      <c r="T53" s="280"/>
      <c r="U53" s="280"/>
      <c r="V53" s="280"/>
      <c r="W53" s="280"/>
      <c r="X53" s="280"/>
      <c r="Y53" s="280"/>
      <c r="Z53" s="280"/>
    </row>
    <row r="54">
      <c r="A54" s="284" t="s">
        <v>511</v>
      </c>
      <c r="B54" s="285" t="s">
        <v>491</v>
      </c>
      <c r="C54" s="286">
        <v>0.0</v>
      </c>
      <c r="D54" s="286" t="s">
        <v>461</v>
      </c>
      <c r="E54" s="286">
        <v>0.0</v>
      </c>
      <c r="F54" s="286" t="s">
        <v>450</v>
      </c>
      <c r="G54" s="280"/>
      <c r="H54" s="280"/>
      <c r="I54" s="280"/>
      <c r="J54" s="280"/>
      <c r="K54" s="280"/>
      <c r="L54" s="280"/>
      <c r="M54" s="280"/>
      <c r="N54" s="280"/>
      <c r="O54" s="280"/>
      <c r="P54" s="280"/>
      <c r="Q54" s="280"/>
      <c r="R54" s="280"/>
      <c r="S54" s="280"/>
      <c r="T54" s="280"/>
      <c r="U54" s="280"/>
      <c r="V54" s="280"/>
      <c r="W54" s="280"/>
      <c r="X54" s="280"/>
      <c r="Y54" s="280"/>
      <c r="Z54" s="280"/>
    </row>
    <row r="55">
      <c r="A55" s="284" t="s">
        <v>512</v>
      </c>
      <c r="B55" s="285" t="s">
        <v>491</v>
      </c>
      <c r="C55" s="286">
        <v>0.0</v>
      </c>
      <c r="D55" s="286" t="s">
        <v>460</v>
      </c>
      <c r="E55" s="286">
        <v>0.0</v>
      </c>
      <c r="F55" s="286" t="s">
        <v>461</v>
      </c>
      <c r="G55" s="280"/>
      <c r="H55" s="280"/>
      <c r="I55" s="280"/>
      <c r="J55" s="280"/>
      <c r="K55" s="280"/>
      <c r="L55" s="280"/>
      <c r="M55" s="280"/>
      <c r="N55" s="280"/>
      <c r="O55" s="280"/>
      <c r="P55" s="280"/>
      <c r="Q55" s="280"/>
      <c r="R55" s="280"/>
      <c r="S55" s="280"/>
      <c r="T55" s="280"/>
      <c r="U55" s="280"/>
      <c r="V55" s="280"/>
      <c r="W55" s="280"/>
      <c r="X55" s="280"/>
      <c r="Y55" s="280"/>
      <c r="Z55" s="280"/>
    </row>
    <row r="56">
      <c r="A56" s="284" t="s">
        <v>513</v>
      </c>
      <c r="B56" s="285" t="s">
        <v>491</v>
      </c>
      <c r="C56" s="286">
        <v>0.0</v>
      </c>
      <c r="D56" s="286" t="s">
        <v>450</v>
      </c>
      <c r="E56" s="286">
        <v>0.0</v>
      </c>
      <c r="F56" s="286" t="s">
        <v>450</v>
      </c>
      <c r="G56" s="280"/>
      <c r="H56" s="280"/>
      <c r="I56" s="280"/>
      <c r="J56" s="280"/>
      <c r="K56" s="280"/>
      <c r="L56" s="280"/>
      <c r="M56" s="280"/>
      <c r="N56" s="280"/>
      <c r="O56" s="280"/>
      <c r="P56" s="280"/>
      <c r="Q56" s="280"/>
      <c r="R56" s="280"/>
      <c r="S56" s="280"/>
      <c r="T56" s="280"/>
      <c r="U56" s="280"/>
      <c r="V56" s="280"/>
      <c r="W56" s="280"/>
      <c r="X56" s="280"/>
      <c r="Y56" s="280"/>
      <c r="Z56" s="280"/>
    </row>
    <row r="57">
      <c r="A57" s="284" t="s">
        <v>514</v>
      </c>
      <c r="B57" s="285" t="s">
        <v>491</v>
      </c>
      <c r="C57" s="286" t="s">
        <v>450</v>
      </c>
      <c r="D57" s="286" t="s">
        <v>461</v>
      </c>
      <c r="E57" s="286">
        <v>0.0</v>
      </c>
      <c r="F57" s="286" t="s">
        <v>450</v>
      </c>
      <c r="G57" s="280"/>
      <c r="H57" s="280"/>
      <c r="I57" s="280"/>
      <c r="J57" s="280"/>
      <c r="K57" s="280"/>
      <c r="L57" s="280"/>
      <c r="M57" s="280"/>
      <c r="N57" s="280"/>
      <c r="O57" s="280"/>
      <c r="P57" s="280"/>
      <c r="Q57" s="280"/>
      <c r="R57" s="280"/>
      <c r="S57" s="280"/>
      <c r="T57" s="280"/>
      <c r="U57" s="280"/>
      <c r="V57" s="280"/>
      <c r="W57" s="280"/>
      <c r="X57" s="280"/>
      <c r="Y57" s="280"/>
      <c r="Z57" s="280"/>
    </row>
    <row r="58">
      <c r="A58" s="284" t="s">
        <v>515</v>
      </c>
      <c r="B58" s="285" t="s">
        <v>491</v>
      </c>
      <c r="C58" s="286">
        <v>0.0</v>
      </c>
      <c r="D58" s="286" t="s">
        <v>516</v>
      </c>
      <c r="E58" s="286">
        <v>0.0</v>
      </c>
      <c r="F58" s="286" t="s">
        <v>450</v>
      </c>
      <c r="G58" s="280"/>
      <c r="H58" s="280"/>
      <c r="I58" s="280"/>
      <c r="J58" s="280"/>
      <c r="K58" s="280"/>
      <c r="L58" s="280"/>
      <c r="M58" s="280"/>
      <c r="N58" s="280"/>
      <c r="O58" s="280"/>
      <c r="P58" s="280"/>
      <c r="Q58" s="280"/>
      <c r="R58" s="280"/>
      <c r="S58" s="280"/>
      <c r="T58" s="280"/>
      <c r="U58" s="280"/>
      <c r="V58" s="280"/>
      <c r="W58" s="280"/>
      <c r="X58" s="280"/>
      <c r="Y58" s="280"/>
      <c r="Z58" s="280"/>
    </row>
    <row r="59">
      <c r="A59" s="284" t="s">
        <v>517</v>
      </c>
      <c r="B59" s="285" t="s">
        <v>491</v>
      </c>
      <c r="C59" s="286">
        <v>0.0</v>
      </c>
      <c r="D59" s="286" t="s">
        <v>454</v>
      </c>
      <c r="E59" s="286">
        <v>0.0</v>
      </c>
      <c r="F59" s="286" t="s">
        <v>450</v>
      </c>
      <c r="G59" s="280"/>
      <c r="H59" s="280"/>
      <c r="I59" s="280"/>
      <c r="J59" s="280"/>
      <c r="K59" s="280"/>
      <c r="L59" s="280"/>
      <c r="M59" s="280"/>
      <c r="N59" s="280"/>
      <c r="O59" s="280"/>
      <c r="P59" s="280"/>
      <c r="Q59" s="280"/>
      <c r="R59" s="280"/>
      <c r="S59" s="280"/>
      <c r="T59" s="280"/>
      <c r="U59" s="280"/>
      <c r="V59" s="280"/>
      <c r="W59" s="280"/>
      <c r="X59" s="280"/>
      <c r="Y59" s="280"/>
      <c r="Z59" s="280"/>
    </row>
    <row r="60">
      <c r="A60" s="284" t="s">
        <v>518</v>
      </c>
      <c r="B60" s="285" t="s">
        <v>491</v>
      </c>
      <c r="C60" s="286">
        <v>0.0</v>
      </c>
      <c r="D60" s="286" t="s">
        <v>450</v>
      </c>
      <c r="E60" s="286">
        <v>0.0</v>
      </c>
      <c r="F60" s="286">
        <v>0.0</v>
      </c>
      <c r="G60" s="280"/>
      <c r="H60" s="280"/>
      <c r="I60" s="280"/>
      <c r="J60" s="280"/>
      <c r="K60" s="280"/>
      <c r="L60" s="280"/>
      <c r="M60" s="280"/>
      <c r="N60" s="280"/>
      <c r="O60" s="280"/>
      <c r="P60" s="280"/>
      <c r="Q60" s="280"/>
      <c r="R60" s="280"/>
      <c r="S60" s="280"/>
      <c r="T60" s="280"/>
      <c r="U60" s="280"/>
      <c r="V60" s="280"/>
      <c r="W60" s="280"/>
      <c r="X60" s="280"/>
      <c r="Y60" s="280"/>
      <c r="Z60" s="280"/>
    </row>
    <row r="61">
      <c r="A61" s="284" t="s">
        <v>519</v>
      </c>
      <c r="B61" s="285" t="s">
        <v>491</v>
      </c>
      <c r="C61" s="286" t="s">
        <v>450</v>
      </c>
      <c r="D61" s="286" t="s">
        <v>460</v>
      </c>
      <c r="E61" s="286">
        <v>0.0</v>
      </c>
      <c r="F61" s="286" t="s">
        <v>450</v>
      </c>
      <c r="G61" s="280"/>
      <c r="H61" s="280"/>
      <c r="I61" s="280"/>
      <c r="J61" s="280"/>
      <c r="K61" s="280"/>
      <c r="L61" s="280"/>
      <c r="M61" s="280"/>
      <c r="N61" s="280"/>
      <c r="O61" s="280"/>
      <c r="P61" s="280"/>
      <c r="Q61" s="280"/>
      <c r="R61" s="280"/>
      <c r="S61" s="280"/>
      <c r="T61" s="280"/>
      <c r="U61" s="280"/>
      <c r="V61" s="280"/>
      <c r="W61" s="280"/>
      <c r="X61" s="280"/>
      <c r="Y61" s="280"/>
      <c r="Z61" s="280"/>
    </row>
    <row r="62">
      <c r="A62" s="284" t="s">
        <v>520</v>
      </c>
      <c r="B62" s="285" t="s">
        <v>491</v>
      </c>
      <c r="C62" s="286">
        <v>0.0</v>
      </c>
      <c r="D62" s="286" t="s">
        <v>461</v>
      </c>
      <c r="E62" s="286">
        <v>0.0</v>
      </c>
      <c r="F62" s="286" t="s">
        <v>450</v>
      </c>
      <c r="G62" s="280"/>
      <c r="H62" s="280"/>
      <c r="I62" s="280"/>
      <c r="J62" s="280"/>
      <c r="K62" s="280"/>
      <c r="L62" s="280"/>
      <c r="M62" s="280"/>
      <c r="N62" s="280"/>
      <c r="O62" s="280"/>
      <c r="P62" s="280"/>
      <c r="Q62" s="280"/>
      <c r="R62" s="280"/>
      <c r="S62" s="280"/>
      <c r="T62" s="280"/>
      <c r="U62" s="280"/>
      <c r="V62" s="280"/>
      <c r="W62" s="280"/>
      <c r="X62" s="280"/>
      <c r="Y62" s="280"/>
      <c r="Z62" s="280"/>
    </row>
    <row r="63">
      <c r="A63" s="284" t="s">
        <v>521</v>
      </c>
      <c r="B63" s="285" t="s">
        <v>491</v>
      </c>
      <c r="C63" s="286">
        <v>0.0</v>
      </c>
      <c r="D63" s="286" t="s">
        <v>454</v>
      </c>
      <c r="E63" s="286">
        <v>0.0</v>
      </c>
      <c r="F63" s="286" t="s">
        <v>450</v>
      </c>
      <c r="G63" s="280"/>
      <c r="H63" s="280"/>
      <c r="I63" s="280"/>
      <c r="J63" s="280"/>
      <c r="K63" s="280"/>
      <c r="L63" s="280"/>
      <c r="M63" s="280"/>
      <c r="N63" s="280"/>
      <c r="O63" s="280"/>
      <c r="P63" s="280"/>
      <c r="Q63" s="280"/>
      <c r="R63" s="280"/>
      <c r="S63" s="280"/>
      <c r="T63" s="280"/>
      <c r="U63" s="280"/>
      <c r="V63" s="280"/>
      <c r="W63" s="280"/>
      <c r="X63" s="280"/>
      <c r="Y63" s="280"/>
      <c r="Z63" s="280"/>
    </row>
    <row r="64">
      <c r="A64" s="284" t="s">
        <v>522</v>
      </c>
      <c r="B64" s="285" t="s">
        <v>491</v>
      </c>
      <c r="C64" s="286">
        <v>0.0</v>
      </c>
      <c r="D64" s="286" t="s">
        <v>461</v>
      </c>
      <c r="E64" s="286">
        <v>0.0</v>
      </c>
      <c r="F64" s="286" t="s">
        <v>450</v>
      </c>
      <c r="G64" s="280"/>
      <c r="H64" s="280"/>
      <c r="I64" s="280"/>
      <c r="J64" s="280"/>
      <c r="K64" s="280"/>
      <c r="L64" s="280"/>
      <c r="M64" s="280"/>
      <c r="N64" s="280"/>
      <c r="O64" s="280"/>
      <c r="P64" s="280"/>
      <c r="Q64" s="280"/>
      <c r="R64" s="280"/>
      <c r="S64" s="280"/>
      <c r="T64" s="280"/>
      <c r="U64" s="280"/>
      <c r="V64" s="280"/>
      <c r="W64" s="280"/>
      <c r="X64" s="280"/>
      <c r="Y64" s="280"/>
      <c r="Z64" s="280"/>
    </row>
    <row r="65">
      <c r="A65" s="284" t="s">
        <v>523</v>
      </c>
      <c r="B65" s="285" t="s">
        <v>491</v>
      </c>
      <c r="C65" s="286">
        <v>0.0</v>
      </c>
      <c r="D65" s="286" t="s">
        <v>461</v>
      </c>
      <c r="E65" s="286">
        <v>0.0</v>
      </c>
      <c r="F65" s="286" t="s">
        <v>450</v>
      </c>
      <c r="G65" s="280"/>
      <c r="H65" s="280"/>
      <c r="I65" s="280"/>
      <c r="J65" s="280"/>
      <c r="K65" s="280"/>
      <c r="L65" s="280"/>
      <c r="M65" s="280"/>
      <c r="N65" s="280"/>
      <c r="O65" s="280"/>
      <c r="P65" s="280"/>
      <c r="Q65" s="280"/>
      <c r="R65" s="280"/>
      <c r="S65" s="280"/>
      <c r="T65" s="280"/>
      <c r="U65" s="280"/>
      <c r="V65" s="280"/>
      <c r="W65" s="280"/>
      <c r="X65" s="280"/>
      <c r="Y65" s="280"/>
      <c r="Z65" s="280"/>
    </row>
    <row r="66">
      <c r="A66" s="284" t="s">
        <v>524</v>
      </c>
      <c r="B66" s="285" t="s">
        <v>491</v>
      </c>
      <c r="C66" s="286" t="s">
        <v>450</v>
      </c>
      <c r="D66" s="286" t="s">
        <v>460</v>
      </c>
      <c r="E66" s="286">
        <v>0.0</v>
      </c>
      <c r="F66" s="286" t="s">
        <v>450</v>
      </c>
      <c r="G66" s="280"/>
      <c r="H66" s="280"/>
      <c r="I66" s="280"/>
      <c r="J66" s="280"/>
      <c r="K66" s="280"/>
      <c r="L66" s="280"/>
      <c r="M66" s="280"/>
      <c r="N66" s="280"/>
      <c r="O66" s="280"/>
      <c r="P66" s="280"/>
      <c r="Q66" s="280"/>
      <c r="R66" s="280"/>
      <c r="S66" s="280"/>
      <c r="T66" s="280"/>
      <c r="U66" s="280"/>
      <c r="V66" s="280"/>
      <c r="W66" s="280"/>
      <c r="X66" s="280"/>
      <c r="Y66" s="280"/>
      <c r="Z66" s="280"/>
    </row>
    <row r="67">
      <c r="A67" s="284" t="s">
        <v>525</v>
      </c>
      <c r="B67" s="285" t="s">
        <v>491</v>
      </c>
      <c r="C67" s="286">
        <v>0.0</v>
      </c>
      <c r="D67" s="286" t="s">
        <v>454</v>
      </c>
      <c r="E67" s="286">
        <v>0.0</v>
      </c>
      <c r="F67" s="286" t="s">
        <v>450</v>
      </c>
      <c r="G67" s="280"/>
      <c r="H67" s="280"/>
      <c r="I67" s="280"/>
      <c r="J67" s="280"/>
      <c r="K67" s="280"/>
      <c r="L67" s="280"/>
      <c r="M67" s="280"/>
      <c r="N67" s="280"/>
      <c r="O67" s="280"/>
      <c r="P67" s="280"/>
      <c r="Q67" s="280"/>
      <c r="R67" s="280"/>
      <c r="S67" s="280"/>
      <c r="T67" s="280"/>
      <c r="U67" s="280"/>
      <c r="V67" s="280"/>
      <c r="W67" s="280"/>
      <c r="X67" s="280"/>
      <c r="Y67" s="280"/>
      <c r="Z67" s="280"/>
    </row>
    <row r="68">
      <c r="A68" s="284" t="s">
        <v>526</v>
      </c>
      <c r="B68" s="285" t="s">
        <v>491</v>
      </c>
      <c r="C68" s="286">
        <v>0.0</v>
      </c>
      <c r="D68" s="286" t="s">
        <v>461</v>
      </c>
      <c r="E68" s="286">
        <v>0.0</v>
      </c>
      <c r="F68" s="286" t="s">
        <v>450</v>
      </c>
      <c r="G68" s="280"/>
      <c r="H68" s="280"/>
      <c r="I68" s="280"/>
      <c r="J68" s="280"/>
      <c r="K68" s="280"/>
      <c r="L68" s="280"/>
      <c r="M68" s="280"/>
      <c r="N68" s="280"/>
      <c r="O68" s="280"/>
      <c r="P68" s="280"/>
      <c r="Q68" s="280"/>
      <c r="R68" s="280"/>
      <c r="S68" s="280"/>
      <c r="T68" s="280"/>
      <c r="U68" s="280"/>
      <c r="V68" s="280"/>
      <c r="W68" s="280"/>
      <c r="X68" s="280"/>
      <c r="Y68" s="280"/>
      <c r="Z68" s="280"/>
    </row>
    <row r="69">
      <c r="A69" s="284" t="s">
        <v>527</v>
      </c>
      <c r="B69" s="285" t="s">
        <v>491</v>
      </c>
      <c r="C69" s="286">
        <v>0.0</v>
      </c>
      <c r="D69" s="286" t="s">
        <v>454</v>
      </c>
      <c r="E69" s="286">
        <v>0.0</v>
      </c>
      <c r="F69" s="286" t="s">
        <v>450</v>
      </c>
      <c r="G69" s="280"/>
      <c r="H69" s="280"/>
      <c r="I69" s="280"/>
      <c r="J69" s="280"/>
      <c r="K69" s="280"/>
      <c r="L69" s="280"/>
      <c r="M69" s="280"/>
      <c r="N69" s="280"/>
      <c r="O69" s="280"/>
      <c r="P69" s="280"/>
      <c r="Q69" s="280"/>
      <c r="R69" s="280"/>
      <c r="S69" s="280"/>
      <c r="T69" s="280"/>
      <c r="U69" s="280"/>
      <c r="V69" s="280"/>
      <c r="W69" s="280"/>
      <c r="X69" s="280"/>
      <c r="Y69" s="280"/>
      <c r="Z69" s="280"/>
    </row>
    <row r="70">
      <c r="A70" s="284" t="s">
        <v>528</v>
      </c>
      <c r="B70" s="285" t="s">
        <v>491</v>
      </c>
      <c r="C70" s="286">
        <v>0.0</v>
      </c>
      <c r="D70" s="286" t="s">
        <v>461</v>
      </c>
      <c r="E70" s="286">
        <v>0.0</v>
      </c>
      <c r="F70" s="286" t="s">
        <v>450</v>
      </c>
      <c r="G70" s="280"/>
      <c r="H70" s="280"/>
      <c r="I70" s="280"/>
      <c r="J70" s="280"/>
      <c r="K70" s="280"/>
      <c r="L70" s="280"/>
      <c r="M70" s="280"/>
      <c r="N70" s="280"/>
      <c r="O70" s="280"/>
      <c r="P70" s="280"/>
      <c r="Q70" s="280"/>
      <c r="R70" s="280"/>
      <c r="S70" s="280"/>
      <c r="T70" s="280"/>
      <c r="U70" s="280"/>
      <c r="V70" s="280"/>
      <c r="W70" s="280"/>
      <c r="X70" s="280"/>
      <c r="Y70" s="280"/>
      <c r="Z70" s="280"/>
    </row>
    <row r="71">
      <c r="A71" s="284" t="s">
        <v>529</v>
      </c>
      <c r="B71" s="285" t="s">
        <v>491</v>
      </c>
      <c r="C71" s="286" t="s">
        <v>450</v>
      </c>
      <c r="D71" s="286" t="s">
        <v>516</v>
      </c>
      <c r="E71" s="286">
        <v>0.0</v>
      </c>
      <c r="F71" s="286" t="s">
        <v>450</v>
      </c>
      <c r="G71" s="280"/>
      <c r="H71" s="280"/>
      <c r="I71" s="280"/>
      <c r="J71" s="280"/>
      <c r="K71" s="280"/>
      <c r="L71" s="280"/>
      <c r="M71" s="280"/>
      <c r="N71" s="280"/>
      <c r="O71" s="280"/>
      <c r="P71" s="280"/>
      <c r="Q71" s="280"/>
      <c r="R71" s="280"/>
      <c r="S71" s="280"/>
      <c r="T71" s="280"/>
      <c r="U71" s="280"/>
      <c r="V71" s="280"/>
      <c r="W71" s="280"/>
      <c r="X71" s="280"/>
      <c r="Y71" s="280"/>
      <c r="Z71" s="280"/>
    </row>
    <row r="72">
      <c r="A72" s="284" t="s">
        <v>530</v>
      </c>
      <c r="B72" s="285" t="s">
        <v>230</v>
      </c>
      <c r="C72" s="286" t="s">
        <v>450</v>
      </c>
      <c r="D72" s="286" t="s">
        <v>454</v>
      </c>
      <c r="E72" s="286">
        <v>0.0</v>
      </c>
      <c r="F72" s="286" t="s">
        <v>461</v>
      </c>
      <c r="G72" s="280"/>
      <c r="H72" s="280"/>
      <c r="I72" s="280"/>
      <c r="J72" s="280"/>
      <c r="K72" s="280"/>
      <c r="L72" s="280"/>
      <c r="M72" s="280"/>
      <c r="N72" s="280"/>
      <c r="O72" s="280"/>
      <c r="P72" s="280"/>
      <c r="Q72" s="280"/>
      <c r="R72" s="280"/>
      <c r="S72" s="280"/>
      <c r="T72" s="280"/>
      <c r="U72" s="280"/>
      <c r="V72" s="280"/>
      <c r="W72" s="280"/>
      <c r="X72" s="280"/>
      <c r="Y72" s="280"/>
      <c r="Z72" s="280"/>
    </row>
    <row r="73">
      <c r="A73" s="284" t="s">
        <v>531</v>
      </c>
      <c r="B73" s="285" t="s">
        <v>230</v>
      </c>
      <c r="C73" s="286">
        <v>0.0</v>
      </c>
      <c r="D73" s="286" t="s">
        <v>450</v>
      </c>
      <c r="E73" s="286">
        <v>0.0</v>
      </c>
      <c r="F73" s="286" t="s">
        <v>450</v>
      </c>
      <c r="G73" s="280"/>
      <c r="H73" s="280"/>
      <c r="I73" s="280"/>
      <c r="J73" s="280"/>
      <c r="K73" s="280"/>
      <c r="L73" s="280"/>
      <c r="M73" s="280"/>
      <c r="N73" s="280"/>
      <c r="O73" s="280"/>
      <c r="P73" s="280"/>
      <c r="Q73" s="280"/>
      <c r="R73" s="280"/>
      <c r="S73" s="280"/>
      <c r="T73" s="280"/>
      <c r="U73" s="280"/>
      <c r="V73" s="280"/>
      <c r="W73" s="280"/>
      <c r="X73" s="280"/>
      <c r="Y73" s="280"/>
      <c r="Z73" s="280"/>
    </row>
    <row r="74">
      <c r="A74" s="284" t="s">
        <v>532</v>
      </c>
      <c r="B74" s="285" t="s">
        <v>230</v>
      </c>
      <c r="C74" s="286">
        <v>0.0</v>
      </c>
      <c r="D74" s="286" t="s">
        <v>461</v>
      </c>
      <c r="E74" s="286" t="s">
        <v>450</v>
      </c>
      <c r="F74" s="286" t="s">
        <v>461</v>
      </c>
      <c r="G74" s="280"/>
      <c r="H74" s="280"/>
      <c r="I74" s="280"/>
      <c r="J74" s="280"/>
      <c r="K74" s="280"/>
      <c r="L74" s="280"/>
      <c r="M74" s="280"/>
      <c r="N74" s="280"/>
      <c r="O74" s="280"/>
      <c r="P74" s="280"/>
      <c r="Q74" s="280"/>
      <c r="R74" s="280"/>
      <c r="S74" s="280"/>
      <c r="T74" s="280"/>
      <c r="U74" s="280"/>
      <c r="V74" s="280"/>
      <c r="W74" s="280"/>
      <c r="X74" s="280"/>
      <c r="Y74" s="280"/>
      <c r="Z74" s="280"/>
    </row>
    <row r="75">
      <c r="A75" s="284" t="s">
        <v>533</v>
      </c>
      <c r="B75" s="285" t="s">
        <v>230</v>
      </c>
      <c r="C75" s="286">
        <v>0.0</v>
      </c>
      <c r="D75" s="286" t="s">
        <v>460</v>
      </c>
      <c r="E75" s="286">
        <v>0.0</v>
      </c>
      <c r="F75" s="286" t="s">
        <v>461</v>
      </c>
      <c r="G75" s="280"/>
      <c r="H75" s="280"/>
      <c r="I75" s="280"/>
      <c r="J75" s="280"/>
      <c r="K75" s="280"/>
      <c r="L75" s="280"/>
      <c r="M75" s="280"/>
      <c r="N75" s="280"/>
      <c r="O75" s="280"/>
      <c r="P75" s="280"/>
      <c r="Q75" s="280"/>
      <c r="R75" s="280"/>
      <c r="S75" s="280"/>
      <c r="T75" s="280"/>
      <c r="U75" s="280"/>
      <c r="V75" s="280"/>
      <c r="W75" s="280"/>
      <c r="X75" s="280"/>
      <c r="Y75" s="280"/>
      <c r="Z75" s="280"/>
    </row>
    <row r="76">
      <c r="A76" s="284" t="s">
        <v>534</v>
      </c>
      <c r="B76" s="285" t="s">
        <v>230</v>
      </c>
      <c r="C76" s="286">
        <v>0.0</v>
      </c>
      <c r="D76" s="286" t="s">
        <v>450</v>
      </c>
      <c r="E76" s="286">
        <v>0.0</v>
      </c>
      <c r="F76" s="286" t="s">
        <v>450</v>
      </c>
      <c r="G76" s="280"/>
      <c r="H76" s="280"/>
      <c r="I76" s="280"/>
      <c r="J76" s="280"/>
      <c r="K76" s="280"/>
      <c r="L76" s="280"/>
      <c r="M76" s="280"/>
      <c r="N76" s="280"/>
      <c r="O76" s="280"/>
      <c r="P76" s="280"/>
      <c r="Q76" s="280"/>
      <c r="R76" s="280"/>
      <c r="S76" s="280"/>
      <c r="T76" s="280"/>
      <c r="U76" s="280"/>
      <c r="V76" s="280"/>
      <c r="W76" s="280"/>
      <c r="X76" s="280"/>
      <c r="Y76" s="280"/>
      <c r="Z76" s="280"/>
    </row>
    <row r="77">
      <c r="A77" s="284" t="s">
        <v>535</v>
      </c>
      <c r="B77" s="285" t="s">
        <v>230</v>
      </c>
      <c r="C77" s="286" t="s">
        <v>450</v>
      </c>
      <c r="D77" s="286" t="s">
        <v>461</v>
      </c>
      <c r="E77" s="286">
        <v>0.0</v>
      </c>
      <c r="F77" s="286" t="s">
        <v>450</v>
      </c>
      <c r="G77" s="280"/>
      <c r="H77" s="280"/>
      <c r="I77" s="280"/>
      <c r="J77" s="280"/>
      <c r="K77" s="280"/>
      <c r="L77" s="280"/>
      <c r="M77" s="280"/>
      <c r="N77" s="280"/>
      <c r="O77" s="280"/>
      <c r="P77" s="280"/>
      <c r="Q77" s="280"/>
      <c r="R77" s="280"/>
      <c r="S77" s="280"/>
      <c r="T77" s="280"/>
      <c r="U77" s="280"/>
      <c r="V77" s="280"/>
      <c r="W77" s="280"/>
      <c r="X77" s="280"/>
      <c r="Y77" s="280"/>
      <c r="Z77" s="280"/>
    </row>
    <row r="78">
      <c r="A78" s="284" t="s">
        <v>536</v>
      </c>
      <c r="B78" s="285" t="s">
        <v>230</v>
      </c>
      <c r="C78" s="286" t="s">
        <v>450</v>
      </c>
      <c r="D78" s="286" t="s">
        <v>454</v>
      </c>
      <c r="E78" s="286">
        <v>0.0</v>
      </c>
      <c r="F78" s="286" t="s">
        <v>450</v>
      </c>
      <c r="G78" s="280"/>
      <c r="H78" s="280"/>
      <c r="I78" s="280"/>
      <c r="J78" s="280"/>
      <c r="K78" s="280"/>
      <c r="L78" s="280"/>
      <c r="M78" s="280"/>
      <c r="N78" s="280"/>
      <c r="O78" s="280"/>
      <c r="P78" s="280"/>
      <c r="Q78" s="280"/>
      <c r="R78" s="280"/>
      <c r="S78" s="280"/>
      <c r="T78" s="280"/>
      <c r="U78" s="280"/>
      <c r="V78" s="280"/>
      <c r="W78" s="280"/>
      <c r="X78" s="280"/>
      <c r="Y78" s="280"/>
      <c r="Z78" s="280"/>
    </row>
    <row r="79">
      <c r="A79" s="284" t="s">
        <v>537</v>
      </c>
      <c r="B79" s="285" t="s">
        <v>538</v>
      </c>
      <c r="C79" s="286">
        <v>0.0</v>
      </c>
      <c r="D79" s="286" t="s">
        <v>450</v>
      </c>
      <c r="E79" s="286">
        <v>0.0</v>
      </c>
      <c r="F79" s="286" t="s">
        <v>450</v>
      </c>
      <c r="G79" s="280"/>
      <c r="H79" s="280"/>
      <c r="I79" s="280"/>
      <c r="J79" s="280"/>
      <c r="K79" s="280"/>
      <c r="L79" s="280"/>
      <c r="M79" s="280"/>
      <c r="N79" s="280"/>
      <c r="O79" s="280"/>
      <c r="P79" s="280"/>
      <c r="Q79" s="280"/>
      <c r="R79" s="280"/>
      <c r="S79" s="280"/>
      <c r="T79" s="280"/>
      <c r="U79" s="280"/>
      <c r="V79" s="280"/>
      <c r="W79" s="280"/>
      <c r="X79" s="280"/>
      <c r="Y79" s="280"/>
      <c r="Z79" s="280"/>
    </row>
    <row r="80">
      <c r="A80" s="284" t="s">
        <v>539</v>
      </c>
      <c r="B80" s="285" t="s">
        <v>540</v>
      </c>
      <c r="C80" s="286" t="s">
        <v>450</v>
      </c>
      <c r="D80" s="286" t="s">
        <v>450</v>
      </c>
      <c r="E80" s="286">
        <v>0.0</v>
      </c>
      <c r="F80" s="286" t="s">
        <v>461</v>
      </c>
      <c r="G80" s="280"/>
      <c r="H80" s="280"/>
      <c r="I80" s="280"/>
      <c r="J80" s="280"/>
      <c r="K80" s="280"/>
      <c r="L80" s="280"/>
      <c r="M80" s="280"/>
      <c r="N80" s="280"/>
      <c r="O80" s="280"/>
      <c r="P80" s="280"/>
      <c r="Q80" s="280"/>
      <c r="R80" s="280"/>
      <c r="S80" s="280"/>
      <c r="T80" s="280"/>
      <c r="U80" s="280"/>
      <c r="V80" s="280"/>
      <c r="W80" s="280"/>
      <c r="X80" s="280"/>
      <c r="Y80" s="280"/>
      <c r="Z80" s="280"/>
    </row>
    <row r="81">
      <c r="A81" s="284" t="s">
        <v>541</v>
      </c>
      <c r="B81" s="285" t="s">
        <v>540</v>
      </c>
      <c r="C81" s="286">
        <v>0.0</v>
      </c>
      <c r="D81" s="286" t="s">
        <v>450</v>
      </c>
      <c r="E81" s="286">
        <v>0.0</v>
      </c>
      <c r="F81" s="286">
        <v>0.0</v>
      </c>
      <c r="G81" s="280"/>
      <c r="H81" s="280"/>
      <c r="I81" s="280"/>
      <c r="J81" s="280"/>
      <c r="K81" s="280"/>
      <c r="L81" s="280"/>
      <c r="M81" s="280"/>
      <c r="N81" s="280"/>
      <c r="O81" s="280"/>
      <c r="P81" s="280"/>
      <c r="Q81" s="280"/>
      <c r="R81" s="280"/>
      <c r="S81" s="280"/>
      <c r="T81" s="280"/>
      <c r="U81" s="280"/>
      <c r="V81" s="280"/>
      <c r="W81" s="280"/>
      <c r="X81" s="280"/>
      <c r="Y81" s="280"/>
      <c r="Z81" s="280"/>
    </row>
    <row r="82">
      <c r="A82" s="284" t="s">
        <v>542</v>
      </c>
      <c r="B82" s="285" t="s">
        <v>540</v>
      </c>
      <c r="C82" s="286">
        <v>0.0</v>
      </c>
      <c r="D82" s="286" t="s">
        <v>458</v>
      </c>
      <c r="E82" s="286">
        <v>0.0</v>
      </c>
      <c r="F82" s="286" t="s">
        <v>461</v>
      </c>
      <c r="G82" s="280"/>
      <c r="H82" s="280"/>
      <c r="I82" s="280"/>
      <c r="J82" s="280"/>
      <c r="K82" s="280"/>
      <c r="L82" s="280"/>
      <c r="M82" s="280"/>
      <c r="N82" s="280"/>
      <c r="O82" s="280"/>
      <c r="P82" s="280"/>
      <c r="Q82" s="280"/>
      <c r="R82" s="280"/>
      <c r="S82" s="280"/>
      <c r="T82" s="280"/>
      <c r="U82" s="280"/>
      <c r="V82" s="280"/>
      <c r="W82" s="280"/>
      <c r="X82" s="280"/>
      <c r="Y82" s="280"/>
      <c r="Z82" s="280"/>
    </row>
    <row r="83">
      <c r="A83" s="284" t="s">
        <v>543</v>
      </c>
      <c r="B83" s="285" t="s">
        <v>540</v>
      </c>
      <c r="C83" s="286" t="s">
        <v>450</v>
      </c>
      <c r="D83" s="286" t="s">
        <v>458</v>
      </c>
      <c r="E83" s="286">
        <v>0.0</v>
      </c>
      <c r="F83" s="286" t="s">
        <v>454</v>
      </c>
      <c r="G83" s="280"/>
      <c r="H83" s="280"/>
      <c r="I83" s="280"/>
      <c r="J83" s="280"/>
      <c r="K83" s="280"/>
      <c r="L83" s="280"/>
      <c r="M83" s="280"/>
      <c r="N83" s="280"/>
      <c r="O83" s="280"/>
      <c r="P83" s="280"/>
      <c r="Q83" s="280"/>
      <c r="R83" s="280"/>
      <c r="S83" s="280"/>
      <c r="T83" s="280"/>
      <c r="U83" s="280"/>
      <c r="V83" s="280"/>
      <c r="W83" s="280"/>
      <c r="X83" s="280"/>
      <c r="Y83" s="280"/>
      <c r="Z83" s="280"/>
    </row>
    <row r="84">
      <c r="A84" s="284" t="s">
        <v>544</v>
      </c>
      <c r="B84" s="285" t="s">
        <v>540</v>
      </c>
      <c r="C84" s="286">
        <v>0.0</v>
      </c>
      <c r="D84" s="286" t="s">
        <v>454</v>
      </c>
      <c r="E84" s="286">
        <v>0.0</v>
      </c>
      <c r="F84" s="286" t="s">
        <v>450</v>
      </c>
      <c r="G84" s="280"/>
      <c r="H84" s="280"/>
      <c r="I84" s="280"/>
      <c r="J84" s="280"/>
      <c r="K84" s="280"/>
      <c r="L84" s="280"/>
      <c r="M84" s="280"/>
      <c r="N84" s="280"/>
      <c r="O84" s="280"/>
      <c r="P84" s="280"/>
      <c r="Q84" s="280"/>
      <c r="R84" s="280"/>
      <c r="S84" s="280"/>
      <c r="T84" s="280"/>
      <c r="U84" s="280"/>
      <c r="V84" s="280"/>
      <c r="W84" s="280"/>
      <c r="X84" s="280"/>
      <c r="Y84" s="280"/>
      <c r="Z84" s="280"/>
    </row>
    <row r="85">
      <c r="A85" s="284" t="s">
        <v>545</v>
      </c>
      <c r="B85" s="285" t="s">
        <v>540</v>
      </c>
      <c r="C85" s="286" t="s">
        <v>450</v>
      </c>
      <c r="D85" s="286" t="s">
        <v>461</v>
      </c>
      <c r="E85" s="286">
        <v>0.0</v>
      </c>
      <c r="F85" s="286" t="s">
        <v>461</v>
      </c>
      <c r="G85" s="280"/>
      <c r="H85" s="280"/>
      <c r="I85" s="280"/>
      <c r="J85" s="280"/>
      <c r="K85" s="280"/>
      <c r="L85" s="280"/>
      <c r="M85" s="280"/>
      <c r="N85" s="280"/>
      <c r="O85" s="280"/>
      <c r="P85" s="280"/>
      <c r="Q85" s="280"/>
      <c r="R85" s="280"/>
      <c r="S85" s="280"/>
      <c r="T85" s="280"/>
      <c r="U85" s="280"/>
      <c r="V85" s="280"/>
      <c r="W85" s="280"/>
      <c r="X85" s="280"/>
      <c r="Y85" s="280"/>
      <c r="Z85" s="280"/>
    </row>
    <row r="86">
      <c r="A86" s="284" t="s">
        <v>546</v>
      </c>
      <c r="B86" s="285" t="s">
        <v>540</v>
      </c>
      <c r="C86" s="286">
        <v>0.0</v>
      </c>
      <c r="D86" s="286">
        <v>0.0</v>
      </c>
      <c r="E86" s="286">
        <v>0.0</v>
      </c>
      <c r="F86" s="286" t="s">
        <v>450</v>
      </c>
      <c r="G86" s="280"/>
      <c r="H86" s="280"/>
      <c r="I86" s="280"/>
      <c r="J86" s="280"/>
      <c r="K86" s="280"/>
      <c r="L86" s="280"/>
      <c r="M86" s="280"/>
      <c r="N86" s="280"/>
      <c r="O86" s="280"/>
      <c r="P86" s="280"/>
      <c r="Q86" s="280"/>
      <c r="R86" s="280"/>
      <c r="S86" s="280"/>
      <c r="T86" s="280"/>
      <c r="U86" s="280"/>
      <c r="V86" s="280"/>
      <c r="W86" s="280"/>
      <c r="X86" s="280"/>
      <c r="Y86" s="280"/>
      <c r="Z86" s="280"/>
    </row>
    <row r="87">
      <c r="A87" s="284" t="s">
        <v>547</v>
      </c>
      <c r="B87" s="285" t="s">
        <v>540</v>
      </c>
      <c r="C87" s="286">
        <v>0.0</v>
      </c>
      <c r="D87" s="286" t="s">
        <v>461</v>
      </c>
      <c r="E87" s="286">
        <v>0.0</v>
      </c>
      <c r="F87" s="286" t="s">
        <v>450</v>
      </c>
      <c r="G87" s="280"/>
      <c r="H87" s="280"/>
      <c r="I87" s="280"/>
      <c r="J87" s="280"/>
      <c r="K87" s="280"/>
      <c r="L87" s="280"/>
      <c r="M87" s="280"/>
      <c r="N87" s="280"/>
      <c r="O87" s="280"/>
      <c r="P87" s="280"/>
      <c r="Q87" s="280"/>
      <c r="R87" s="280"/>
      <c r="S87" s="280"/>
      <c r="T87" s="280"/>
      <c r="U87" s="280"/>
      <c r="V87" s="280"/>
      <c r="W87" s="280"/>
      <c r="X87" s="280"/>
      <c r="Y87" s="280"/>
      <c r="Z87" s="280"/>
    </row>
    <row r="88">
      <c r="A88" s="284" t="s">
        <v>548</v>
      </c>
      <c r="B88" s="285" t="s">
        <v>232</v>
      </c>
      <c r="C88" s="286" t="s">
        <v>450</v>
      </c>
      <c r="D88" s="286" t="s">
        <v>494</v>
      </c>
      <c r="E88" s="286">
        <v>0.0</v>
      </c>
      <c r="F88" s="286" t="s">
        <v>454</v>
      </c>
      <c r="G88" s="280"/>
      <c r="H88" s="280"/>
      <c r="I88" s="280"/>
      <c r="J88" s="280"/>
      <c r="K88" s="280"/>
      <c r="L88" s="280"/>
      <c r="M88" s="280"/>
      <c r="N88" s="280"/>
      <c r="O88" s="280"/>
      <c r="P88" s="280"/>
      <c r="Q88" s="280"/>
      <c r="R88" s="280"/>
      <c r="S88" s="280"/>
      <c r="T88" s="280"/>
      <c r="U88" s="280"/>
      <c r="V88" s="280"/>
      <c r="W88" s="280"/>
      <c r="X88" s="280"/>
      <c r="Y88" s="280"/>
      <c r="Z88" s="280"/>
    </row>
    <row r="89">
      <c r="A89" s="284" t="s">
        <v>549</v>
      </c>
      <c r="B89" s="285" t="s">
        <v>232</v>
      </c>
      <c r="C89" s="286">
        <v>0.0</v>
      </c>
      <c r="D89" s="286" t="s">
        <v>461</v>
      </c>
      <c r="E89" s="286">
        <v>0.0</v>
      </c>
      <c r="F89" s="286" t="s">
        <v>450</v>
      </c>
      <c r="G89" s="280"/>
      <c r="H89" s="280"/>
      <c r="I89" s="280"/>
      <c r="J89" s="280"/>
      <c r="K89" s="280"/>
      <c r="L89" s="280"/>
      <c r="M89" s="280"/>
      <c r="N89" s="280"/>
      <c r="O89" s="280"/>
      <c r="P89" s="280"/>
      <c r="Q89" s="280"/>
      <c r="R89" s="280"/>
      <c r="S89" s="280"/>
      <c r="T89" s="280"/>
      <c r="U89" s="280"/>
      <c r="V89" s="280"/>
      <c r="W89" s="280"/>
      <c r="X89" s="280"/>
      <c r="Y89" s="280"/>
      <c r="Z89" s="280"/>
    </row>
    <row r="90">
      <c r="A90" s="284" t="s">
        <v>550</v>
      </c>
      <c r="B90" s="285" t="s">
        <v>232</v>
      </c>
      <c r="C90" s="286" t="s">
        <v>450</v>
      </c>
      <c r="D90" s="286" t="s">
        <v>551</v>
      </c>
      <c r="E90" s="286">
        <v>0.0</v>
      </c>
      <c r="F90" s="286" t="s">
        <v>454</v>
      </c>
      <c r="G90" s="280"/>
      <c r="H90" s="280"/>
      <c r="I90" s="280"/>
      <c r="J90" s="280"/>
      <c r="K90" s="280"/>
      <c r="L90" s="280"/>
      <c r="M90" s="280"/>
      <c r="N90" s="280"/>
      <c r="O90" s="280"/>
      <c r="P90" s="280"/>
      <c r="Q90" s="280"/>
      <c r="R90" s="280"/>
      <c r="S90" s="280"/>
      <c r="T90" s="280"/>
      <c r="U90" s="280"/>
      <c r="V90" s="280"/>
      <c r="W90" s="280"/>
      <c r="X90" s="280"/>
      <c r="Y90" s="280"/>
      <c r="Z90" s="280"/>
    </row>
    <row r="91">
      <c r="A91" s="284" t="s">
        <v>552</v>
      </c>
      <c r="B91" s="285" t="s">
        <v>232</v>
      </c>
      <c r="C91" s="286">
        <v>0.0</v>
      </c>
      <c r="D91" s="286" t="s">
        <v>454</v>
      </c>
      <c r="E91" s="286">
        <v>0.0</v>
      </c>
      <c r="F91" s="286" t="s">
        <v>461</v>
      </c>
      <c r="G91" s="280"/>
      <c r="H91" s="280"/>
      <c r="I91" s="280"/>
      <c r="J91" s="280"/>
      <c r="K91" s="280"/>
      <c r="L91" s="280"/>
      <c r="M91" s="280"/>
      <c r="N91" s="280"/>
      <c r="O91" s="280"/>
      <c r="P91" s="280"/>
      <c r="Q91" s="280"/>
      <c r="R91" s="280"/>
      <c r="S91" s="280"/>
      <c r="T91" s="280"/>
      <c r="U91" s="280"/>
      <c r="V91" s="280"/>
      <c r="W91" s="280"/>
      <c r="X91" s="280"/>
      <c r="Y91" s="280"/>
      <c r="Z91" s="280"/>
    </row>
    <row r="92">
      <c r="A92" s="284" t="s">
        <v>553</v>
      </c>
      <c r="B92" s="285" t="s">
        <v>232</v>
      </c>
      <c r="C92" s="286">
        <v>0.0</v>
      </c>
      <c r="D92" s="286">
        <v>0.0</v>
      </c>
      <c r="E92" s="286">
        <v>0.0</v>
      </c>
      <c r="F92" s="286" t="s">
        <v>450</v>
      </c>
      <c r="G92" s="280"/>
      <c r="H92" s="280"/>
      <c r="I92" s="280"/>
      <c r="J92" s="280"/>
      <c r="K92" s="280"/>
      <c r="L92" s="280"/>
      <c r="M92" s="280"/>
      <c r="N92" s="280"/>
      <c r="O92" s="280"/>
      <c r="P92" s="280"/>
      <c r="Q92" s="280"/>
      <c r="R92" s="280"/>
      <c r="S92" s="280"/>
      <c r="T92" s="280"/>
      <c r="U92" s="280"/>
      <c r="V92" s="280"/>
      <c r="W92" s="280"/>
      <c r="X92" s="280"/>
      <c r="Y92" s="280"/>
      <c r="Z92" s="280"/>
    </row>
    <row r="93">
      <c r="A93" s="284" t="s">
        <v>554</v>
      </c>
      <c r="B93" s="285" t="s">
        <v>232</v>
      </c>
      <c r="C93" s="286" t="s">
        <v>450</v>
      </c>
      <c r="D93" s="286" t="s">
        <v>454</v>
      </c>
      <c r="E93" s="286">
        <v>0.0</v>
      </c>
      <c r="F93" s="286" t="s">
        <v>461</v>
      </c>
      <c r="G93" s="280"/>
      <c r="H93" s="280"/>
      <c r="I93" s="280"/>
      <c r="J93" s="280"/>
      <c r="K93" s="280"/>
      <c r="L93" s="280"/>
      <c r="M93" s="280"/>
      <c r="N93" s="280"/>
      <c r="O93" s="280"/>
      <c r="P93" s="280"/>
      <c r="Q93" s="280"/>
      <c r="R93" s="280"/>
      <c r="S93" s="280"/>
      <c r="T93" s="280"/>
      <c r="U93" s="280"/>
      <c r="V93" s="280"/>
      <c r="W93" s="280"/>
      <c r="X93" s="280"/>
      <c r="Y93" s="280"/>
      <c r="Z93" s="280"/>
    </row>
    <row r="94">
      <c r="A94" s="284" t="s">
        <v>555</v>
      </c>
      <c r="B94" s="285" t="s">
        <v>232</v>
      </c>
      <c r="C94" s="286" t="s">
        <v>450</v>
      </c>
      <c r="D94" s="286" t="s">
        <v>460</v>
      </c>
      <c r="E94" s="286">
        <v>0.0</v>
      </c>
      <c r="F94" s="286" t="s">
        <v>461</v>
      </c>
      <c r="G94" s="280"/>
      <c r="H94" s="280"/>
      <c r="I94" s="280"/>
      <c r="J94" s="280"/>
      <c r="K94" s="280"/>
      <c r="L94" s="280"/>
      <c r="M94" s="280"/>
      <c r="N94" s="280"/>
      <c r="O94" s="280"/>
      <c r="P94" s="280"/>
      <c r="Q94" s="280"/>
      <c r="R94" s="280"/>
      <c r="S94" s="280"/>
      <c r="T94" s="280"/>
      <c r="U94" s="280"/>
      <c r="V94" s="280"/>
      <c r="W94" s="280"/>
      <c r="X94" s="280"/>
      <c r="Y94" s="280"/>
      <c r="Z94" s="280"/>
    </row>
    <row r="95">
      <c r="A95" s="284" t="s">
        <v>556</v>
      </c>
      <c r="B95" s="285" t="s">
        <v>232</v>
      </c>
      <c r="C95" s="286">
        <v>0.0</v>
      </c>
      <c r="D95" s="286" t="s">
        <v>454</v>
      </c>
      <c r="E95" s="286">
        <v>0.0</v>
      </c>
      <c r="F95" s="286" t="s">
        <v>450</v>
      </c>
      <c r="G95" s="280"/>
      <c r="H95" s="280"/>
      <c r="I95" s="280"/>
      <c r="J95" s="280"/>
      <c r="K95" s="280"/>
      <c r="L95" s="280"/>
      <c r="M95" s="280"/>
      <c r="N95" s="280"/>
      <c r="O95" s="280"/>
      <c r="P95" s="280"/>
      <c r="Q95" s="280"/>
      <c r="R95" s="280"/>
      <c r="S95" s="280"/>
      <c r="T95" s="280"/>
      <c r="U95" s="280"/>
      <c r="V95" s="280"/>
      <c r="W95" s="280"/>
      <c r="X95" s="280"/>
      <c r="Y95" s="280"/>
      <c r="Z95" s="280"/>
    </row>
    <row r="96">
      <c r="A96" s="284" t="s">
        <v>557</v>
      </c>
      <c r="B96" s="285" t="s">
        <v>233</v>
      </c>
      <c r="C96" s="286">
        <v>0.0</v>
      </c>
      <c r="D96" s="286">
        <v>0.0</v>
      </c>
      <c r="E96" s="286">
        <v>0.0</v>
      </c>
      <c r="F96" s="286" t="s">
        <v>450</v>
      </c>
      <c r="G96" s="280"/>
      <c r="H96" s="280"/>
      <c r="I96" s="280"/>
      <c r="J96" s="280"/>
      <c r="K96" s="280"/>
      <c r="L96" s="280"/>
      <c r="M96" s="280"/>
      <c r="N96" s="280"/>
      <c r="O96" s="280"/>
      <c r="P96" s="280"/>
      <c r="Q96" s="280"/>
      <c r="R96" s="280"/>
      <c r="S96" s="280"/>
      <c r="T96" s="280"/>
      <c r="U96" s="280"/>
      <c r="V96" s="280"/>
      <c r="W96" s="280"/>
      <c r="X96" s="280"/>
      <c r="Y96" s="280"/>
      <c r="Z96" s="280"/>
    </row>
    <row r="97">
      <c r="A97" s="284" t="s">
        <v>558</v>
      </c>
      <c r="B97" s="285" t="s">
        <v>233</v>
      </c>
      <c r="C97" s="286">
        <v>0.0</v>
      </c>
      <c r="D97" s="286" t="s">
        <v>450</v>
      </c>
      <c r="E97" s="286">
        <v>0.0</v>
      </c>
      <c r="F97" s="286" t="s">
        <v>450</v>
      </c>
      <c r="G97" s="280"/>
      <c r="H97" s="280"/>
      <c r="I97" s="280"/>
      <c r="J97" s="280"/>
      <c r="K97" s="280"/>
      <c r="L97" s="280"/>
      <c r="M97" s="280"/>
      <c r="N97" s="280"/>
      <c r="O97" s="280"/>
      <c r="P97" s="280"/>
      <c r="Q97" s="280"/>
      <c r="R97" s="280"/>
      <c r="S97" s="280"/>
      <c r="T97" s="280"/>
      <c r="U97" s="280"/>
      <c r="V97" s="280"/>
      <c r="W97" s="280"/>
      <c r="X97" s="280"/>
      <c r="Y97" s="280"/>
      <c r="Z97" s="280"/>
    </row>
    <row r="98">
      <c r="A98" s="284" t="s">
        <v>559</v>
      </c>
      <c r="B98" s="285" t="s">
        <v>233</v>
      </c>
      <c r="C98" s="286">
        <v>0.0</v>
      </c>
      <c r="D98" s="286" t="s">
        <v>450</v>
      </c>
      <c r="E98" s="286">
        <v>0.0</v>
      </c>
      <c r="F98" s="286" t="s">
        <v>450</v>
      </c>
      <c r="G98" s="280"/>
      <c r="H98" s="280"/>
      <c r="I98" s="280"/>
      <c r="J98" s="280"/>
      <c r="K98" s="280"/>
      <c r="L98" s="280"/>
      <c r="M98" s="280"/>
      <c r="N98" s="280"/>
      <c r="O98" s="280"/>
      <c r="P98" s="280"/>
      <c r="Q98" s="280"/>
      <c r="R98" s="280"/>
      <c r="S98" s="280"/>
      <c r="T98" s="280"/>
      <c r="U98" s="280"/>
      <c r="V98" s="280"/>
      <c r="W98" s="280"/>
      <c r="X98" s="280"/>
      <c r="Y98" s="280"/>
      <c r="Z98" s="280"/>
    </row>
    <row r="99">
      <c r="A99" s="284" t="s">
        <v>560</v>
      </c>
      <c r="B99" s="285" t="s">
        <v>233</v>
      </c>
      <c r="C99" s="286" t="s">
        <v>450</v>
      </c>
      <c r="D99" s="286" t="s">
        <v>516</v>
      </c>
      <c r="E99" s="286">
        <v>0.0</v>
      </c>
      <c r="F99" s="286" t="s">
        <v>454</v>
      </c>
      <c r="G99" s="280"/>
      <c r="H99" s="280"/>
      <c r="I99" s="280"/>
      <c r="J99" s="280"/>
      <c r="K99" s="280"/>
      <c r="L99" s="280"/>
      <c r="M99" s="280"/>
      <c r="N99" s="280"/>
      <c r="O99" s="280"/>
      <c r="P99" s="280"/>
      <c r="Q99" s="280"/>
      <c r="R99" s="280"/>
      <c r="S99" s="280"/>
      <c r="T99" s="280"/>
      <c r="U99" s="280"/>
      <c r="V99" s="280"/>
      <c r="W99" s="280"/>
      <c r="X99" s="280"/>
      <c r="Y99" s="280"/>
      <c r="Z99" s="280"/>
    </row>
    <row r="100">
      <c r="A100" s="284" t="s">
        <v>561</v>
      </c>
      <c r="B100" s="285" t="s">
        <v>233</v>
      </c>
      <c r="C100" s="286" t="s">
        <v>450</v>
      </c>
      <c r="D100" s="286" t="s">
        <v>482</v>
      </c>
      <c r="E100" s="286">
        <v>0.0</v>
      </c>
      <c r="F100" s="286" t="s">
        <v>454</v>
      </c>
      <c r="G100" s="280"/>
      <c r="H100" s="280"/>
      <c r="I100" s="280"/>
      <c r="J100" s="280"/>
      <c r="K100" s="280"/>
      <c r="L100" s="280"/>
      <c r="M100" s="280"/>
      <c r="N100" s="280"/>
      <c r="O100" s="280"/>
      <c r="P100" s="280"/>
      <c r="Q100" s="280"/>
      <c r="R100" s="280"/>
      <c r="S100" s="280"/>
      <c r="T100" s="280"/>
      <c r="U100" s="280"/>
      <c r="V100" s="280"/>
      <c r="W100" s="280"/>
      <c r="X100" s="280"/>
      <c r="Y100" s="280"/>
      <c r="Z100" s="280"/>
    </row>
    <row r="101">
      <c r="A101" s="284" t="s">
        <v>562</v>
      </c>
      <c r="B101" s="285" t="s">
        <v>233</v>
      </c>
      <c r="C101" s="286" t="s">
        <v>450</v>
      </c>
      <c r="D101" s="286" t="s">
        <v>461</v>
      </c>
      <c r="E101" s="286">
        <v>0.0</v>
      </c>
      <c r="F101" s="286" t="s">
        <v>450</v>
      </c>
      <c r="G101" s="280"/>
      <c r="H101" s="280"/>
      <c r="I101" s="280"/>
      <c r="J101" s="280"/>
      <c r="K101" s="280"/>
      <c r="L101" s="280"/>
      <c r="M101" s="280"/>
      <c r="N101" s="280"/>
      <c r="O101" s="280"/>
      <c r="P101" s="280"/>
      <c r="Q101" s="280"/>
      <c r="R101" s="280"/>
      <c r="S101" s="280"/>
      <c r="T101" s="280"/>
      <c r="U101" s="280"/>
      <c r="V101" s="280"/>
      <c r="W101" s="280"/>
      <c r="X101" s="280"/>
      <c r="Y101" s="280"/>
      <c r="Z101" s="280"/>
    </row>
    <row r="102">
      <c r="A102" s="284" t="s">
        <v>563</v>
      </c>
      <c r="B102" s="285" t="s">
        <v>233</v>
      </c>
      <c r="C102" s="286">
        <v>0.0</v>
      </c>
      <c r="D102" s="286" t="s">
        <v>450</v>
      </c>
      <c r="E102" s="286">
        <v>0.0</v>
      </c>
      <c r="F102" s="286" t="s">
        <v>450</v>
      </c>
      <c r="G102" s="280"/>
      <c r="H102" s="280"/>
      <c r="I102" s="280"/>
      <c r="J102" s="280"/>
      <c r="K102" s="280"/>
      <c r="L102" s="280"/>
      <c r="M102" s="280"/>
      <c r="N102" s="280"/>
      <c r="O102" s="280"/>
      <c r="P102" s="280"/>
      <c r="Q102" s="280"/>
      <c r="R102" s="280"/>
      <c r="S102" s="280"/>
      <c r="T102" s="280"/>
      <c r="U102" s="280"/>
      <c r="V102" s="280"/>
      <c r="W102" s="280"/>
      <c r="X102" s="280"/>
      <c r="Y102" s="280"/>
      <c r="Z102" s="280"/>
    </row>
    <row r="103">
      <c r="A103" s="284" t="s">
        <v>564</v>
      </c>
      <c r="B103" s="285" t="s">
        <v>233</v>
      </c>
      <c r="C103" s="286">
        <v>0.0</v>
      </c>
      <c r="D103" s="286" t="s">
        <v>461</v>
      </c>
      <c r="E103" s="286">
        <v>0.0</v>
      </c>
      <c r="F103" s="286" t="s">
        <v>450</v>
      </c>
      <c r="G103" s="280"/>
      <c r="H103" s="280"/>
      <c r="I103" s="280"/>
      <c r="J103" s="280"/>
      <c r="K103" s="280"/>
      <c r="L103" s="280"/>
      <c r="M103" s="280"/>
      <c r="N103" s="280"/>
      <c r="O103" s="280"/>
      <c r="P103" s="280"/>
      <c r="Q103" s="280"/>
      <c r="R103" s="280"/>
      <c r="S103" s="280"/>
      <c r="T103" s="280"/>
      <c r="U103" s="280"/>
      <c r="V103" s="280"/>
      <c r="W103" s="280"/>
      <c r="X103" s="280"/>
      <c r="Y103" s="280"/>
      <c r="Z103" s="280"/>
    </row>
    <row r="104">
      <c r="A104" s="284" t="s">
        <v>565</v>
      </c>
      <c r="B104" s="285" t="s">
        <v>233</v>
      </c>
      <c r="C104" s="286">
        <v>0.0</v>
      </c>
      <c r="D104" s="286" t="s">
        <v>461</v>
      </c>
      <c r="E104" s="286">
        <v>0.0</v>
      </c>
      <c r="F104" s="286">
        <v>0.0</v>
      </c>
      <c r="G104" s="280"/>
      <c r="H104" s="280"/>
      <c r="I104" s="280"/>
      <c r="J104" s="280"/>
      <c r="K104" s="280"/>
      <c r="L104" s="280"/>
      <c r="M104" s="280"/>
      <c r="N104" s="280"/>
      <c r="O104" s="280"/>
      <c r="P104" s="280"/>
      <c r="Q104" s="280"/>
      <c r="R104" s="280"/>
      <c r="S104" s="280"/>
      <c r="T104" s="280"/>
      <c r="U104" s="280"/>
      <c r="V104" s="280"/>
      <c r="W104" s="280"/>
      <c r="X104" s="280"/>
      <c r="Y104" s="280"/>
      <c r="Z104" s="280"/>
    </row>
    <row r="105">
      <c r="A105" s="284" t="s">
        <v>566</v>
      </c>
      <c r="B105" s="285" t="s">
        <v>233</v>
      </c>
      <c r="C105" s="286" t="s">
        <v>450</v>
      </c>
      <c r="D105" s="286" t="s">
        <v>516</v>
      </c>
      <c r="E105" s="286">
        <v>0.0</v>
      </c>
      <c r="F105" s="286" t="s">
        <v>461</v>
      </c>
      <c r="G105" s="280"/>
      <c r="H105" s="280"/>
      <c r="I105" s="280"/>
      <c r="J105" s="280"/>
      <c r="K105" s="280"/>
      <c r="L105" s="280"/>
      <c r="M105" s="280"/>
      <c r="N105" s="280"/>
      <c r="O105" s="280"/>
      <c r="P105" s="280"/>
      <c r="Q105" s="280"/>
      <c r="R105" s="280"/>
      <c r="S105" s="280"/>
      <c r="T105" s="280"/>
      <c r="U105" s="280"/>
      <c r="V105" s="280"/>
      <c r="W105" s="280"/>
      <c r="X105" s="280"/>
      <c r="Y105" s="280"/>
      <c r="Z105" s="280"/>
    </row>
    <row r="106">
      <c r="A106" s="284" t="s">
        <v>567</v>
      </c>
      <c r="B106" s="285" t="s">
        <v>233</v>
      </c>
      <c r="C106" s="286" t="s">
        <v>450</v>
      </c>
      <c r="D106" s="286" t="s">
        <v>454</v>
      </c>
      <c r="E106" s="286">
        <v>0.0</v>
      </c>
      <c r="F106" s="286" t="s">
        <v>461</v>
      </c>
      <c r="G106" s="280"/>
      <c r="H106" s="280"/>
      <c r="I106" s="280"/>
      <c r="J106" s="280"/>
      <c r="K106" s="280"/>
      <c r="L106" s="280"/>
      <c r="M106" s="280"/>
      <c r="N106" s="280"/>
      <c r="O106" s="280"/>
      <c r="P106" s="280"/>
      <c r="Q106" s="280"/>
      <c r="R106" s="280"/>
      <c r="S106" s="280"/>
      <c r="T106" s="280"/>
      <c r="U106" s="280"/>
      <c r="V106" s="280"/>
      <c r="W106" s="280"/>
      <c r="X106" s="280"/>
      <c r="Y106" s="280"/>
      <c r="Z106" s="280"/>
    </row>
    <row r="107">
      <c r="A107" s="284" t="s">
        <v>568</v>
      </c>
      <c r="B107" s="285" t="s">
        <v>233</v>
      </c>
      <c r="C107" s="286">
        <v>0.0</v>
      </c>
      <c r="D107" s="286" t="s">
        <v>461</v>
      </c>
      <c r="E107" s="286">
        <v>0.0</v>
      </c>
      <c r="F107" s="286" t="s">
        <v>450</v>
      </c>
      <c r="G107" s="280"/>
      <c r="H107" s="280"/>
      <c r="I107" s="280"/>
      <c r="J107" s="280"/>
      <c r="K107" s="280"/>
      <c r="L107" s="280"/>
      <c r="M107" s="280"/>
      <c r="N107" s="280"/>
      <c r="O107" s="280"/>
      <c r="P107" s="280"/>
      <c r="Q107" s="280"/>
      <c r="R107" s="280"/>
      <c r="S107" s="280"/>
      <c r="T107" s="280"/>
      <c r="U107" s="280"/>
      <c r="V107" s="280"/>
      <c r="W107" s="280"/>
      <c r="X107" s="280"/>
      <c r="Y107" s="280"/>
      <c r="Z107" s="280"/>
    </row>
    <row r="108">
      <c r="A108" s="284" t="s">
        <v>569</v>
      </c>
      <c r="B108" s="285" t="s">
        <v>233</v>
      </c>
      <c r="C108" s="286" t="s">
        <v>450</v>
      </c>
      <c r="D108" s="286" t="s">
        <v>461</v>
      </c>
      <c r="E108" s="286">
        <v>0.0</v>
      </c>
      <c r="F108" s="286" t="s">
        <v>450</v>
      </c>
      <c r="G108" s="280"/>
      <c r="H108" s="280"/>
      <c r="I108" s="280"/>
      <c r="J108" s="280"/>
      <c r="K108" s="280"/>
      <c r="L108" s="280"/>
      <c r="M108" s="280"/>
      <c r="N108" s="280"/>
      <c r="O108" s="280"/>
      <c r="P108" s="280"/>
      <c r="Q108" s="280"/>
      <c r="R108" s="280"/>
      <c r="S108" s="280"/>
      <c r="T108" s="280"/>
      <c r="U108" s="280"/>
      <c r="V108" s="280"/>
      <c r="W108" s="280"/>
      <c r="X108" s="280"/>
      <c r="Y108" s="280"/>
      <c r="Z108" s="280"/>
    </row>
    <row r="109">
      <c r="A109" s="284" t="s">
        <v>570</v>
      </c>
      <c r="B109" s="285" t="s">
        <v>233</v>
      </c>
      <c r="C109" s="286">
        <v>0.0</v>
      </c>
      <c r="D109" s="286" t="s">
        <v>454</v>
      </c>
      <c r="E109" s="286">
        <v>0.0</v>
      </c>
      <c r="F109" s="286" t="s">
        <v>450</v>
      </c>
      <c r="G109" s="280"/>
      <c r="H109" s="280"/>
      <c r="I109" s="280"/>
      <c r="J109" s="280"/>
      <c r="K109" s="280"/>
      <c r="L109" s="280"/>
      <c r="M109" s="280"/>
      <c r="N109" s="280"/>
      <c r="O109" s="280"/>
      <c r="P109" s="280"/>
      <c r="Q109" s="280"/>
      <c r="R109" s="280"/>
      <c r="S109" s="280"/>
      <c r="T109" s="280"/>
      <c r="U109" s="280"/>
      <c r="V109" s="280"/>
      <c r="W109" s="280"/>
      <c r="X109" s="280"/>
      <c r="Y109" s="280"/>
      <c r="Z109" s="280"/>
    </row>
    <row r="110">
      <c r="A110" s="284" t="s">
        <v>571</v>
      </c>
      <c r="B110" s="285" t="s">
        <v>233</v>
      </c>
      <c r="C110" s="286" t="s">
        <v>450</v>
      </c>
      <c r="D110" s="286" t="s">
        <v>516</v>
      </c>
      <c r="E110" s="286" t="s">
        <v>450</v>
      </c>
      <c r="F110" s="286" t="s">
        <v>461</v>
      </c>
      <c r="G110" s="280"/>
      <c r="H110" s="280"/>
      <c r="I110" s="280"/>
      <c r="J110" s="280"/>
      <c r="K110" s="280"/>
      <c r="L110" s="280"/>
      <c r="M110" s="280"/>
      <c r="N110" s="280"/>
      <c r="O110" s="280"/>
      <c r="P110" s="280"/>
      <c r="Q110" s="280"/>
      <c r="R110" s="280"/>
      <c r="S110" s="280"/>
      <c r="T110" s="280"/>
      <c r="U110" s="280"/>
      <c r="V110" s="280"/>
      <c r="W110" s="280"/>
      <c r="X110" s="280"/>
      <c r="Y110" s="280"/>
      <c r="Z110" s="280"/>
    </row>
    <row r="111">
      <c r="A111" s="284" t="s">
        <v>572</v>
      </c>
      <c r="B111" s="285" t="s">
        <v>233</v>
      </c>
      <c r="C111" s="286" t="s">
        <v>450</v>
      </c>
      <c r="D111" s="286" t="s">
        <v>461</v>
      </c>
      <c r="E111" s="286">
        <v>0.0</v>
      </c>
      <c r="F111" s="286" t="s">
        <v>450</v>
      </c>
      <c r="G111" s="280"/>
      <c r="H111" s="280"/>
      <c r="I111" s="280"/>
      <c r="J111" s="280"/>
      <c r="K111" s="280"/>
      <c r="L111" s="280"/>
      <c r="M111" s="280"/>
      <c r="N111" s="280"/>
      <c r="O111" s="280"/>
      <c r="P111" s="280"/>
      <c r="Q111" s="280"/>
      <c r="R111" s="280"/>
      <c r="S111" s="280"/>
      <c r="T111" s="280"/>
      <c r="U111" s="280"/>
      <c r="V111" s="280"/>
      <c r="W111" s="280"/>
      <c r="X111" s="280"/>
      <c r="Y111" s="280"/>
      <c r="Z111" s="280"/>
    </row>
    <row r="112">
      <c r="A112" s="284" t="s">
        <v>573</v>
      </c>
      <c r="B112" s="285" t="s">
        <v>233</v>
      </c>
      <c r="C112" s="286" t="s">
        <v>450</v>
      </c>
      <c r="D112" s="286" t="s">
        <v>454</v>
      </c>
      <c r="E112" s="286">
        <v>0.0</v>
      </c>
      <c r="F112" s="286" t="s">
        <v>450</v>
      </c>
      <c r="G112" s="280"/>
      <c r="H112" s="280"/>
      <c r="I112" s="280"/>
      <c r="J112" s="280"/>
      <c r="K112" s="280"/>
      <c r="L112" s="280"/>
      <c r="M112" s="280"/>
      <c r="N112" s="280"/>
      <c r="O112" s="280"/>
      <c r="P112" s="280"/>
      <c r="Q112" s="280"/>
      <c r="R112" s="280"/>
      <c r="S112" s="280"/>
      <c r="T112" s="280"/>
      <c r="U112" s="280"/>
      <c r="V112" s="280"/>
      <c r="W112" s="280"/>
      <c r="X112" s="280"/>
      <c r="Y112" s="280"/>
      <c r="Z112" s="280"/>
    </row>
    <row r="113">
      <c r="A113" s="284" t="s">
        <v>574</v>
      </c>
      <c r="B113" s="285" t="s">
        <v>233</v>
      </c>
      <c r="C113" s="286">
        <v>0.0</v>
      </c>
      <c r="D113" s="286" t="s">
        <v>460</v>
      </c>
      <c r="E113" s="286">
        <v>0.0</v>
      </c>
      <c r="F113" s="286" t="s">
        <v>461</v>
      </c>
      <c r="G113" s="280"/>
      <c r="H113" s="280"/>
      <c r="I113" s="280"/>
      <c r="J113" s="280"/>
      <c r="K113" s="280"/>
      <c r="L113" s="280"/>
      <c r="M113" s="280"/>
      <c r="N113" s="280"/>
      <c r="O113" s="280"/>
      <c r="P113" s="280"/>
      <c r="Q113" s="280"/>
      <c r="R113" s="280"/>
      <c r="S113" s="280"/>
      <c r="T113" s="280"/>
      <c r="U113" s="280"/>
      <c r="V113" s="280"/>
      <c r="W113" s="280"/>
      <c r="X113" s="280"/>
      <c r="Y113" s="280"/>
      <c r="Z113" s="280"/>
    </row>
    <row r="114">
      <c r="A114" s="284" t="s">
        <v>575</v>
      </c>
      <c r="B114" s="285" t="s">
        <v>233</v>
      </c>
      <c r="C114" s="286" t="s">
        <v>450</v>
      </c>
      <c r="D114" s="286" t="s">
        <v>516</v>
      </c>
      <c r="E114" s="286">
        <v>0.0</v>
      </c>
      <c r="F114" s="286" t="s">
        <v>454</v>
      </c>
      <c r="G114" s="280"/>
      <c r="H114" s="280"/>
      <c r="I114" s="280"/>
      <c r="J114" s="280"/>
      <c r="K114" s="280"/>
      <c r="L114" s="280"/>
      <c r="M114" s="280"/>
      <c r="N114" s="280"/>
      <c r="O114" s="280"/>
      <c r="P114" s="280"/>
      <c r="Q114" s="280"/>
      <c r="R114" s="280"/>
      <c r="S114" s="280"/>
      <c r="T114" s="280"/>
      <c r="U114" s="280"/>
      <c r="V114" s="280"/>
      <c r="W114" s="280"/>
      <c r="X114" s="280"/>
      <c r="Y114" s="280"/>
      <c r="Z114" s="280"/>
    </row>
    <row r="115">
      <c r="A115" s="284" t="s">
        <v>576</v>
      </c>
      <c r="B115" s="285" t="s">
        <v>233</v>
      </c>
      <c r="C115" s="286">
        <v>0.0</v>
      </c>
      <c r="D115" s="286">
        <v>0.0</v>
      </c>
      <c r="E115" s="286">
        <v>0.0</v>
      </c>
      <c r="F115" s="286" t="s">
        <v>450</v>
      </c>
      <c r="G115" s="280"/>
      <c r="H115" s="280"/>
      <c r="I115" s="280"/>
      <c r="J115" s="280"/>
      <c r="K115" s="280"/>
      <c r="L115" s="280"/>
      <c r="M115" s="280"/>
      <c r="N115" s="280"/>
      <c r="O115" s="280"/>
      <c r="P115" s="280"/>
      <c r="Q115" s="280"/>
      <c r="R115" s="280"/>
      <c r="S115" s="280"/>
      <c r="T115" s="280"/>
      <c r="U115" s="280"/>
      <c r="V115" s="280"/>
      <c r="W115" s="280"/>
      <c r="X115" s="280"/>
      <c r="Y115" s="280"/>
      <c r="Z115" s="280"/>
    </row>
    <row r="116">
      <c r="A116" s="284" t="s">
        <v>577</v>
      </c>
      <c r="B116" s="285" t="s">
        <v>233</v>
      </c>
      <c r="C116" s="286">
        <v>0.0</v>
      </c>
      <c r="D116" s="286" t="s">
        <v>454</v>
      </c>
      <c r="E116" s="286">
        <v>0.0</v>
      </c>
      <c r="F116" s="286" t="s">
        <v>461</v>
      </c>
      <c r="G116" s="280"/>
      <c r="H116" s="280"/>
      <c r="I116" s="280"/>
      <c r="J116" s="280"/>
      <c r="K116" s="280"/>
      <c r="L116" s="280"/>
      <c r="M116" s="280"/>
      <c r="N116" s="280"/>
      <c r="O116" s="280"/>
      <c r="P116" s="280"/>
      <c r="Q116" s="280"/>
      <c r="R116" s="280"/>
      <c r="S116" s="280"/>
      <c r="T116" s="280"/>
      <c r="U116" s="280"/>
      <c r="V116" s="280"/>
      <c r="W116" s="280"/>
      <c r="X116" s="280"/>
      <c r="Y116" s="280"/>
      <c r="Z116" s="280"/>
    </row>
    <row r="117">
      <c r="A117" s="284" t="s">
        <v>578</v>
      </c>
      <c r="B117" s="285" t="s">
        <v>233</v>
      </c>
      <c r="C117" s="286" t="s">
        <v>450</v>
      </c>
      <c r="D117" s="286" t="s">
        <v>454</v>
      </c>
      <c r="E117" s="286">
        <v>0.0</v>
      </c>
      <c r="F117" s="286" t="s">
        <v>450</v>
      </c>
      <c r="G117" s="280"/>
      <c r="H117" s="280"/>
      <c r="I117" s="280"/>
      <c r="J117" s="280"/>
      <c r="K117" s="280"/>
      <c r="L117" s="280"/>
      <c r="M117" s="280"/>
      <c r="N117" s="280"/>
      <c r="O117" s="280"/>
      <c r="P117" s="280"/>
      <c r="Q117" s="280"/>
      <c r="R117" s="280"/>
      <c r="S117" s="280"/>
      <c r="T117" s="280"/>
      <c r="U117" s="280"/>
      <c r="V117" s="280"/>
      <c r="W117" s="280"/>
      <c r="X117" s="280"/>
      <c r="Y117" s="280"/>
      <c r="Z117" s="280"/>
    </row>
    <row r="118">
      <c r="A118" s="284" t="s">
        <v>579</v>
      </c>
      <c r="B118" s="285" t="s">
        <v>233</v>
      </c>
      <c r="C118" s="286" t="s">
        <v>450</v>
      </c>
      <c r="D118" s="286" t="s">
        <v>460</v>
      </c>
      <c r="E118" s="286" t="s">
        <v>450</v>
      </c>
      <c r="F118" s="286" t="s">
        <v>461</v>
      </c>
      <c r="G118" s="280"/>
      <c r="H118" s="280"/>
      <c r="I118" s="280"/>
      <c r="J118" s="280"/>
      <c r="K118" s="280"/>
      <c r="L118" s="280"/>
      <c r="M118" s="280"/>
      <c r="N118" s="280"/>
      <c r="O118" s="280"/>
      <c r="P118" s="280"/>
      <c r="Q118" s="280"/>
      <c r="R118" s="280"/>
      <c r="S118" s="280"/>
      <c r="T118" s="280"/>
      <c r="U118" s="280"/>
      <c r="V118" s="280"/>
      <c r="W118" s="280"/>
      <c r="X118" s="280"/>
      <c r="Y118" s="280"/>
      <c r="Z118" s="280"/>
    </row>
    <row r="119">
      <c r="A119" s="284" t="s">
        <v>580</v>
      </c>
      <c r="B119" s="285" t="s">
        <v>233</v>
      </c>
      <c r="C119" s="286">
        <v>0.0</v>
      </c>
      <c r="D119" s="286" t="s">
        <v>461</v>
      </c>
      <c r="E119" s="286">
        <v>0.0</v>
      </c>
      <c r="F119" s="286" t="s">
        <v>450</v>
      </c>
      <c r="G119" s="280"/>
      <c r="H119" s="280"/>
      <c r="I119" s="280"/>
      <c r="J119" s="280"/>
      <c r="K119" s="280"/>
      <c r="L119" s="280"/>
      <c r="M119" s="280"/>
      <c r="N119" s="280"/>
      <c r="O119" s="280"/>
      <c r="P119" s="280"/>
      <c r="Q119" s="280"/>
      <c r="R119" s="280"/>
      <c r="S119" s="280"/>
      <c r="T119" s="280"/>
      <c r="U119" s="280"/>
      <c r="V119" s="280"/>
      <c r="W119" s="280"/>
      <c r="X119" s="280"/>
      <c r="Y119" s="280"/>
      <c r="Z119" s="280"/>
    </row>
    <row r="120">
      <c r="A120" s="284" t="s">
        <v>581</v>
      </c>
      <c r="B120" s="285" t="s">
        <v>233</v>
      </c>
      <c r="C120" s="286">
        <v>0.0</v>
      </c>
      <c r="D120" s="286" t="s">
        <v>461</v>
      </c>
      <c r="E120" s="286">
        <v>0.0</v>
      </c>
      <c r="F120" s="286" t="s">
        <v>450</v>
      </c>
      <c r="G120" s="280"/>
      <c r="H120" s="280"/>
      <c r="I120" s="280"/>
      <c r="J120" s="280"/>
      <c r="K120" s="280"/>
      <c r="L120" s="280"/>
      <c r="M120" s="280"/>
      <c r="N120" s="280"/>
      <c r="O120" s="280"/>
      <c r="P120" s="280"/>
      <c r="Q120" s="280"/>
      <c r="R120" s="280"/>
      <c r="S120" s="280"/>
      <c r="T120" s="280"/>
      <c r="U120" s="280"/>
      <c r="V120" s="280"/>
      <c r="W120" s="280"/>
      <c r="X120" s="280"/>
      <c r="Y120" s="280"/>
      <c r="Z120" s="280"/>
    </row>
    <row r="121">
      <c r="A121" s="284" t="s">
        <v>582</v>
      </c>
      <c r="B121" s="285" t="s">
        <v>234</v>
      </c>
      <c r="C121" s="286">
        <v>0.0</v>
      </c>
      <c r="D121" s="286" t="s">
        <v>461</v>
      </c>
      <c r="E121" s="286">
        <v>0.0</v>
      </c>
      <c r="F121" s="286" t="s">
        <v>450</v>
      </c>
      <c r="G121" s="280"/>
      <c r="H121" s="280"/>
      <c r="I121" s="280"/>
      <c r="J121" s="280"/>
      <c r="K121" s="280"/>
      <c r="L121" s="280"/>
      <c r="M121" s="280"/>
      <c r="N121" s="280"/>
      <c r="O121" s="280"/>
      <c r="P121" s="280"/>
      <c r="Q121" s="280"/>
      <c r="R121" s="280"/>
      <c r="S121" s="280"/>
      <c r="T121" s="280"/>
      <c r="U121" s="280"/>
      <c r="V121" s="280"/>
      <c r="W121" s="280"/>
      <c r="X121" s="280"/>
      <c r="Y121" s="280"/>
      <c r="Z121" s="280"/>
    </row>
    <row r="122">
      <c r="A122" s="284" t="s">
        <v>583</v>
      </c>
      <c r="B122" s="285" t="s">
        <v>234</v>
      </c>
      <c r="C122" s="286">
        <v>0.0</v>
      </c>
      <c r="D122" s="286" t="s">
        <v>454</v>
      </c>
      <c r="E122" s="286">
        <v>0.0</v>
      </c>
      <c r="F122" s="286" t="s">
        <v>450</v>
      </c>
      <c r="G122" s="280"/>
      <c r="H122" s="280"/>
      <c r="I122" s="280"/>
      <c r="J122" s="280"/>
      <c r="K122" s="280"/>
      <c r="L122" s="280"/>
      <c r="M122" s="280"/>
      <c r="N122" s="280"/>
      <c r="O122" s="280"/>
      <c r="P122" s="280"/>
      <c r="Q122" s="280"/>
      <c r="R122" s="280"/>
      <c r="S122" s="280"/>
      <c r="T122" s="280"/>
      <c r="U122" s="280"/>
      <c r="V122" s="280"/>
      <c r="W122" s="280"/>
      <c r="X122" s="280"/>
      <c r="Y122" s="280"/>
      <c r="Z122" s="280"/>
    </row>
    <row r="123">
      <c r="A123" s="284" t="s">
        <v>584</v>
      </c>
      <c r="B123" s="285" t="s">
        <v>234</v>
      </c>
      <c r="C123" s="286" t="s">
        <v>450</v>
      </c>
      <c r="D123" s="286" t="s">
        <v>456</v>
      </c>
      <c r="E123" s="286">
        <v>0.0</v>
      </c>
      <c r="F123" s="286" t="s">
        <v>461</v>
      </c>
      <c r="G123" s="280"/>
      <c r="H123" s="280"/>
      <c r="I123" s="280"/>
      <c r="J123" s="280"/>
      <c r="K123" s="280"/>
      <c r="L123" s="280"/>
      <c r="M123" s="280"/>
      <c r="N123" s="280"/>
      <c r="O123" s="280"/>
      <c r="P123" s="280"/>
      <c r="Q123" s="280"/>
      <c r="R123" s="280"/>
      <c r="S123" s="280"/>
      <c r="T123" s="280"/>
      <c r="U123" s="280"/>
      <c r="V123" s="280"/>
      <c r="W123" s="280"/>
      <c r="X123" s="280"/>
      <c r="Y123" s="280"/>
      <c r="Z123" s="280"/>
    </row>
    <row r="124">
      <c r="A124" s="284" t="s">
        <v>585</v>
      </c>
      <c r="B124" s="285" t="s">
        <v>234</v>
      </c>
      <c r="C124" s="286" t="s">
        <v>461</v>
      </c>
      <c r="D124" s="286" t="s">
        <v>494</v>
      </c>
      <c r="E124" s="286">
        <v>0.0</v>
      </c>
      <c r="F124" s="286" t="s">
        <v>454</v>
      </c>
      <c r="G124" s="280"/>
      <c r="H124" s="280"/>
      <c r="I124" s="280"/>
      <c r="J124" s="280"/>
      <c r="K124" s="280"/>
      <c r="L124" s="280"/>
      <c r="M124" s="280"/>
      <c r="N124" s="280"/>
      <c r="O124" s="280"/>
      <c r="P124" s="280"/>
      <c r="Q124" s="280"/>
      <c r="R124" s="280"/>
      <c r="S124" s="280"/>
      <c r="T124" s="280"/>
      <c r="U124" s="280"/>
      <c r="V124" s="280"/>
      <c r="W124" s="280"/>
      <c r="X124" s="280"/>
      <c r="Y124" s="280"/>
      <c r="Z124" s="280"/>
    </row>
    <row r="125">
      <c r="A125" s="284" t="s">
        <v>586</v>
      </c>
      <c r="B125" s="285" t="s">
        <v>234</v>
      </c>
      <c r="C125" s="286">
        <v>0.0</v>
      </c>
      <c r="D125" s="286" t="s">
        <v>450</v>
      </c>
      <c r="E125" s="286">
        <v>0.0</v>
      </c>
      <c r="F125" s="286">
        <v>0.0</v>
      </c>
      <c r="G125" s="280"/>
      <c r="H125" s="280"/>
      <c r="I125" s="280"/>
      <c r="J125" s="280"/>
      <c r="K125" s="280"/>
      <c r="L125" s="280"/>
      <c r="M125" s="280"/>
      <c r="N125" s="280"/>
      <c r="O125" s="280"/>
      <c r="P125" s="280"/>
      <c r="Q125" s="280"/>
      <c r="R125" s="280"/>
      <c r="S125" s="280"/>
      <c r="T125" s="280"/>
      <c r="U125" s="280"/>
      <c r="V125" s="280"/>
      <c r="W125" s="280"/>
      <c r="X125" s="280"/>
      <c r="Y125" s="280"/>
      <c r="Z125" s="280"/>
    </row>
    <row r="126">
      <c r="A126" s="284" t="s">
        <v>587</v>
      </c>
      <c r="B126" s="285" t="s">
        <v>234</v>
      </c>
      <c r="C126" s="286">
        <v>0.0</v>
      </c>
      <c r="D126" s="286" t="s">
        <v>454</v>
      </c>
      <c r="E126" s="286">
        <v>0.0</v>
      </c>
      <c r="F126" s="286" t="s">
        <v>461</v>
      </c>
      <c r="G126" s="280"/>
      <c r="H126" s="280"/>
      <c r="I126" s="280"/>
      <c r="J126" s="280"/>
      <c r="K126" s="280"/>
      <c r="L126" s="280"/>
      <c r="M126" s="280"/>
      <c r="N126" s="280"/>
      <c r="O126" s="280"/>
      <c r="P126" s="280"/>
      <c r="Q126" s="280"/>
      <c r="R126" s="280"/>
      <c r="S126" s="280"/>
      <c r="T126" s="280"/>
      <c r="U126" s="280"/>
      <c r="V126" s="280"/>
      <c r="W126" s="280"/>
      <c r="X126" s="280"/>
      <c r="Y126" s="280"/>
      <c r="Z126" s="280"/>
    </row>
    <row r="127">
      <c r="A127" s="284" t="s">
        <v>588</v>
      </c>
      <c r="B127" s="285" t="s">
        <v>234</v>
      </c>
      <c r="C127" s="286">
        <v>0.0</v>
      </c>
      <c r="D127" s="286" t="s">
        <v>461</v>
      </c>
      <c r="E127" s="286">
        <v>0.0</v>
      </c>
      <c r="F127" s="286" t="s">
        <v>461</v>
      </c>
      <c r="G127" s="280"/>
      <c r="H127" s="280"/>
      <c r="I127" s="280"/>
      <c r="J127" s="280"/>
      <c r="K127" s="280"/>
      <c r="L127" s="280"/>
      <c r="M127" s="280"/>
      <c r="N127" s="280"/>
      <c r="O127" s="280"/>
      <c r="P127" s="280"/>
      <c r="Q127" s="280"/>
      <c r="R127" s="280"/>
      <c r="S127" s="280"/>
      <c r="T127" s="280"/>
      <c r="U127" s="280"/>
      <c r="V127" s="280"/>
      <c r="W127" s="280"/>
      <c r="X127" s="280"/>
      <c r="Y127" s="280"/>
      <c r="Z127" s="280"/>
    </row>
    <row r="128">
      <c r="A128" s="284" t="s">
        <v>589</v>
      </c>
      <c r="B128" s="285" t="s">
        <v>234</v>
      </c>
      <c r="C128" s="286" t="s">
        <v>450</v>
      </c>
      <c r="D128" s="286" t="s">
        <v>456</v>
      </c>
      <c r="E128" s="286">
        <v>0.0</v>
      </c>
      <c r="F128" s="286" t="s">
        <v>450</v>
      </c>
      <c r="G128" s="280"/>
      <c r="H128" s="280"/>
      <c r="I128" s="280"/>
      <c r="J128" s="280"/>
      <c r="K128" s="280"/>
      <c r="L128" s="280"/>
      <c r="M128" s="280"/>
      <c r="N128" s="280"/>
      <c r="O128" s="280"/>
      <c r="P128" s="280"/>
      <c r="Q128" s="280"/>
      <c r="R128" s="280"/>
      <c r="S128" s="280"/>
      <c r="T128" s="280"/>
      <c r="U128" s="280"/>
      <c r="V128" s="280"/>
      <c r="W128" s="280"/>
      <c r="X128" s="280"/>
      <c r="Y128" s="280"/>
      <c r="Z128" s="280"/>
    </row>
    <row r="129">
      <c r="A129" s="284" t="s">
        <v>590</v>
      </c>
      <c r="B129" s="285" t="s">
        <v>234</v>
      </c>
      <c r="C129" s="286" t="s">
        <v>450</v>
      </c>
      <c r="D129" s="286" t="s">
        <v>516</v>
      </c>
      <c r="E129" s="286">
        <v>0.0</v>
      </c>
      <c r="F129" s="286" t="s">
        <v>461</v>
      </c>
      <c r="G129" s="280"/>
      <c r="H129" s="280"/>
      <c r="I129" s="280"/>
      <c r="J129" s="280"/>
      <c r="K129" s="280"/>
      <c r="L129" s="280"/>
      <c r="M129" s="280"/>
      <c r="N129" s="280"/>
      <c r="O129" s="280"/>
      <c r="P129" s="280"/>
      <c r="Q129" s="280"/>
      <c r="R129" s="280"/>
      <c r="S129" s="280"/>
      <c r="T129" s="280"/>
      <c r="U129" s="280"/>
      <c r="V129" s="280"/>
      <c r="W129" s="280"/>
      <c r="X129" s="280"/>
      <c r="Y129" s="280"/>
      <c r="Z129" s="280"/>
    </row>
    <row r="130">
      <c r="A130" s="284" t="s">
        <v>591</v>
      </c>
      <c r="B130" s="285" t="s">
        <v>592</v>
      </c>
      <c r="C130" s="286">
        <v>0.0</v>
      </c>
      <c r="D130" s="286" t="s">
        <v>450</v>
      </c>
      <c r="E130" s="286">
        <v>0.0</v>
      </c>
      <c r="F130" s="286" t="s">
        <v>450</v>
      </c>
      <c r="G130" s="280"/>
      <c r="H130" s="280"/>
      <c r="I130" s="280"/>
      <c r="J130" s="280"/>
      <c r="K130" s="280"/>
      <c r="L130" s="280"/>
      <c r="M130" s="280"/>
      <c r="N130" s="280"/>
      <c r="O130" s="280"/>
      <c r="P130" s="280"/>
      <c r="Q130" s="280"/>
      <c r="R130" s="280"/>
      <c r="S130" s="280"/>
      <c r="T130" s="280"/>
      <c r="U130" s="280"/>
      <c r="V130" s="280"/>
      <c r="W130" s="280"/>
      <c r="X130" s="280"/>
      <c r="Y130" s="280"/>
      <c r="Z130" s="280"/>
    </row>
    <row r="131">
      <c r="A131" s="284" t="s">
        <v>593</v>
      </c>
      <c r="B131" s="285" t="s">
        <v>592</v>
      </c>
      <c r="C131" s="286">
        <v>0.0</v>
      </c>
      <c r="D131" s="286" t="s">
        <v>450</v>
      </c>
      <c r="E131" s="286">
        <v>0.0</v>
      </c>
      <c r="F131" s="286">
        <v>0.0</v>
      </c>
      <c r="G131" s="280"/>
      <c r="H131" s="280"/>
      <c r="I131" s="280"/>
      <c r="J131" s="280"/>
      <c r="K131" s="280"/>
      <c r="L131" s="280"/>
      <c r="M131" s="280"/>
      <c r="N131" s="280"/>
      <c r="O131" s="280"/>
      <c r="P131" s="280"/>
      <c r="Q131" s="280"/>
      <c r="R131" s="280"/>
      <c r="S131" s="280"/>
      <c r="T131" s="280"/>
      <c r="U131" s="280"/>
      <c r="V131" s="280"/>
      <c r="W131" s="280"/>
      <c r="X131" s="280"/>
      <c r="Y131" s="280"/>
      <c r="Z131" s="280"/>
    </row>
    <row r="132">
      <c r="A132" s="284" t="s">
        <v>594</v>
      </c>
      <c r="B132" s="285" t="s">
        <v>595</v>
      </c>
      <c r="C132" s="286" t="s">
        <v>450</v>
      </c>
      <c r="D132" s="286" t="s">
        <v>502</v>
      </c>
      <c r="E132" s="286">
        <v>0.0</v>
      </c>
      <c r="F132" s="286" t="s">
        <v>454</v>
      </c>
      <c r="G132" s="280"/>
      <c r="H132" s="280"/>
      <c r="I132" s="280"/>
      <c r="J132" s="280"/>
      <c r="K132" s="280"/>
      <c r="L132" s="280"/>
      <c r="M132" s="280"/>
      <c r="N132" s="280"/>
      <c r="O132" s="280"/>
      <c r="P132" s="280"/>
      <c r="Q132" s="280"/>
      <c r="R132" s="280"/>
      <c r="S132" s="280"/>
      <c r="T132" s="280"/>
      <c r="U132" s="280"/>
      <c r="V132" s="280"/>
      <c r="W132" s="280"/>
      <c r="X132" s="280"/>
      <c r="Y132" s="280"/>
      <c r="Z132" s="280"/>
    </row>
    <row r="133">
      <c r="A133" s="284" t="s">
        <v>596</v>
      </c>
      <c r="B133" s="285" t="s">
        <v>596</v>
      </c>
      <c r="C133" s="286">
        <v>0.0</v>
      </c>
      <c r="D133" s="286" t="s">
        <v>450</v>
      </c>
      <c r="E133" s="286">
        <v>0.0</v>
      </c>
      <c r="F133" s="286" t="s">
        <v>450</v>
      </c>
      <c r="G133" s="280"/>
      <c r="H133" s="280"/>
      <c r="I133" s="280"/>
      <c r="J133" s="280"/>
      <c r="K133" s="280"/>
      <c r="L133" s="280"/>
      <c r="M133" s="280"/>
      <c r="N133" s="280"/>
      <c r="O133" s="280"/>
      <c r="P133" s="280"/>
      <c r="Q133" s="280"/>
      <c r="R133" s="280"/>
      <c r="S133" s="280"/>
      <c r="T133" s="280"/>
      <c r="U133" s="280"/>
      <c r="V133" s="280"/>
      <c r="W133" s="280"/>
      <c r="X133" s="280"/>
      <c r="Y133" s="280"/>
      <c r="Z133" s="280"/>
    </row>
    <row r="134">
      <c r="A134" s="284" t="s">
        <v>597</v>
      </c>
      <c r="B134" s="285" t="s">
        <v>235</v>
      </c>
      <c r="C134" s="286" t="s">
        <v>450</v>
      </c>
      <c r="D134" s="286" t="s">
        <v>516</v>
      </c>
      <c r="E134" s="286">
        <v>0.0</v>
      </c>
      <c r="F134" s="286" t="s">
        <v>461</v>
      </c>
      <c r="G134" s="280"/>
      <c r="H134" s="280"/>
      <c r="I134" s="280"/>
      <c r="J134" s="280"/>
      <c r="K134" s="280"/>
      <c r="L134" s="280"/>
      <c r="M134" s="280"/>
      <c r="N134" s="280"/>
      <c r="O134" s="280"/>
      <c r="P134" s="280"/>
      <c r="Q134" s="280"/>
      <c r="R134" s="280"/>
      <c r="S134" s="280"/>
      <c r="T134" s="280"/>
      <c r="U134" s="280"/>
      <c r="V134" s="280"/>
      <c r="W134" s="280"/>
      <c r="X134" s="280"/>
      <c r="Y134" s="280"/>
      <c r="Z134" s="280"/>
    </row>
    <row r="135">
      <c r="A135" s="284" t="s">
        <v>598</v>
      </c>
      <c r="B135" s="285" t="s">
        <v>235</v>
      </c>
      <c r="C135" s="286" t="s">
        <v>450</v>
      </c>
      <c r="D135" s="286" t="s">
        <v>456</v>
      </c>
      <c r="E135" s="286">
        <v>0.0</v>
      </c>
      <c r="F135" s="286" t="s">
        <v>461</v>
      </c>
      <c r="G135" s="280"/>
      <c r="H135" s="280"/>
      <c r="I135" s="280"/>
      <c r="J135" s="280"/>
      <c r="K135" s="280"/>
      <c r="L135" s="280"/>
      <c r="M135" s="280"/>
      <c r="N135" s="280"/>
      <c r="O135" s="280"/>
      <c r="P135" s="280"/>
      <c r="Q135" s="280"/>
      <c r="R135" s="280"/>
      <c r="S135" s="280"/>
      <c r="T135" s="280"/>
      <c r="U135" s="280"/>
      <c r="V135" s="280"/>
      <c r="W135" s="280"/>
      <c r="X135" s="280"/>
      <c r="Y135" s="280"/>
      <c r="Z135" s="280"/>
    </row>
    <row r="136">
      <c r="A136" s="284" t="s">
        <v>599</v>
      </c>
      <c r="B136" s="285" t="s">
        <v>235</v>
      </c>
      <c r="C136" s="286">
        <v>0.0</v>
      </c>
      <c r="D136" s="286" t="s">
        <v>461</v>
      </c>
      <c r="E136" s="286">
        <v>0.0</v>
      </c>
      <c r="F136" s="286" t="s">
        <v>450</v>
      </c>
      <c r="G136" s="280"/>
      <c r="H136" s="280"/>
      <c r="I136" s="280"/>
      <c r="J136" s="280"/>
      <c r="K136" s="280"/>
      <c r="L136" s="280"/>
      <c r="M136" s="280"/>
      <c r="N136" s="280"/>
      <c r="O136" s="280"/>
      <c r="P136" s="280"/>
      <c r="Q136" s="280"/>
      <c r="R136" s="280"/>
      <c r="S136" s="280"/>
      <c r="T136" s="280"/>
      <c r="U136" s="280"/>
      <c r="V136" s="280"/>
      <c r="W136" s="280"/>
      <c r="X136" s="280"/>
      <c r="Y136" s="280"/>
      <c r="Z136" s="280"/>
    </row>
    <row r="137">
      <c r="A137" s="284" t="s">
        <v>600</v>
      </c>
      <c r="B137" s="285" t="s">
        <v>235</v>
      </c>
      <c r="C137" s="286">
        <v>0.0</v>
      </c>
      <c r="D137" s="286" t="s">
        <v>461</v>
      </c>
      <c r="E137" s="286">
        <v>0.0</v>
      </c>
      <c r="F137" s="286" t="s">
        <v>450</v>
      </c>
      <c r="G137" s="280"/>
      <c r="H137" s="280"/>
      <c r="I137" s="280"/>
      <c r="J137" s="280"/>
      <c r="K137" s="280"/>
      <c r="L137" s="280"/>
      <c r="M137" s="280"/>
      <c r="N137" s="280"/>
      <c r="O137" s="280"/>
      <c r="P137" s="280"/>
      <c r="Q137" s="280"/>
      <c r="R137" s="280"/>
      <c r="S137" s="280"/>
      <c r="T137" s="280"/>
      <c r="U137" s="280"/>
      <c r="V137" s="280"/>
      <c r="W137" s="280"/>
      <c r="X137" s="280"/>
      <c r="Y137" s="280"/>
      <c r="Z137" s="280"/>
    </row>
    <row r="138">
      <c r="A138" s="284" t="s">
        <v>601</v>
      </c>
      <c r="B138" s="285" t="s">
        <v>235</v>
      </c>
      <c r="C138" s="286">
        <v>0.0</v>
      </c>
      <c r="D138" s="286" t="s">
        <v>454</v>
      </c>
      <c r="E138" s="286">
        <v>0.0</v>
      </c>
      <c r="F138" s="286" t="s">
        <v>450</v>
      </c>
      <c r="G138" s="280"/>
      <c r="H138" s="280"/>
      <c r="I138" s="280"/>
      <c r="J138" s="280"/>
      <c r="K138" s="280"/>
      <c r="L138" s="280"/>
      <c r="M138" s="280"/>
      <c r="N138" s="280"/>
      <c r="O138" s="280"/>
      <c r="P138" s="280"/>
      <c r="Q138" s="280"/>
      <c r="R138" s="280"/>
      <c r="S138" s="280"/>
      <c r="T138" s="280"/>
      <c r="U138" s="280"/>
      <c r="V138" s="280"/>
      <c r="W138" s="280"/>
      <c r="X138" s="280"/>
      <c r="Y138" s="280"/>
      <c r="Z138" s="280"/>
    </row>
    <row r="139">
      <c r="A139" s="284" t="s">
        <v>602</v>
      </c>
      <c r="B139" s="285" t="s">
        <v>235</v>
      </c>
      <c r="C139" s="286">
        <v>0.0</v>
      </c>
      <c r="D139" s="286" t="s">
        <v>460</v>
      </c>
      <c r="E139" s="286">
        <v>0.0</v>
      </c>
      <c r="F139" s="286" t="s">
        <v>450</v>
      </c>
      <c r="G139" s="280"/>
      <c r="H139" s="280"/>
      <c r="I139" s="280"/>
      <c r="J139" s="280"/>
      <c r="K139" s="280"/>
      <c r="L139" s="280"/>
      <c r="M139" s="280"/>
      <c r="N139" s="280"/>
      <c r="O139" s="280"/>
      <c r="P139" s="280"/>
      <c r="Q139" s="280"/>
      <c r="R139" s="280"/>
      <c r="S139" s="280"/>
      <c r="T139" s="280"/>
      <c r="U139" s="280"/>
      <c r="V139" s="280"/>
      <c r="W139" s="280"/>
      <c r="X139" s="280"/>
      <c r="Y139" s="280"/>
      <c r="Z139" s="280"/>
    </row>
    <row r="140">
      <c r="A140" s="284" t="s">
        <v>603</v>
      </c>
      <c r="B140" s="285" t="s">
        <v>236</v>
      </c>
      <c r="C140" s="286">
        <v>0.0</v>
      </c>
      <c r="D140" s="286" t="s">
        <v>454</v>
      </c>
      <c r="E140" s="286">
        <v>0.0</v>
      </c>
      <c r="F140" s="286" t="s">
        <v>450</v>
      </c>
      <c r="G140" s="280"/>
      <c r="H140" s="280"/>
      <c r="I140" s="280"/>
      <c r="J140" s="280"/>
      <c r="K140" s="280"/>
      <c r="L140" s="280"/>
      <c r="M140" s="280"/>
      <c r="N140" s="280"/>
      <c r="O140" s="280"/>
      <c r="P140" s="280"/>
      <c r="Q140" s="280"/>
      <c r="R140" s="280"/>
      <c r="S140" s="280"/>
      <c r="T140" s="280"/>
      <c r="U140" s="280"/>
      <c r="V140" s="280"/>
      <c r="W140" s="280"/>
      <c r="X140" s="280"/>
      <c r="Y140" s="280"/>
      <c r="Z140" s="280"/>
    </row>
    <row r="141">
      <c r="A141" s="284" t="s">
        <v>604</v>
      </c>
      <c r="B141" s="285" t="s">
        <v>236</v>
      </c>
      <c r="C141" s="286" t="s">
        <v>450</v>
      </c>
      <c r="D141" s="286" t="s">
        <v>454</v>
      </c>
      <c r="E141" s="286">
        <v>0.0</v>
      </c>
      <c r="F141" s="286" t="s">
        <v>450</v>
      </c>
      <c r="G141" s="280"/>
      <c r="H141" s="280"/>
      <c r="I141" s="280"/>
      <c r="J141" s="280"/>
      <c r="K141" s="280"/>
      <c r="L141" s="280"/>
      <c r="M141" s="280"/>
      <c r="N141" s="280"/>
      <c r="O141" s="280"/>
      <c r="P141" s="280"/>
      <c r="Q141" s="280"/>
      <c r="R141" s="280"/>
      <c r="S141" s="280"/>
      <c r="T141" s="280"/>
      <c r="U141" s="280"/>
      <c r="V141" s="280"/>
      <c r="W141" s="280"/>
      <c r="X141" s="280"/>
      <c r="Y141" s="280"/>
      <c r="Z141" s="280"/>
    </row>
    <row r="142">
      <c r="A142" s="284" t="s">
        <v>605</v>
      </c>
      <c r="B142" s="285" t="s">
        <v>236</v>
      </c>
      <c r="C142" s="286">
        <v>0.0</v>
      </c>
      <c r="D142" s="286" t="s">
        <v>458</v>
      </c>
      <c r="E142" s="286">
        <v>0.0</v>
      </c>
      <c r="F142" s="286" t="s">
        <v>456</v>
      </c>
      <c r="G142" s="280"/>
      <c r="H142" s="280"/>
      <c r="I142" s="280"/>
      <c r="J142" s="280"/>
      <c r="K142" s="280"/>
      <c r="L142" s="280"/>
      <c r="M142" s="280"/>
      <c r="N142" s="280"/>
      <c r="O142" s="280"/>
      <c r="P142" s="280"/>
      <c r="Q142" s="280"/>
      <c r="R142" s="280"/>
      <c r="S142" s="280"/>
      <c r="T142" s="280"/>
      <c r="U142" s="280"/>
      <c r="V142" s="280"/>
      <c r="W142" s="280"/>
      <c r="X142" s="280"/>
      <c r="Y142" s="280"/>
      <c r="Z142" s="280"/>
    </row>
    <row r="143">
      <c r="A143" s="284" t="s">
        <v>606</v>
      </c>
      <c r="B143" s="285" t="s">
        <v>236</v>
      </c>
      <c r="C143" s="286" t="s">
        <v>450</v>
      </c>
      <c r="D143" s="286" t="s">
        <v>460</v>
      </c>
      <c r="E143" s="286">
        <v>0.0</v>
      </c>
      <c r="F143" s="286" t="s">
        <v>461</v>
      </c>
      <c r="G143" s="280"/>
      <c r="H143" s="280"/>
      <c r="I143" s="280"/>
      <c r="J143" s="280"/>
      <c r="K143" s="280"/>
      <c r="L143" s="280"/>
      <c r="M143" s="280"/>
      <c r="N143" s="280"/>
      <c r="O143" s="280"/>
      <c r="P143" s="280"/>
      <c r="Q143" s="280"/>
      <c r="R143" s="280"/>
      <c r="S143" s="280"/>
      <c r="T143" s="280"/>
      <c r="U143" s="280"/>
      <c r="V143" s="280"/>
      <c r="W143" s="280"/>
      <c r="X143" s="280"/>
      <c r="Y143" s="280"/>
      <c r="Z143" s="280"/>
    </row>
    <row r="144">
      <c r="A144" s="284" t="s">
        <v>607</v>
      </c>
      <c r="B144" s="285" t="s">
        <v>236</v>
      </c>
      <c r="C144" s="286">
        <v>0.0</v>
      </c>
      <c r="D144" s="286" t="s">
        <v>450</v>
      </c>
      <c r="E144" s="286">
        <v>0.0</v>
      </c>
      <c r="F144" s="286" t="s">
        <v>450</v>
      </c>
      <c r="G144" s="280"/>
      <c r="H144" s="280"/>
      <c r="I144" s="280"/>
      <c r="J144" s="280"/>
      <c r="K144" s="280"/>
      <c r="L144" s="280"/>
      <c r="M144" s="280"/>
      <c r="N144" s="280"/>
      <c r="O144" s="280"/>
      <c r="P144" s="280"/>
      <c r="Q144" s="280"/>
      <c r="R144" s="280"/>
      <c r="S144" s="280"/>
      <c r="T144" s="280"/>
      <c r="U144" s="280"/>
      <c r="V144" s="280"/>
      <c r="W144" s="280"/>
      <c r="X144" s="280"/>
      <c r="Y144" s="280"/>
      <c r="Z144" s="280"/>
    </row>
    <row r="145">
      <c r="A145" s="284" t="s">
        <v>608</v>
      </c>
      <c r="B145" s="285" t="s">
        <v>236</v>
      </c>
      <c r="C145" s="286" t="s">
        <v>450</v>
      </c>
      <c r="D145" s="286" t="s">
        <v>461</v>
      </c>
      <c r="E145" s="286">
        <v>0.0</v>
      </c>
      <c r="F145" s="286" t="s">
        <v>461</v>
      </c>
      <c r="G145" s="280"/>
      <c r="H145" s="280"/>
      <c r="I145" s="280"/>
      <c r="J145" s="280"/>
      <c r="K145" s="280"/>
      <c r="L145" s="280"/>
      <c r="M145" s="280"/>
      <c r="N145" s="280"/>
      <c r="O145" s="280"/>
      <c r="P145" s="280"/>
      <c r="Q145" s="280"/>
      <c r="R145" s="280"/>
      <c r="S145" s="280"/>
      <c r="T145" s="280"/>
      <c r="U145" s="280"/>
      <c r="V145" s="280"/>
      <c r="W145" s="280"/>
      <c r="X145" s="280"/>
      <c r="Y145" s="280"/>
      <c r="Z145" s="280"/>
    </row>
    <row r="146">
      <c r="A146" s="284" t="s">
        <v>609</v>
      </c>
      <c r="B146" s="285" t="s">
        <v>236</v>
      </c>
      <c r="C146" s="286">
        <v>0.0</v>
      </c>
      <c r="D146" s="286" t="s">
        <v>450</v>
      </c>
      <c r="E146" s="286">
        <v>0.0</v>
      </c>
      <c r="F146" s="286">
        <v>0.0</v>
      </c>
      <c r="G146" s="280"/>
      <c r="H146" s="280"/>
      <c r="I146" s="280"/>
      <c r="J146" s="280"/>
      <c r="K146" s="280"/>
      <c r="L146" s="280"/>
      <c r="M146" s="280"/>
      <c r="N146" s="280"/>
      <c r="O146" s="280"/>
      <c r="P146" s="280"/>
      <c r="Q146" s="280"/>
      <c r="R146" s="280"/>
      <c r="S146" s="280"/>
      <c r="T146" s="280"/>
      <c r="U146" s="280"/>
      <c r="V146" s="280"/>
      <c r="W146" s="280"/>
      <c r="X146" s="280"/>
      <c r="Y146" s="280"/>
      <c r="Z146" s="280"/>
    </row>
    <row r="147">
      <c r="A147" s="284" t="s">
        <v>610</v>
      </c>
      <c r="B147" s="285" t="s">
        <v>236</v>
      </c>
      <c r="C147" s="286">
        <v>0.0</v>
      </c>
      <c r="D147" s="286" t="s">
        <v>461</v>
      </c>
      <c r="E147" s="286">
        <v>0.0</v>
      </c>
      <c r="F147" s="286" t="s">
        <v>450</v>
      </c>
      <c r="G147" s="280"/>
      <c r="H147" s="280"/>
      <c r="I147" s="280"/>
      <c r="J147" s="280"/>
      <c r="K147" s="280"/>
      <c r="L147" s="280"/>
      <c r="M147" s="280"/>
      <c r="N147" s="280"/>
      <c r="O147" s="280"/>
      <c r="P147" s="280"/>
      <c r="Q147" s="280"/>
      <c r="R147" s="280"/>
      <c r="S147" s="280"/>
      <c r="T147" s="280"/>
      <c r="U147" s="280"/>
      <c r="V147" s="280"/>
      <c r="W147" s="280"/>
      <c r="X147" s="280"/>
      <c r="Y147" s="280"/>
      <c r="Z147" s="280"/>
    </row>
    <row r="148">
      <c r="A148" s="284" t="s">
        <v>611</v>
      </c>
      <c r="B148" s="285" t="s">
        <v>236</v>
      </c>
      <c r="C148" s="286">
        <v>0.0</v>
      </c>
      <c r="D148" s="286" t="s">
        <v>454</v>
      </c>
      <c r="E148" s="286">
        <v>0.0</v>
      </c>
      <c r="F148" s="286" t="s">
        <v>450</v>
      </c>
      <c r="G148" s="280"/>
      <c r="H148" s="280"/>
      <c r="I148" s="280"/>
      <c r="J148" s="280"/>
      <c r="K148" s="280"/>
      <c r="L148" s="280"/>
      <c r="M148" s="280"/>
      <c r="N148" s="280"/>
      <c r="O148" s="280"/>
      <c r="P148" s="280"/>
      <c r="Q148" s="280"/>
      <c r="R148" s="280"/>
      <c r="S148" s="280"/>
      <c r="T148" s="280"/>
      <c r="U148" s="280"/>
      <c r="V148" s="280"/>
      <c r="W148" s="280"/>
      <c r="X148" s="280"/>
      <c r="Y148" s="280"/>
      <c r="Z148" s="280"/>
    </row>
    <row r="149">
      <c r="A149" s="284" t="s">
        <v>612</v>
      </c>
      <c r="B149" s="285" t="s">
        <v>236</v>
      </c>
      <c r="C149" s="286">
        <v>0.0</v>
      </c>
      <c r="D149" s="286" t="s">
        <v>461</v>
      </c>
      <c r="E149" s="286">
        <v>0.0</v>
      </c>
      <c r="F149" s="286" t="s">
        <v>450</v>
      </c>
      <c r="G149" s="280"/>
      <c r="H149" s="280"/>
      <c r="I149" s="280"/>
      <c r="J149" s="280"/>
      <c r="K149" s="280"/>
      <c r="L149" s="280"/>
      <c r="M149" s="280"/>
      <c r="N149" s="280"/>
      <c r="O149" s="280"/>
      <c r="P149" s="280"/>
      <c r="Q149" s="280"/>
      <c r="R149" s="280"/>
      <c r="S149" s="280"/>
      <c r="T149" s="280"/>
      <c r="U149" s="280"/>
      <c r="V149" s="280"/>
      <c r="W149" s="280"/>
      <c r="X149" s="280"/>
      <c r="Y149" s="280"/>
      <c r="Z149" s="280"/>
    </row>
    <row r="150">
      <c r="A150" s="284" t="s">
        <v>613</v>
      </c>
      <c r="B150" s="285" t="s">
        <v>236</v>
      </c>
      <c r="C150" s="286">
        <v>0.0</v>
      </c>
      <c r="D150" s="286" t="s">
        <v>454</v>
      </c>
      <c r="E150" s="286">
        <v>0.0</v>
      </c>
      <c r="F150" s="286" t="s">
        <v>461</v>
      </c>
      <c r="G150" s="280"/>
      <c r="H150" s="280"/>
      <c r="I150" s="280"/>
      <c r="J150" s="280"/>
      <c r="K150" s="280"/>
      <c r="L150" s="280"/>
      <c r="M150" s="280"/>
      <c r="N150" s="280"/>
      <c r="O150" s="280"/>
      <c r="P150" s="280"/>
      <c r="Q150" s="280"/>
      <c r="R150" s="280"/>
      <c r="S150" s="280"/>
      <c r="T150" s="280"/>
      <c r="U150" s="280"/>
      <c r="V150" s="280"/>
      <c r="W150" s="280"/>
      <c r="X150" s="280"/>
      <c r="Y150" s="280"/>
      <c r="Z150" s="280"/>
    </row>
    <row r="151">
      <c r="A151" s="284" t="s">
        <v>614</v>
      </c>
      <c r="B151" s="285" t="s">
        <v>236</v>
      </c>
      <c r="C151" s="286">
        <v>0.0</v>
      </c>
      <c r="D151" s="286" t="s">
        <v>450</v>
      </c>
      <c r="E151" s="286" t="s">
        <v>450</v>
      </c>
      <c r="F151" s="286" t="s">
        <v>461</v>
      </c>
      <c r="G151" s="280"/>
      <c r="H151" s="280"/>
      <c r="I151" s="280"/>
      <c r="J151" s="280"/>
      <c r="K151" s="280"/>
      <c r="L151" s="280"/>
      <c r="M151" s="280"/>
      <c r="N151" s="280"/>
      <c r="O151" s="280"/>
      <c r="P151" s="280"/>
      <c r="Q151" s="280"/>
      <c r="R151" s="280"/>
      <c r="S151" s="280"/>
      <c r="T151" s="280"/>
      <c r="U151" s="280"/>
      <c r="V151" s="280"/>
      <c r="W151" s="280"/>
      <c r="X151" s="280"/>
      <c r="Y151" s="280"/>
      <c r="Z151" s="280"/>
    </row>
    <row r="152">
      <c r="A152" s="284" t="s">
        <v>615</v>
      </c>
      <c r="B152" s="285" t="s">
        <v>236</v>
      </c>
      <c r="C152" s="286">
        <v>0.0</v>
      </c>
      <c r="D152" s="286">
        <v>0.0</v>
      </c>
      <c r="E152" s="286">
        <v>0.0</v>
      </c>
      <c r="F152" s="286" t="s">
        <v>450</v>
      </c>
      <c r="G152" s="280"/>
      <c r="H152" s="280"/>
      <c r="I152" s="280"/>
      <c r="J152" s="280"/>
      <c r="K152" s="280"/>
      <c r="L152" s="280"/>
      <c r="M152" s="280"/>
      <c r="N152" s="280"/>
      <c r="O152" s="280"/>
      <c r="P152" s="280"/>
      <c r="Q152" s="280"/>
      <c r="R152" s="280"/>
      <c r="S152" s="280"/>
      <c r="T152" s="280"/>
      <c r="U152" s="280"/>
      <c r="V152" s="280"/>
      <c r="W152" s="280"/>
      <c r="X152" s="280"/>
      <c r="Y152" s="280"/>
      <c r="Z152" s="280"/>
    </row>
    <row r="153">
      <c r="A153" s="284" t="s">
        <v>616</v>
      </c>
      <c r="B153" s="285" t="s">
        <v>617</v>
      </c>
      <c r="C153" s="286" t="s">
        <v>450</v>
      </c>
      <c r="D153" s="286" t="s">
        <v>460</v>
      </c>
      <c r="E153" s="286">
        <v>0.0</v>
      </c>
      <c r="F153" s="286" t="s">
        <v>450</v>
      </c>
      <c r="G153" s="280"/>
      <c r="H153" s="280"/>
      <c r="I153" s="280"/>
      <c r="J153" s="280"/>
      <c r="K153" s="280"/>
      <c r="L153" s="280"/>
      <c r="M153" s="280"/>
      <c r="N153" s="280"/>
      <c r="O153" s="280"/>
      <c r="P153" s="280"/>
      <c r="Q153" s="280"/>
      <c r="R153" s="280"/>
      <c r="S153" s="280"/>
      <c r="T153" s="280"/>
      <c r="U153" s="280"/>
      <c r="V153" s="280"/>
      <c r="W153" s="280"/>
      <c r="X153" s="280"/>
      <c r="Y153" s="280"/>
      <c r="Z153" s="280"/>
    </row>
    <row r="154">
      <c r="A154" s="284" t="s">
        <v>618</v>
      </c>
      <c r="B154" s="285" t="s">
        <v>617</v>
      </c>
      <c r="C154" s="286">
        <v>0.0</v>
      </c>
      <c r="D154" s="286" t="s">
        <v>461</v>
      </c>
      <c r="E154" s="286">
        <v>0.0</v>
      </c>
      <c r="F154" s="286" t="s">
        <v>450</v>
      </c>
      <c r="G154" s="280"/>
      <c r="H154" s="280"/>
      <c r="I154" s="280"/>
      <c r="J154" s="280"/>
      <c r="K154" s="280"/>
      <c r="L154" s="280"/>
      <c r="M154" s="280"/>
      <c r="N154" s="280"/>
      <c r="O154" s="280"/>
      <c r="P154" s="280"/>
      <c r="Q154" s="280"/>
      <c r="R154" s="280"/>
      <c r="S154" s="280"/>
      <c r="T154" s="280"/>
      <c r="U154" s="280"/>
      <c r="V154" s="280"/>
      <c r="W154" s="280"/>
      <c r="X154" s="280"/>
      <c r="Y154" s="280"/>
      <c r="Z154" s="280"/>
    </row>
    <row r="155">
      <c r="A155" s="284" t="s">
        <v>619</v>
      </c>
      <c r="B155" s="285" t="s">
        <v>617</v>
      </c>
      <c r="C155" s="286" t="s">
        <v>450</v>
      </c>
      <c r="D155" s="286" t="s">
        <v>516</v>
      </c>
      <c r="E155" s="286">
        <v>0.0</v>
      </c>
      <c r="F155" s="286" t="s">
        <v>450</v>
      </c>
      <c r="G155" s="280"/>
      <c r="H155" s="280"/>
      <c r="I155" s="280"/>
      <c r="J155" s="280"/>
      <c r="K155" s="280"/>
      <c r="L155" s="280"/>
      <c r="M155" s="280"/>
      <c r="N155" s="280"/>
      <c r="O155" s="280"/>
      <c r="P155" s="280"/>
      <c r="Q155" s="280"/>
      <c r="R155" s="280"/>
      <c r="S155" s="280"/>
      <c r="T155" s="280"/>
      <c r="U155" s="280"/>
      <c r="V155" s="280"/>
      <c r="W155" s="280"/>
      <c r="X155" s="280"/>
      <c r="Y155" s="280"/>
      <c r="Z155" s="280"/>
    </row>
    <row r="156">
      <c r="A156" s="284" t="s">
        <v>620</v>
      </c>
      <c r="B156" s="285" t="s">
        <v>617</v>
      </c>
      <c r="C156" s="286">
        <v>0.0</v>
      </c>
      <c r="D156" s="286" t="s">
        <v>450</v>
      </c>
      <c r="E156" s="286">
        <v>0.0</v>
      </c>
      <c r="F156" s="286">
        <v>0.0</v>
      </c>
      <c r="G156" s="280"/>
      <c r="H156" s="280"/>
      <c r="I156" s="280"/>
      <c r="J156" s="280"/>
      <c r="K156" s="280"/>
      <c r="L156" s="280"/>
      <c r="M156" s="280"/>
      <c r="N156" s="280"/>
      <c r="O156" s="280"/>
      <c r="P156" s="280"/>
      <c r="Q156" s="280"/>
      <c r="R156" s="280"/>
      <c r="S156" s="280"/>
      <c r="T156" s="280"/>
      <c r="U156" s="280"/>
      <c r="V156" s="280"/>
      <c r="W156" s="280"/>
      <c r="X156" s="280"/>
      <c r="Y156" s="280"/>
      <c r="Z156" s="280"/>
    </row>
    <row r="157">
      <c r="A157" s="284" t="s">
        <v>621</v>
      </c>
      <c r="B157" s="285" t="s">
        <v>617</v>
      </c>
      <c r="C157" s="286">
        <v>0.0</v>
      </c>
      <c r="D157" s="286" t="s">
        <v>461</v>
      </c>
      <c r="E157" s="286">
        <v>0.0</v>
      </c>
      <c r="F157" s="286" t="s">
        <v>450</v>
      </c>
      <c r="G157" s="280"/>
      <c r="H157" s="280"/>
      <c r="I157" s="280"/>
      <c r="J157" s="280"/>
      <c r="K157" s="280"/>
      <c r="L157" s="280"/>
      <c r="M157" s="280"/>
      <c r="N157" s="280"/>
      <c r="O157" s="280"/>
      <c r="P157" s="280"/>
      <c r="Q157" s="280"/>
      <c r="R157" s="280"/>
      <c r="S157" s="280"/>
      <c r="T157" s="280"/>
      <c r="U157" s="280"/>
      <c r="V157" s="280"/>
      <c r="W157" s="280"/>
      <c r="X157" s="280"/>
      <c r="Y157" s="280"/>
      <c r="Z157" s="280"/>
    </row>
    <row r="158">
      <c r="A158" s="284" t="s">
        <v>622</v>
      </c>
      <c r="B158" s="285" t="s">
        <v>238</v>
      </c>
      <c r="C158" s="286">
        <v>0.0</v>
      </c>
      <c r="D158" s="286" t="s">
        <v>461</v>
      </c>
      <c r="E158" s="286">
        <v>0.0</v>
      </c>
      <c r="F158" s="286" t="s">
        <v>450</v>
      </c>
      <c r="G158" s="280"/>
      <c r="H158" s="280"/>
      <c r="I158" s="280"/>
      <c r="J158" s="280"/>
      <c r="K158" s="280"/>
      <c r="L158" s="280"/>
      <c r="M158" s="280"/>
      <c r="N158" s="280"/>
      <c r="O158" s="280"/>
      <c r="P158" s="280"/>
      <c r="Q158" s="280"/>
      <c r="R158" s="280"/>
      <c r="S158" s="280"/>
      <c r="T158" s="280"/>
      <c r="U158" s="280"/>
      <c r="V158" s="280"/>
      <c r="W158" s="280"/>
      <c r="X158" s="280"/>
      <c r="Y158" s="280"/>
      <c r="Z158" s="280"/>
    </row>
    <row r="159">
      <c r="A159" s="284" t="s">
        <v>623</v>
      </c>
      <c r="B159" s="285" t="s">
        <v>624</v>
      </c>
      <c r="C159" s="286">
        <v>0.0</v>
      </c>
      <c r="D159" s="286" t="s">
        <v>456</v>
      </c>
      <c r="E159" s="286">
        <v>0.0</v>
      </c>
      <c r="F159" s="286" t="s">
        <v>454</v>
      </c>
      <c r="G159" s="280"/>
      <c r="H159" s="280"/>
      <c r="I159" s="280"/>
      <c r="J159" s="280"/>
      <c r="K159" s="280"/>
      <c r="L159" s="280"/>
      <c r="M159" s="280"/>
      <c r="N159" s="280"/>
      <c r="O159" s="280"/>
      <c r="P159" s="280"/>
      <c r="Q159" s="280"/>
      <c r="R159" s="280"/>
      <c r="S159" s="280"/>
      <c r="T159" s="280"/>
      <c r="U159" s="280"/>
      <c r="V159" s="280"/>
      <c r="W159" s="280"/>
      <c r="X159" s="280"/>
      <c r="Y159" s="280"/>
      <c r="Z159" s="280"/>
    </row>
    <row r="160">
      <c r="A160" s="284" t="s">
        <v>625</v>
      </c>
      <c r="B160" s="285" t="s">
        <v>624</v>
      </c>
      <c r="C160" s="286">
        <v>0.0</v>
      </c>
      <c r="D160" s="286" t="s">
        <v>454</v>
      </c>
      <c r="E160" s="286">
        <v>0.0</v>
      </c>
      <c r="F160" s="286" t="s">
        <v>450</v>
      </c>
      <c r="G160" s="280"/>
      <c r="H160" s="280"/>
      <c r="I160" s="280"/>
      <c r="J160" s="280"/>
      <c r="K160" s="280"/>
      <c r="L160" s="280"/>
      <c r="M160" s="280"/>
      <c r="N160" s="280"/>
      <c r="O160" s="280"/>
      <c r="P160" s="280"/>
      <c r="Q160" s="280"/>
      <c r="R160" s="280"/>
      <c r="S160" s="280"/>
      <c r="T160" s="280"/>
      <c r="U160" s="280"/>
      <c r="V160" s="280"/>
      <c r="W160" s="280"/>
      <c r="X160" s="280"/>
      <c r="Y160" s="280"/>
      <c r="Z160" s="280"/>
    </row>
    <row r="161">
      <c r="A161" s="284" t="s">
        <v>626</v>
      </c>
      <c r="B161" s="285" t="s">
        <v>239</v>
      </c>
      <c r="C161" s="286">
        <v>0.0</v>
      </c>
      <c r="D161" s="286" t="s">
        <v>461</v>
      </c>
      <c r="E161" s="286">
        <v>0.0</v>
      </c>
      <c r="F161" s="286" t="s">
        <v>461</v>
      </c>
      <c r="G161" s="280"/>
      <c r="H161" s="280"/>
      <c r="I161" s="280"/>
      <c r="J161" s="280"/>
      <c r="K161" s="280"/>
      <c r="L161" s="280"/>
      <c r="M161" s="280"/>
      <c r="N161" s="280"/>
      <c r="O161" s="280"/>
      <c r="P161" s="280"/>
      <c r="Q161" s="280"/>
      <c r="R161" s="280"/>
      <c r="S161" s="280"/>
      <c r="T161" s="280"/>
      <c r="U161" s="280"/>
      <c r="V161" s="280"/>
      <c r="W161" s="280"/>
      <c r="X161" s="280"/>
      <c r="Y161" s="280"/>
      <c r="Z161" s="280"/>
    </row>
    <row r="162">
      <c r="A162" s="284" t="s">
        <v>627</v>
      </c>
      <c r="B162" s="285" t="s">
        <v>239</v>
      </c>
      <c r="C162" s="286">
        <v>0.0</v>
      </c>
      <c r="D162" s="286" t="s">
        <v>461</v>
      </c>
      <c r="E162" s="286">
        <v>0.0</v>
      </c>
      <c r="F162" s="286" t="s">
        <v>450</v>
      </c>
      <c r="G162" s="280"/>
      <c r="H162" s="280"/>
      <c r="I162" s="280"/>
      <c r="J162" s="280"/>
      <c r="K162" s="280"/>
      <c r="L162" s="280"/>
      <c r="M162" s="280"/>
      <c r="N162" s="280"/>
      <c r="O162" s="280"/>
      <c r="P162" s="280"/>
      <c r="Q162" s="280"/>
      <c r="R162" s="280"/>
      <c r="S162" s="280"/>
      <c r="T162" s="280"/>
      <c r="U162" s="280"/>
      <c r="V162" s="280"/>
      <c r="W162" s="280"/>
      <c r="X162" s="280"/>
      <c r="Y162" s="280"/>
      <c r="Z162" s="280"/>
    </row>
    <row r="163">
      <c r="A163" s="284" t="s">
        <v>628</v>
      </c>
      <c r="B163" s="285" t="s">
        <v>629</v>
      </c>
      <c r="C163" s="286">
        <v>0.0</v>
      </c>
      <c r="D163" s="286" t="s">
        <v>461</v>
      </c>
      <c r="E163" s="286">
        <v>0.0</v>
      </c>
      <c r="F163" s="286" t="s">
        <v>450</v>
      </c>
      <c r="G163" s="280"/>
      <c r="H163" s="280"/>
      <c r="I163" s="280"/>
      <c r="J163" s="280"/>
      <c r="K163" s="280"/>
      <c r="L163" s="280"/>
      <c r="M163" s="280"/>
      <c r="N163" s="280"/>
      <c r="O163" s="280"/>
      <c r="P163" s="280"/>
      <c r="Q163" s="280"/>
      <c r="R163" s="280"/>
      <c r="S163" s="280"/>
      <c r="T163" s="280"/>
      <c r="U163" s="280"/>
      <c r="V163" s="280"/>
      <c r="W163" s="280"/>
      <c r="X163" s="280"/>
      <c r="Y163" s="280"/>
      <c r="Z163" s="280"/>
    </row>
    <row r="164">
      <c r="A164" s="284" t="s">
        <v>630</v>
      </c>
      <c r="B164" s="285" t="s">
        <v>629</v>
      </c>
      <c r="C164" s="286">
        <v>0.0</v>
      </c>
      <c r="D164" s="286" t="s">
        <v>461</v>
      </c>
      <c r="E164" s="286">
        <v>0.0</v>
      </c>
      <c r="F164" s="286" t="s">
        <v>450</v>
      </c>
      <c r="G164" s="280"/>
      <c r="H164" s="280"/>
      <c r="I164" s="280"/>
      <c r="J164" s="280"/>
      <c r="K164" s="280"/>
      <c r="L164" s="280"/>
      <c r="M164" s="280"/>
      <c r="N164" s="280"/>
      <c r="O164" s="280"/>
      <c r="P164" s="280"/>
      <c r="Q164" s="280"/>
      <c r="R164" s="280"/>
      <c r="S164" s="280"/>
      <c r="T164" s="280"/>
      <c r="U164" s="280"/>
      <c r="V164" s="280"/>
      <c r="W164" s="280"/>
      <c r="X164" s="280"/>
      <c r="Y164" s="280"/>
      <c r="Z164" s="280"/>
    </row>
    <row r="165">
      <c r="A165" s="284" t="s">
        <v>631</v>
      </c>
      <c r="B165" s="285" t="s">
        <v>632</v>
      </c>
      <c r="C165" s="286">
        <v>0.0</v>
      </c>
      <c r="D165" s="286" t="s">
        <v>454</v>
      </c>
      <c r="E165" s="286">
        <v>0.0</v>
      </c>
      <c r="F165" s="286" t="s">
        <v>461</v>
      </c>
      <c r="G165" s="280"/>
      <c r="H165" s="280"/>
      <c r="I165" s="280"/>
      <c r="J165" s="280"/>
      <c r="K165" s="280"/>
      <c r="L165" s="280"/>
      <c r="M165" s="280"/>
      <c r="N165" s="280"/>
      <c r="O165" s="280"/>
      <c r="P165" s="280"/>
      <c r="Q165" s="280"/>
      <c r="R165" s="280"/>
      <c r="S165" s="280"/>
      <c r="T165" s="280"/>
      <c r="U165" s="280"/>
      <c r="V165" s="280"/>
      <c r="W165" s="280"/>
      <c r="X165" s="280"/>
      <c r="Y165" s="280"/>
      <c r="Z165" s="280"/>
    </row>
    <row r="166">
      <c r="A166" s="284" t="s">
        <v>633</v>
      </c>
      <c r="B166" s="285" t="s">
        <v>241</v>
      </c>
      <c r="C166" s="286">
        <v>0.0</v>
      </c>
      <c r="D166" s="286" t="s">
        <v>450</v>
      </c>
      <c r="E166" s="286">
        <v>0.0</v>
      </c>
      <c r="F166" s="286" t="s">
        <v>450</v>
      </c>
      <c r="G166" s="280"/>
      <c r="H166" s="280"/>
      <c r="I166" s="280"/>
      <c r="J166" s="280"/>
      <c r="K166" s="280"/>
      <c r="L166" s="280"/>
      <c r="M166" s="280"/>
      <c r="N166" s="280"/>
      <c r="O166" s="280"/>
      <c r="P166" s="280"/>
      <c r="Q166" s="280"/>
      <c r="R166" s="280"/>
      <c r="S166" s="280"/>
      <c r="T166" s="280"/>
      <c r="U166" s="280"/>
      <c r="V166" s="280"/>
      <c r="W166" s="280"/>
      <c r="X166" s="280"/>
      <c r="Y166" s="280"/>
      <c r="Z166" s="280"/>
    </row>
    <row r="167">
      <c r="A167" s="284" t="s">
        <v>634</v>
      </c>
      <c r="B167" s="285" t="s">
        <v>241</v>
      </c>
      <c r="C167" s="286">
        <v>0.0</v>
      </c>
      <c r="D167" s="286" t="s">
        <v>450</v>
      </c>
      <c r="E167" s="286">
        <v>0.0</v>
      </c>
      <c r="F167" s="286" t="s">
        <v>450</v>
      </c>
      <c r="G167" s="280"/>
      <c r="H167" s="280"/>
      <c r="I167" s="280"/>
      <c r="J167" s="280"/>
      <c r="K167" s="280"/>
      <c r="L167" s="280"/>
      <c r="M167" s="280"/>
      <c r="N167" s="280"/>
      <c r="O167" s="280"/>
      <c r="P167" s="280"/>
      <c r="Q167" s="280"/>
      <c r="R167" s="280"/>
      <c r="S167" s="280"/>
      <c r="T167" s="280"/>
      <c r="U167" s="280"/>
      <c r="V167" s="280"/>
      <c r="W167" s="280"/>
      <c r="X167" s="280"/>
      <c r="Y167" s="280"/>
      <c r="Z167" s="280"/>
    </row>
    <row r="168">
      <c r="A168" s="284" t="s">
        <v>635</v>
      </c>
      <c r="B168" s="285" t="s">
        <v>242</v>
      </c>
      <c r="C168" s="286">
        <v>0.0</v>
      </c>
      <c r="D168" s="286" t="s">
        <v>461</v>
      </c>
      <c r="E168" s="286">
        <v>0.0</v>
      </c>
      <c r="F168" s="286" t="s">
        <v>461</v>
      </c>
      <c r="G168" s="280"/>
      <c r="H168" s="280"/>
      <c r="I168" s="280"/>
      <c r="J168" s="280"/>
      <c r="K168" s="280"/>
      <c r="L168" s="280"/>
      <c r="M168" s="280"/>
      <c r="N168" s="280"/>
      <c r="O168" s="280"/>
      <c r="P168" s="280"/>
      <c r="Q168" s="280"/>
      <c r="R168" s="280"/>
      <c r="S168" s="280"/>
      <c r="T168" s="280"/>
      <c r="U168" s="280"/>
      <c r="V168" s="280"/>
      <c r="W168" s="280"/>
      <c r="X168" s="280"/>
      <c r="Y168" s="280"/>
      <c r="Z168" s="280"/>
    </row>
    <row r="169">
      <c r="A169" s="284" t="s">
        <v>636</v>
      </c>
      <c r="B169" s="285" t="s">
        <v>242</v>
      </c>
      <c r="C169" s="286">
        <v>0.0</v>
      </c>
      <c r="D169" s="286" t="s">
        <v>450</v>
      </c>
      <c r="E169" s="286">
        <v>0.0</v>
      </c>
      <c r="F169" s="286" t="s">
        <v>450</v>
      </c>
      <c r="G169" s="280"/>
      <c r="H169" s="280"/>
      <c r="I169" s="280"/>
      <c r="J169" s="280"/>
      <c r="K169" s="280"/>
      <c r="L169" s="280"/>
      <c r="M169" s="280"/>
      <c r="N169" s="280"/>
      <c r="O169" s="280"/>
      <c r="P169" s="280"/>
      <c r="Q169" s="280"/>
      <c r="R169" s="280"/>
      <c r="S169" s="280"/>
      <c r="T169" s="280"/>
      <c r="U169" s="280"/>
      <c r="V169" s="280"/>
      <c r="W169" s="280"/>
      <c r="X169" s="280"/>
      <c r="Y169" s="280"/>
      <c r="Z169" s="280"/>
    </row>
    <row r="170">
      <c r="A170" s="284" t="s">
        <v>637</v>
      </c>
      <c r="B170" s="285" t="s">
        <v>242</v>
      </c>
      <c r="C170" s="286">
        <v>0.0</v>
      </c>
      <c r="D170" s="286" t="s">
        <v>450</v>
      </c>
      <c r="E170" s="286">
        <v>0.0</v>
      </c>
      <c r="F170" s="286" t="s">
        <v>450</v>
      </c>
      <c r="G170" s="280"/>
      <c r="H170" s="280"/>
      <c r="I170" s="280"/>
      <c r="J170" s="280"/>
      <c r="K170" s="280"/>
      <c r="L170" s="280"/>
      <c r="M170" s="280"/>
      <c r="N170" s="280"/>
      <c r="O170" s="280"/>
      <c r="P170" s="280"/>
      <c r="Q170" s="280"/>
      <c r="R170" s="280"/>
      <c r="S170" s="280"/>
      <c r="T170" s="280"/>
      <c r="U170" s="280"/>
      <c r="V170" s="280"/>
      <c r="W170" s="280"/>
      <c r="X170" s="280"/>
      <c r="Y170" s="280"/>
      <c r="Z170" s="280"/>
    </row>
    <row r="171">
      <c r="A171" s="284" t="s">
        <v>638</v>
      </c>
      <c r="B171" s="285" t="s">
        <v>242</v>
      </c>
      <c r="C171" s="286" t="s">
        <v>450</v>
      </c>
      <c r="D171" s="286" t="s">
        <v>456</v>
      </c>
      <c r="E171" s="286">
        <v>0.0</v>
      </c>
      <c r="F171" s="286" t="s">
        <v>454</v>
      </c>
      <c r="G171" s="280"/>
      <c r="H171" s="280"/>
      <c r="I171" s="280"/>
      <c r="J171" s="280"/>
      <c r="K171" s="280"/>
      <c r="L171" s="280"/>
      <c r="M171" s="280"/>
      <c r="N171" s="280"/>
      <c r="O171" s="280"/>
      <c r="P171" s="280"/>
      <c r="Q171" s="280"/>
      <c r="R171" s="280"/>
      <c r="S171" s="280"/>
      <c r="T171" s="280"/>
      <c r="U171" s="280"/>
      <c r="V171" s="280"/>
      <c r="W171" s="280"/>
      <c r="X171" s="280"/>
      <c r="Y171" s="280"/>
      <c r="Z171" s="280"/>
    </row>
    <row r="172">
      <c r="A172" s="284" t="s">
        <v>639</v>
      </c>
      <c r="B172" s="285" t="s">
        <v>242</v>
      </c>
      <c r="C172" s="286" t="s">
        <v>450</v>
      </c>
      <c r="D172" s="286" t="s">
        <v>482</v>
      </c>
      <c r="E172" s="286">
        <v>0.0</v>
      </c>
      <c r="F172" s="286" t="s">
        <v>461</v>
      </c>
      <c r="G172" s="280"/>
      <c r="H172" s="280"/>
      <c r="I172" s="280"/>
      <c r="J172" s="280"/>
      <c r="K172" s="280"/>
      <c r="L172" s="280"/>
      <c r="M172" s="280"/>
      <c r="N172" s="280"/>
      <c r="O172" s="280"/>
      <c r="P172" s="280"/>
      <c r="Q172" s="280"/>
      <c r="R172" s="280"/>
      <c r="S172" s="280"/>
      <c r="T172" s="280"/>
      <c r="U172" s="280"/>
      <c r="V172" s="280"/>
      <c r="W172" s="280"/>
      <c r="X172" s="280"/>
      <c r="Y172" s="280"/>
      <c r="Z172" s="280"/>
    </row>
    <row r="173">
      <c r="A173" s="284" t="s">
        <v>640</v>
      </c>
      <c r="B173" s="285" t="s">
        <v>242</v>
      </c>
      <c r="C173" s="286">
        <v>0.0</v>
      </c>
      <c r="D173" s="286" t="s">
        <v>461</v>
      </c>
      <c r="E173" s="286">
        <v>0.0</v>
      </c>
      <c r="F173" s="286" t="s">
        <v>450</v>
      </c>
      <c r="G173" s="280"/>
      <c r="H173" s="280"/>
      <c r="I173" s="280"/>
      <c r="J173" s="280"/>
      <c r="K173" s="280"/>
      <c r="L173" s="280"/>
      <c r="M173" s="280"/>
      <c r="N173" s="280"/>
      <c r="O173" s="280"/>
      <c r="P173" s="280"/>
      <c r="Q173" s="280"/>
      <c r="R173" s="280"/>
      <c r="S173" s="280"/>
      <c r="T173" s="280"/>
      <c r="U173" s="280"/>
      <c r="V173" s="280"/>
      <c r="W173" s="280"/>
      <c r="X173" s="280"/>
      <c r="Y173" s="280"/>
      <c r="Z173" s="280"/>
    </row>
    <row r="174">
      <c r="A174" s="284" t="s">
        <v>641</v>
      </c>
      <c r="B174" s="285" t="s">
        <v>242</v>
      </c>
      <c r="C174" s="286">
        <v>0.0</v>
      </c>
      <c r="D174" s="286" t="s">
        <v>450</v>
      </c>
      <c r="E174" s="286">
        <v>0.0</v>
      </c>
      <c r="F174" s="286" t="s">
        <v>450</v>
      </c>
      <c r="G174" s="280"/>
      <c r="H174" s="280"/>
      <c r="I174" s="280"/>
      <c r="J174" s="280"/>
      <c r="K174" s="280"/>
      <c r="L174" s="280"/>
      <c r="M174" s="280"/>
      <c r="N174" s="280"/>
      <c r="O174" s="280"/>
      <c r="P174" s="280"/>
      <c r="Q174" s="280"/>
      <c r="R174" s="280"/>
      <c r="S174" s="280"/>
      <c r="T174" s="280"/>
      <c r="U174" s="280"/>
      <c r="V174" s="280"/>
      <c r="W174" s="280"/>
      <c r="X174" s="280"/>
      <c r="Y174" s="280"/>
      <c r="Z174" s="280"/>
    </row>
    <row r="175">
      <c r="A175" s="284" t="s">
        <v>642</v>
      </c>
      <c r="B175" s="285" t="s">
        <v>242</v>
      </c>
      <c r="C175" s="286">
        <v>0.0</v>
      </c>
      <c r="D175" s="286" t="s">
        <v>460</v>
      </c>
      <c r="E175" s="286">
        <v>0.0</v>
      </c>
      <c r="F175" s="286" t="s">
        <v>461</v>
      </c>
      <c r="G175" s="280"/>
      <c r="H175" s="280"/>
      <c r="I175" s="280"/>
      <c r="J175" s="280"/>
      <c r="K175" s="280"/>
      <c r="L175" s="280"/>
      <c r="M175" s="280"/>
      <c r="N175" s="280"/>
      <c r="O175" s="280"/>
      <c r="P175" s="280"/>
      <c r="Q175" s="280"/>
      <c r="R175" s="280"/>
      <c r="S175" s="280"/>
      <c r="T175" s="280"/>
      <c r="U175" s="280"/>
      <c r="V175" s="280"/>
      <c r="W175" s="280"/>
      <c r="X175" s="280"/>
      <c r="Y175" s="280"/>
      <c r="Z175" s="280"/>
    </row>
    <row r="176">
      <c r="A176" s="284" t="s">
        <v>643</v>
      </c>
      <c r="B176" s="285" t="s">
        <v>643</v>
      </c>
      <c r="C176" s="286">
        <v>0.0</v>
      </c>
      <c r="D176" s="286" t="s">
        <v>450</v>
      </c>
      <c r="E176" s="286">
        <v>0.0</v>
      </c>
      <c r="F176" s="286" t="s">
        <v>450</v>
      </c>
      <c r="G176" s="280"/>
      <c r="H176" s="280"/>
      <c r="I176" s="280"/>
      <c r="J176" s="280"/>
      <c r="K176" s="280"/>
      <c r="L176" s="280"/>
      <c r="M176" s="280"/>
      <c r="N176" s="280"/>
      <c r="O176" s="280"/>
      <c r="P176" s="280"/>
      <c r="Q176" s="280"/>
      <c r="R176" s="280"/>
      <c r="S176" s="280"/>
      <c r="T176" s="280"/>
      <c r="U176" s="280"/>
      <c r="V176" s="280"/>
      <c r="W176" s="280"/>
      <c r="X176" s="280"/>
      <c r="Y176" s="280"/>
      <c r="Z176" s="280"/>
    </row>
    <row r="177">
      <c r="A177" s="284" t="s">
        <v>644</v>
      </c>
      <c r="B177" s="285" t="s">
        <v>645</v>
      </c>
      <c r="C177" s="286">
        <v>0.0</v>
      </c>
      <c r="D177" s="286" t="s">
        <v>450</v>
      </c>
      <c r="E177" s="286">
        <v>0.0</v>
      </c>
      <c r="F177" s="286" t="s">
        <v>450</v>
      </c>
      <c r="G177" s="280"/>
      <c r="H177" s="280"/>
      <c r="I177" s="280"/>
      <c r="J177" s="280"/>
      <c r="K177" s="280"/>
      <c r="L177" s="280"/>
      <c r="M177" s="280"/>
      <c r="N177" s="280"/>
      <c r="O177" s="280"/>
      <c r="P177" s="280"/>
      <c r="Q177" s="280"/>
      <c r="R177" s="280"/>
      <c r="S177" s="280"/>
      <c r="T177" s="280"/>
      <c r="U177" s="280"/>
      <c r="V177" s="280"/>
      <c r="W177" s="280"/>
      <c r="X177" s="280"/>
      <c r="Y177" s="280"/>
      <c r="Z177" s="280"/>
    </row>
    <row r="178">
      <c r="A178" s="284" t="s">
        <v>646</v>
      </c>
      <c r="B178" s="285" t="s">
        <v>243</v>
      </c>
      <c r="C178" s="286">
        <v>0.0</v>
      </c>
      <c r="D178" s="286" t="s">
        <v>454</v>
      </c>
      <c r="E178" s="286">
        <v>0.0</v>
      </c>
      <c r="F178" s="286" t="s">
        <v>461</v>
      </c>
      <c r="G178" s="280"/>
      <c r="H178" s="280"/>
      <c r="I178" s="280"/>
      <c r="J178" s="280"/>
      <c r="K178" s="280"/>
      <c r="L178" s="280"/>
      <c r="M178" s="280"/>
      <c r="N178" s="280"/>
      <c r="O178" s="280"/>
      <c r="P178" s="280"/>
      <c r="Q178" s="280"/>
      <c r="R178" s="280"/>
      <c r="S178" s="280"/>
      <c r="T178" s="280"/>
      <c r="U178" s="280"/>
      <c r="V178" s="280"/>
      <c r="W178" s="280"/>
      <c r="X178" s="280"/>
      <c r="Y178" s="280"/>
      <c r="Z178" s="280"/>
    </row>
    <row r="179">
      <c r="A179" s="284" t="s">
        <v>647</v>
      </c>
      <c r="B179" s="285" t="s">
        <v>243</v>
      </c>
      <c r="C179" s="286" t="s">
        <v>450</v>
      </c>
      <c r="D179" s="286" t="s">
        <v>516</v>
      </c>
      <c r="E179" s="286">
        <v>0.0</v>
      </c>
      <c r="F179" s="286" t="s">
        <v>461</v>
      </c>
      <c r="G179" s="280"/>
      <c r="H179" s="280"/>
      <c r="I179" s="280"/>
      <c r="J179" s="280"/>
      <c r="K179" s="280"/>
      <c r="L179" s="280"/>
      <c r="M179" s="280"/>
      <c r="N179" s="280"/>
      <c r="O179" s="280"/>
      <c r="P179" s="280"/>
      <c r="Q179" s="280"/>
      <c r="R179" s="280"/>
      <c r="S179" s="280"/>
      <c r="T179" s="280"/>
      <c r="U179" s="280"/>
      <c r="V179" s="280"/>
      <c r="W179" s="280"/>
      <c r="X179" s="280"/>
      <c r="Y179" s="280"/>
      <c r="Z179" s="280"/>
    </row>
    <row r="180">
      <c r="A180" s="284" t="s">
        <v>648</v>
      </c>
      <c r="B180" s="285" t="s">
        <v>243</v>
      </c>
      <c r="C180" s="286">
        <v>0.0</v>
      </c>
      <c r="D180" s="286" t="s">
        <v>494</v>
      </c>
      <c r="E180" s="286">
        <v>0.0</v>
      </c>
      <c r="F180" s="286" t="s">
        <v>454</v>
      </c>
      <c r="G180" s="280"/>
      <c r="H180" s="280"/>
      <c r="I180" s="280"/>
      <c r="J180" s="280"/>
      <c r="K180" s="280"/>
      <c r="L180" s="280"/>
      <c r="M180" s="280"/>
      <c r="N180" s="280"/>
      <c r="O180" s="280"/>
      <c r="P180" s="280"/>
      <c r="Q180" s="280"/>
      <c r="R180" s="280"/>
      <c r="S180" s="280"/>
      <c r="T180" s="280"/>
      <c r="U180" s="280"/>
      <c r="V180" s="280"/>
      <c r="W180" s="280"/>
      <c r="X180" s="280"/>
      <c r="Y180" s="280"/>
      <c r="Z180" s="280"/>
    </row>
    <row r="181">
      <c r="A181" s="284" t="s">
        <v>649</v>
      </c>
      <c r="B181" s="285" t="s">
        <v>243</v>
      </c>
      <c r="C181" s="286">
        <v>0.0</v>
      </c>
      <c r="D181" s="286" t="s">
        <v>454</v>
      </c>
      <c r="E181" s="286" t="s">
        <v>450</v>
      </c>
      <c r="F181" s="286" t="s">
        <v>461</v>
      </c>
      <c r="G181" s="280"/>
      <c r="H181" s="280"/>
      <c r="I181" s="280"/>
      <c r="J181" s="280"/>
      <c r="K181" s="280"/>
      <c r="L181" s="280"/>
      <c r="M181" s="280"/>
      <c r="N181" s="280"/>
      <c r="O181" s="280"/>
      <c r="P181" s="280"/>
      <c r="Q181" s="280"/>
      <c r="R181" s="280"/>
      <c r="S181" s="280"/>
      <c r="T181" s="280"/>
      <c r="U181" s="280"/>
      <c r="V181" s="280"/>
      <c r="W181" s="280"/>
      <c r="X181" s="280"/>
      <c r="Y181" s="280"/>
      <c r="Z181" s="280"/>
    </row>
    <row r="182">
      <c r="A182" s="284" t="s">
        <v>650</v>
      </c>
      <c r="B182" s="285" t="s">
        <v>243</v>
      </c>
      <c r="C182" s="286" t="s">
        <v>450</v>
      </c>
      <c r="D182" s="286" t="s">
        <v>516</v>
      </c>
      <c r="E182" s="286">
        <v>0.0</v>
      </c>
      <c r="F182" s="286" t="s">
        <v>461</v>
      </c>
      <c r="G182" s="280"/>
      <c r="H182" s="280"/>
      <c r="I182" s="280"/>
      <c r="J182" s="280"/>
      <c r="K182" s="280"/>
      <c r="L182" s="280"/>
      <c r="M182" s="280"/>
      <c r="N182" s="280"/>
      <c r="O182" s="280"/>
      <c r="P182" s="280"/>
      <c r="Q182" s="280"/>
      <c r="R182" s="280"/>
      <c r="S182" s="280"/>
      <c r="T182" s="280"/>
      <c r="U182" s="280"/>
      <c r="V182" s="280"/>
      <c r="W182" s="280"/>
      <c r="X182" s="280"/>
      <c r="Y182" s="280"/>
      <c r="Z182" s="280"/>
    </row>
    <row r="183">
      <c r="A183" s="284" t="s">
        <v>651</v>
      </c>
      <c r="B183" s="285" t="s">
        <v>243</v>
      </c>
      <c r="C183" s="286">
        <v>0.0</v>
      </c>
      <c r="D183" s="286" t="s">
        <v>461</v>
      </c>
      <c r="E183" s="286">
        <v>0.0</v>
      </c>
      <c r="F183" s="286" t="s">
        <v>450</v>
      </c>
      <c r="G183" s="280"/>
      <c r="H183" s="280"/>
      <c r="I183" s="280"/>
      <c r="J183" s="280"/>
      <c r="K183" s="280"/>
      <c r="L183" s="280"/>
      <c r="M183" s="280"/>
      <c r="N183" s="280"/>
      <c r="O183" s="280"/>
      <c r="P183" s="280"/>
      <c r="Q183" s="280"/>
      <c r="R183" s="280"/>
      <c r="S183" s="280"/>
      <c r="T183" s="280"/>
      <c r="U183" s="280"/>
      <c r="V183" s="280"/>
      <c r="W183" s="280"/>
      <c r="X183" s="280"/>
      <c r="Y183" s="280"/>
      <c r="Z183" s="280"/>
    </row>
    <row r="184">
      <c r="A184" s="284" t="s">
        <v>652</v>
      </c>
      <c r="B184" s="285" t="s">
        <v>244</v>
      </c>
      <c r="C184" s="286" t="s">
        <v>450</v>
      </c>
      <c r="D184" s="286" t="s">
        <v>461</v>
      </c>
      <c r="E184" s="286">
        <v>0.0</v>
      </c>
      <c r="F184" s="286" t="s">
        <v>450</v>
      </c>
      <c r="G184" s="280"/>
      <c r="H184" s="280"/>
      <c r="I184" s="280"/>
      <c r="J184" s="280"/>
      <c r="K184" s="280"/>
      <c r="L184" s="280"/>
      <c r="M184" s="280"/>
      <c r="N184" s="280"/>
      <c r="O184" s="280"/>
      <c r="P184" s="280"/>
      <c r="Q184" s="280"/>
      <c r="R184" s="280"/>
      <c r="S184" s="280"/>
      <c r="T184" s="280"/>
      <c r="U184" s="280"/>
      <c r="V184" s="280"/>
      <c r="W184" s="280"/>
      <c r="X184" s="280"/>
      <c r="Y184" s="280"/>
      <c r="Z184" s="280"/>
    </row>
    <row r="185">
      <c r="A185" s="284" t="s">
        <v>653</v>
      </c>
      <c r="B185" s="285" t="s">
        <v>654</v>
      </c>
      <c r="C185" s="286" t="s">
        <v>450</v>
      </c>
      <c r="D185" s="286" t="s">
        <v>454</v>
      </c>
      <c r="E185" s="286" t="s">
        <v>450</v>
      </c>
      <c r="F185" s="286" t="s">
        <v>461</v>
      </c>
      <c r="G185" s="280"/>
      <c r="H185" s="280"/>
      <c r="I185" s="280"/>
      <c r="J185" s="280"/>
      <c r="K185" s="280"/>
      <c r="L185" s="280"/>
      <c r="M185" s="280"/>
      <c r="N185" s="280"/>
      <c r="O185" s="280"/>
      <c r="P185" s="280"/>
      <c r="Q185" s="280"/>
      <c r="R185" s="280"/>
      <c r="S185" s="280"/>
      <c r="T185" s="280"/>
      <c r="U185" s="280"/>
      <c r="V185" s="280"/>
      <c r="W185" s="280"/>
      <c r="X185" s="280"/>
      <c r="Y185" s="280"/>
      <c r="Z185" s="280"/>
    </row>
    <row r="186">
      <c r="A186" s="284" t="s">
        <v>655</v>
      </c>
      <c r="B186" s="285" t="s">
        <v>245</v>
      </c>
      <c r="C186" s="286">
        <v>0.0</v>
      </c>
      <c r="D186" s="286" t="s">
        <v>454</v>
      </c>
      <c r="E186" s="286">
        <v>0.0</v>
      </c>
      <c r="F186" s="286" t="s">
        <v>450</v>
      </c>
      <c r="G186" s="280"/>
      <c r="H186" s="280"/>
      <c r="I186" s="280"/>
      <c r="J186" s="280"/>
      <c r="K186" s="280"/>
      <c r="L186" s="280"/>
      <c r="M186" s="280"/>
      <c r="N186" s="280"/>
      <c r="O186" s="280"/>
      <c r="P186" s="280"/>
      <c r="Q186" s="280"/>
      <c r="R186" s="280"/>
      <c r="S186" s="280"/>
      <c r="T186" s="280"/>
      <c r="U186" s="280"/>
      <c r="V186" s="280"/>
      <c r="W186" s="280"/>
      <c r="X186" s="280"/>
      <c r="Y186" s="280"/>
      <c r="Z186" s="280"/>
    </row>
    <row r="187">
      <c r="A187" s="284" t="s">
        <v>656</v>
      </c>
      <c r="B187" s="285" t="s">
        <v>245</v>
      </c>
      <c r="C187" s="286" t="s">
        <v>450</v>
      </c>
      <c r="D187" s="286" t="s">
        <v>454</v>
      </c>
      <c r="E187" s="286">
        <v>0.0</v>
      </c>
      <c r="F187" s="286" t="s">
        <v>450</v>
      </c>
      <c r="G187" s="280"/>
      <c r="H187" s="280"/>
      <c r="I187" s="280"/>
      <c r="J187" s="280"/>
      <c r="K187" s="280"/>
      <c r="L187" s="280"/>
      <c r="M187" s="280"/>
      <c r="N187" s="280"/>
      <c r="O187" s="280"/>
      <c r="P187" s="280"/>
      <c r="Q187" s="280"/>
      <c r="R187" s="280"/>
      <c r="S187" s="280"/>
      <c r="T187" s="280"/>
      <c r="U187" s="280"/>
      <c r="V187" s="280"/>
      <c r="W187" s="280"/>
      <c r="X187" s="280"/>
      <c r="Y187" s="280"/>
      <c r="Z187" s="280"/>
    </row>
    <row r="188">
      <c r="A188" s="284" t="s">
        <v>657</v>
      </c>
      <c r="B188" s="285" t="s">
        <v>245</v>
      </c>
      <c r="C188" s="286">
        <v>0.0</v>
      </c>
      <c r="D188" s="286" t="s">
        <v>461</v>
      </c>
      <c r="E188" s="286">
        <v>0.0</v>
      </c>
      <c r="F188" s="286" t="s">
        <v>450</v>
      </c>
      <c r="G188" s="280"/>
      <c r="H188" s="280"/>
      <c r="I188" s="280"/>
      <c r="J188" s="280"/>
      <c r="K188" s="280"/>
      <c r="L188" s="280"/>
      <c r="M188" s="280"/>
      <c r="N188" s="280"/>
      <c r="O188" s="280"/>
      <c r="P188" s="280"/>
      <c r="Q188" s="280"/>
      <c r="R188" s="280"/>
      <c r="S188" s="280"/>
      <c r="T188" s="280"/>
      <c r="U188" s="280"/>
      <c r="V188" s="280"/>
      <c r="W188" s="280"/>
      <c r="X188" s="280"/>
      <c r="Y188" s="280"/>
      <c r="Z188" s="280"/>
    </row>
    <row r="189">
      <c r="A189" s="284" t="s">
        <v>658</v>
      </c>
      <c r="B189" s="285" t="s">
        <v>245</v>
      </c>
      <c r="C189" s="286">
        <v>0.0</v>
      </c>
      <c r="D189" s="286" t="s">
        <v>460</v>
      </c>
      <c r="E189" s="286" t="s">
        <v>450</v>
      </c>
      <c r="F189" s="286" t="s">
        <v>461</v>
      </c>
      <c r="G189" s="280"/>
      <c r="H189" s="280"/>
      <c r="I189" s="280"/>
      <c r="J189" s="280"/>
      <c r="K189" s="280"/>
      <c r="L189" s="280"/>
      <c r="M189" s="280"/>
      <c r="N189" s="280"/>
      <c r="O189" s="280"/>
      <c r="P189" s="280"/>
      <c r="Q189" s="280"/>
      <c r="R189" s="280"/>
      <c r="S189" s="280"/>
      <c r="T189" s="280"/>
      <c r="U189" s="280"/>
      <c r="V189" s="280"/>
      <c r="W189" s="280"/>
      <c r="X189" s="280"/>
      <c r="Y189" s="280"/>
      <c r="Z189" s="280"/>
    </row>
    <row r="190">
      <c r="A190" s="284" t="s">
        <v>659</v>
      </c>
      <c r="B190" s="285" t="s">
        <v>245</v>
      </c>
      <c r="C190" s="286">
        <v>0.0</v>
      </c>
      <c r="D190" s="286" t="s">
        <v>516</v>
      </c>
      <c r="E190" s="286">
        <v>0.0</v>
      </c>
      <c r="F190" s="286" t="s">
        <v>450</v>
      </c>
      <c r="G190" s="280"/>
      <c r="H190" s="280"/>
      <c r="I190" s="280"/>
      <c r="J190" s="280"/>
      <c r="K190" s="280"/>
      <c r="L190" s="280"/>
      <c r="M190" s="280"/>
      <c r="N190" s="280"/>
      <c r="O190" s="280"/>
      <c r="P190" s="280"/>
      <c r="Q190" s="280"/>
      <c r="R190" s="280"/>
      <c r="S190" s="280"/>
      <c r="T190" s="280"/>
      <c r="U190" s="280"/>
      <c r="V190" s="280"/>
      <c r="W190" s="280"/>
      <c r="X190" s="280"/>
      <c r="Y190" s="280"/>
      <c r="Z190" s="280"/>
    </row>
    <row r="191">
      <c r="A191" s="284" t="s">
        <v>660</v>
      </c>
      <c r="B191" s="285" t="s">
        <v>246</v>
      </c>
      <c r="C191" s="286" t="s">
        <v>450</v>
      </c>
      <c r="D191" s="286" t="s">
        <v>460</v>
      </c>
      <c r="E191" s="286">
        <v>0.0</v>
      </c>
      <c r="F191" s="286" t="s">
        <v>454</v>
      </c>
      <c r="G191" s="280"/>
      <c r="H191" s="280"/>
      <c r="I191" s="280"/>
      <c r="J191" s="280"/>
      <c r="K191" s="280"/>
      <c r="L191" s="280"/>
      <c r="M191" s="280"/>
      <c r="N191" s="280"/>
      <c r="O191" s="280"/>
      <c r="P191" s="280"/>
      <c r="Q191" s="280"/>
      <c r="R191" s="280"/>
      <c r="S191" s="280"/>
      <c r="T191" s="280"/>
      <c r="U191" s="280"/>
      <c r="V191" s="280"/>
      <c r="W191" s="280"/>
      <c r="X191" s="280"/>
      <c r="Y191" s="280"/>
      <c r="Z191" s="280"/>
    </row>
    <row r="192">
      <c r="A192" s="284" t="s">
        <v>661</v>
      </c>
      <c r="B192" s="285" t="s">
        <v>246</v>
      </c>
      <c r="C192" s="286" t="s">
        <v>450</v>
      </c>
      <c r="D192" s="286" t="s">
        <v>516</v>
      </c>
      <c r="E192" s="286">
        <v>0.0</v>
      </c>
      <c r="F192" s="286" t="s">
        <v>461</v>
      </c>
      <c r="G192" s="280"/>
      <c r="H192" s="280"/>
      <c r="I192" s="280"/>
      <c r="J192" s="280"/>
      <c r="K192" s="280"/>
      <c r="L192" s="280"/>
      <c r="M192" s="280"/>
      <c r="N192" s="280"/>
      <c r="O192" s="280"/>
      <c r="P192" s="280"/>
      <c r="Q192" s="280"/>
      <c r="R192" s="280"/>
      <c r="S192" s="280"/>
      <c r="T192" s="280"/>
      <c r="U192" s="280"/>
      <c r="V192" s="280"/>
      <c r="W192" s="280"/>
      <c r="X192" s="280"/>
      <c r="Y192" s="280"/>
      <c r="Z192" s="280"/>
    </row>
    <row r="193">
      <c r="A193" s="284" t="s">
        <v>662</v>
      </c>
      <c r="B193" s="285" t="s">
        <v>246</v>
      </c>
      <c r="C193" s="286" t="s">
        <v>450</v>
      </c>
      <c r="D193" s="286" t="s">
        <v>461</v>
      </c>
      <c r="E193" s="286" t="s">
        <v>450</v>
      </c>
      <c r="F193" s="286" t="s">
        <v>450</v>
      </c>
      <c r="G193" s="280"/>
      <c r="H193" s="280"/>
      <c r="I193" s="280"/>
      <c r="J193" s="280"/>
      <c r="K193" s="280"/>
      <c r="L193" s="280"/>
      <c r="M193" s="280"/>
      <c r="N193" s="280"/>
      <c r="O193" s="280"/>
      <c r="P193" s="280"/>
      <c r="Q193" s="280"/>
      <c r="R193" s="280"/>
      <c r="S193" s="280"/>
      <c r="T193" s="280"/>
      <c r="U193" s="280"/>
      <c r="V193" s="280"/>
      <c r="W193" s="280"/>
      <c r="X193" s="280"/>
      <c r="Y193" s="280"/>
      <c r="Z193" s="280"/>
    </row>
    <row r="194">
      <c r="A194" s="284" t="s">
        <v>663</v>
      </c>
      <c r="B194" s="285" t="s">
        <v>247</v>
      </c>
      <c r="C194" s="286">
        <v>0.0</v>
      </c>
      <c r="D194" s="286" t="s">
        <v>461</v>
      </c>
      <c r="E194" s="286">
        <v>0.0</v>
      </c>
      <c r="F194" s="286" t="s">
        <v>450</v>
      </c>
      <c r="G194" s="280"/>
      <c r="H194" s="280"/>
      <c r="I194" s="280"/>
      <c r="J194" s="280"/>
      <c r="K194" s="280"/>
      <c r="L194" s="280"/>
      <c r="M194" s="280"/>
      <c r="N194" s="280"/>
      <c r="O194" s="280"/>
      <c r="P194" s="280"/>
      <c r="Q194" s="280"/>
      <c r="R194" s="280"/>
      <c r="S194" s="280"/>
      <c r="T194" s="280"/>
      <c r="U194" s="280"/>
      <c r="V194" s="280"/>
      <c r="W194" s="280"/>
      <c r="X194" s="280"/>
      <c r="Y194" s="280"/>
      <c r="Z194" s="280"/>
    </row>
    <row r="195">
      <c r="A195" s="284" t="s">
        <v>664</v>
      </c>
      <c r="B195" s="285" t="s">
        <v>248</v>
      </c>
      <c r="C195" s="286" t="s">
        <v>450</v>
      </c>
      <c r="D195" s="286" t="s">
        <v>460</v>
      </c>
      <c r="E195" s="286">
        <v>0.0</v>
      </c>
      <c r="F195" s="286" t="s">
        <v>450</v>
      </c>
      <c r="G195" s="280"/>
      <c r="H195" s="280"/>
      <c r="I195" s="280"/>
      <c r="J195" s="280"/>
      <c r="K195" s="280"/>
      <c r="L195" s="280"/>
      <c r="M195" s="280"/>
      <c r="N195" s="280"/>
      <c r="O195" s="280"/>
      <c r="P195" s="280"/>
      <c r="Q195" s="280"/>
      <c r="R195" s="280"/>
      <c r="S195" s="280"/>
      <c r="T195" s="280"/>
      <c r="U195" s="280"/>
      <c r="V195" s="280"/>
      <c r="W195" s="280"/>
      <c r="X195" s="280"/>
      <c r="Y195" s="280"/>
      <c r="Z195" s="280"/>
    </row>
    <row r="196">
      <c r="A196" s="284" t="s">
        <v>665</v>
      </c>
      <c r="B196" s="285" t="s">
        <v>248</v>
      </c>
      <c r="C196" s="286" t="s">
        <v>450</v>
      </c>
      <c r="D196" s="286" t="s">
        <v>454</v>
      </c>
      <c r="E196" s="286">
        <v>0.0</v>
      </c>
      <c r="F196" s="286" t="s">
        <v>450</v>
      </c>
      <c r="G196" s="280"/>
      <c r="H196" s="280"/>
      <c r="I196" s="280"/>
      <c r="J196" s="280"/>
      <c r="K196" s="280"/>
      <c r="L196" s="280"/>
      <c r="M196" s="280"/>
      <c r="N196" s="280"/>
      <c r="O196" s="280"/>
      <c r="P196" s="280"/>
      <c r="Q196" s="280"/>
      <c r="R196" s="280"/>
      <c r="S196" s="280"/>
      <c r="T196" s="280"/>
      <c r="U196" s="280"/>
      <c r="V196" s="280"/>
      <c r="W196" s="280"/>
      <c r="X196" s="280"/>
      <c r="Y196" s="280"/>
      <c r="Z196" s="280"/>
    </row>
    <row r="197">
      <c r="A197" s="284" t="s">
        <v>666</v>
      </c>
      <c r="B197" s="285" t="s">
        <v>248</v>
      </c>
      <c r="C197" s="286" t="s">
        <v>450</v>
      </c>
      <c r="D197" s="286" t="s">
        <v>516</v>
      </c>
      <c r="E197" s="286">
        <v>0.0</v>
      </c>
      <c r="F197" s="286" t="s">
        <v>461</v>
      </c>
      <c r="G197" s="280"/>
      <c r="H197" s="280"/>
      <c r="I197" s="280"/>
      <c r="J197" s="280"/>
      <c r="K197" s="280"/>
      <c r="L197" s="280"/>
      <c r="M197" s="280"/>
      <c r="N197" s="280"/>
      <c r="O197" s="280"/>
      <c r="P197" s="280"/>
      <c r="Q197" s="280"/>
      <c r="R197" s="280"/>
      <c r="S197" s="280"/>
      <c r="T197" s="280"/>
      <c r="U197" s="280"/>
      <c r="V197" s="280"/>
      <c r="W197" s="280"/>
      <c r="X197" s="280"/>
      <c r="Y197" s="280"/>
      <c r="Z197" s="280"/>
    </row>
    <row r="198">
      <c r="A198" s="284" t="s">
        <v>667</v>
      </c>
      <c r="B198" s="285" t="s">
        <v>248</v>
      </c>
      <c r="C198" s="286">
        <v>0.0</v>
      </c>
      <c r="D198" s="286" t="s">
        <v>450</v>
      </c>
      <c r="E198" s="286">
        <v>0.0</v>
      </c>
      <c r="F198" s="286" t="s">
        <v>450</v>
      </c>
      <c r="G198" s="280"/>
      <c r="H198" s="280"/>
      <c r="I198" s="280"/>
      <c r="J198" s="280"/>
      <c r="K198" s="280"/>
      <c r="L198" s="280"/>
      <c r="M198" s="280"/>
      <c r="N198" s="280"/>
      <c r="O198" s="280"/>
      <c r="P198" s="280"/>
      <c r="Q198" s="280"/>
      <c r="R198" s="280"/>
      <c r="S198" s="280"/>
      <c r="T198" s="280"/>
      <c r="U198" s="280"/>
      <c r="V198" s="280"/>
      <c r="W198" s="280"/>
      <c r="X198" s="280"/>
      <c r="Y198" s="280"/>
      <c r="Z198" s="280"/>
    </row>
    <row r="199">
      <c r="A199" s="284" t="s">
        <v>668</v>
      </c>
      <c r="B199" s="285" t="s">
        <v>249</v>
      </c>
      <c r="C199" s="286">
        <v>0.0</v>
      </c>
      <c r="D199" s="286">
        <v>0.0</v>
      </c>
      <c r="E199" s="286">
        <v>0.0</v>
      </c>
      <c r="F199" s="286" t="s">
        <v>450</v>
      </c>
      <c r="G199" s="280"/>
      <c r="H199" s="280"/>
      <c r="I199" s="280"/>
      <c r="J199" s="280"/>
      <c r="K199" s="280"/>
      <c r="L199" s="280"/>
      <c r="M199" s="280"/>
      <c r="N199" s="280"/>
      <c r="O199" s="280"/>
      <c r="P199" s="280"/>
      <c r="Q199" s="280"/>
      <c r="R199" s="280"/>
      <c r="S199" s="280"/>
      <c r="T199" s="280"/>
      <c r="U199" s="280"/>
      <c r="V199" s="280"/>
      <c r="W199" s="280"/>
      <c r="X199" s="280"/>
      <c r="Y199" s="280"/>
      <c r="Z199" s="280"/>
    </row>
    <row r="200">
      <c r="A200" s="284" t="s">
        <v>669</v>
      </c>
      <c r="B200" s="285" t="s">
        <v>249</v>
      </c>
      <c r="C200" s="286" t="s">
        <v>450</v>
      </c>
      <c r="D200" s="286" t="s">
        <v>516</v>
      </c>
      <c r="E200" s="286">
        <v>0.0</v>
      </c>
      <c r="F200" s="286" t="s">
        <v>461</v>
      </c>
      <c r="G200" s="280"/>
      <c r="H200" s="280"/>
      <c r="I200" s="280"/>
      <c r="J200" s="280"/>
      <c r="K200" s="280"/>
      <c r="L200" s="280"/>
      <c r="M200" s="280"/>
      <c r="N200" s="280"/>
      <c r="O200" s="280"/>
      <c r="P200" s="280"/>
      <c r="Q200" s="280"/>
      <c r="R200" s="280"/>
      <c r="S200" s="280"/>
      <c r="T200" s="280"/>
      <c r="U200" s="280"/>
      <c r="V200" s="280"/>
      <c r="W200" s="280"/>
      <c r="X200" s="280"/>
      <c r="Y200" s="280"/>
      <c r="Z200" s="280"/>
    </row>
    <row r="201">
      <c r="A201" s="284" t="s">
        <v>670</v>
      </c>
      <c r="B201" s="285" t="s">
        <v>249</v>
      </c>
      <c r="C201" s="286">
        <v>0.0</v>
      </c>
      <c r="D201" s="286" t="s">
        <v>461</v>
      </c>
      <c r="E201" s="286">
        <v>0.0</v>
      </c>
      <c r="F201" s="286" t="s">
        <v>461</v>
      </c>
      <c r="G201" s="280"/>
      <c r="H201" s="280"/>
      <c r="I201" s="280"/>
      <c r="J201" s="280"/>
      <c r="K201" s="280"/>
      <c r="L201" s="280"/>
      <c r="M201" s="280"/>
      <c r="N201" s="280"/>
      <c r="O201" s="280"/>
      <c r="P201" s="280"/>
      <c r="Q201" s="280"/>
      <c r="R201" s="280"/>
      <c r="S201" s="280"/>
      <c r="T201" s="280"/>
      <c r="U201" s="280"/>
      <c r="V201" s="280"/>
      <c r="W201" s="280"/>
      <c r="X201" s="280"/>
      <c r="Y201" s="280"/>
      <c r="Z201" s="280"/>
    </row>
    <row r="202">
      <c r="A202" s="284" t="s">
        <v>671</v>
      </c>
      <c r="B202" s="285" t="s">
        <v>249</v>
      </c>
      <c r="C202" s="286">
        <v>0.0</v>
      </c>
      <c r="D202" s="286" t="s">
        <v>461</v>
      </c>
      <c r="E202" s="286">
        <v>0.0</v>
      </c>
      <c r="F202" s="286" t="s">
        <v>461</v>
      </c>
      <c r="G202" s="280"/>
      <c r="H202" s="280"/>
      <c r="I202" s="280"/>
      <c r="J202" s="280"/>
      <c r="K202" s="280"/>
      <c r="L202" s="280"/>
      <c r="M202" s="280"/>
      <c r="N202" s="280"/>
      <c r="O202" s="280"/>
      <c r="P202" s="280"/>
      <c r="Q202" s="280"/>
      <c r="R202" s="280"/>
      <c r="S202" s="280"/>
      <c r="T202" s="280"/>
      <c r="U202" s="280"/>
      <c r="V202" s="280"/>
      <c r="W202" s="280"/>
      <c r="X202" s="280"/>
      <c r="Y202" s="280"/>
      <c r="Z202" s="280"/>
    </row>
    <row r="203">
      <c r="A203" s="284" t="s">
        <v>672</v>
      </c>
      <c r="B203" s="285" t="s">
        <v>249</v>
      </c>
      <c r="C203" s="286">
        <v>0.0</v>
      </c>
      <c r="D203" s="286" t="s">
        <v>454</v>
      </c>
      <c r="E203" s="286">
        <v>0.0</v>
      </c>
      <c r="F203" s="286" t="s">
        <v>450</v>
      </c>
      <c r="G203" s="280"/>
      <c r="H203" s="280"/>
      <c r="I203" s="280"/>
      <c r="J203" s="280"/>
      <c r="K203" s="280"/>
      <c r="L203" s="280"/>
      <c r="M203" s="280"/>
      <c r="N203" s="280"/>
      <c r="O203" s="280"/>
      <c r="P203" s="280"/>
      <c r="Q203" s="280"/>
      <c r="R203" s="280"/>
      <c r="S203" s="280"/>
      <c r="T203" s="280"/>
      <c r="U203" s="280"/>
      <c r="V203" s="280"/>
      <c r="W203" s="280"/>
      <c r="X203" s="280"/>
      <c r="Y203" s="280"/>
      <c r="Z203" s="280"/>
    </row>
    <row r="204">
      <c r="A204" s="284" t="s">
        <v>673</v>
      </c>
      <c r="B204" s="285" t="s">
        <v>249</v>
      </c>
      <c r="C204" s="286" t="s">
        <v>450</v>
      </c>
      <c r="D204" s="286" t="s">
        <v>674</v>
      </c>
      <c r="E204" s="286">
        <v>0.0</v>
      </c>
      <c r="F204" s="286" t="s">
        <v>454</v>
      </c>
      <c r="G204" s="280"/>
      <c r="H204" s="280"/>
      <c r="I204" s="280"/>
      <c r="J204" s="280"/>
      <c r="K204" s="280"/>
      <c r="L204" s="280"/>
      <c r="M204" s="280"/>
      <c r="N204" s="280"/>
      <c r="O204" s="280"/>
      <c r="P204" s="280"/>
      <c r="Q204" s="280"/>
      <c r="R204" s="280"/>
      <c r="S204" s="280"/>
      <c r="T204" s="280"/>
      <c r="U204" s="280"/>
      <c r="V204" s="280"/>
      <c r="W204" s="280"/>
      <c r="X204" s="280"/>
      <c r="Y204" s="280"/>
      <c r="Z204" s="280"/>
    </row>
    <row r="205">
      <c r="A205" s="284" t="s">
        <v>675</v>
      </c>
      <c r="B205" s="285" t="s">
        <v>249</v>
      </c>
      <c r="C205" s="286">
        <v>0.0</v>
      </c>
      <c r="D205" s="286" t="s">
        <v>461</v>
      </c>
      <c r="E205" s="286">
        <v>0.0</v>
      </c>
      <c r="F205" s="286" t="s">
        <v>450</v>
      </c>
      <c r="G205" s="280"/>
      <c r="H205" s="280"/>
      <c r="I205" s="280"/>
      <c r="J205" s="280"/>
      <c r="K205" s="280"/>
      <c r="L205" s="280"/>
      <c r="M205" s="280"/>
      <c r="N205" s="280"/>
      <c r="O205" s="280"/>
      <c r="P205" s="280"/>
      <c r="Q205" s="280"/>
      <c r="R205" s="280"/>
      <c r="S205" s="280"/>
      <c r="T205" s="280"/>
      <c r="U205" s="280"/>
      <c r="V205" s="280"/>
      <c r="W205" s="280"/>
      <c r="X205" s="280"/>
      <c r="Y205" s="280"/>
      <c r="Z205" s="280"/>
    </row>
    <row r="206">
      <c r="A206" s="284" t="s">
        <v>676</v>
      </c>
      <c r="B206" s="285" t="s">
        <v>249</v>
      </c>
      <c r="C206" s="286">
        <v>0.0</v>
      </c>
      <c r="D206" s="286" t="s">
        <v>461</v>
      </c>
      <c r="E206" s="286">
        <v>0.0</v>
      </c>
      <c r="F206" s="286" t="s">
        <v>450</v>
      </c>
      <c r="G206" s="280"/>
      <c r="H206" s="280"/>
      <c r="I206" s="280"/>
      <c r="J206" s="280"/>
      <c r="K206" s="280"/>
      <c r="L206" s="280"/>
      <c r="M206" s="280"/>
      <c r="N206" s="280"/>
      <c r="O206" s="280"/>
      <c r="P206" s="280"/>
      <c r="Q206" s="280"/>
      <c r="R206" s="280"/>
      <c r="S206" s="280"/>
      <c r="T206" s="280"/>
      <c r="U206" s="280"/>
      <c r="V206" s="280"/>
      <c r="W206" s="280"/>
      <c r="X206" s="280"/>
      <c r="Y206" s="280"/>
      <c r="Z206" s="280"/>
    </row>
    <row r="207">
      <c r="A207" s="284" t="s">
        <v>677</v>
      </c>
      <c r="B207" s="285" t="s">
        <v>249</v>
      </c>
      <c r="C207" s="286" t="s">
        <v>450</v>
      </c>
      <c r="D207" s="286" t="s">
        <v>454</v>
      </c>
      <c r="E207" s="286">
        <v>0.0</v>
      </c>
      <c r="F207" s="286" t="s">
        <v>450</v>
      </c>
      <c r="G207" s="280"/>
      <c r="H207" s="280"/>
      <c r="I207" s="280"/>
      <c r="J207" s="280"/>
      <c r="K207" s="280"/>
      <c r="L207" s="280"/>
      <c r="M207" s="280"/>
      <c r="N207" s="280"/>
      <c r="O207" s="280"/>
      <c r="P207" s="280"/>
      <c r="Q207" s="280"/>
      <c r="R207" s="280"/>
      <c r="S207" s="280"/>
      <c r="T207" s="280"/>
      <c r="U207" s="280"/>
      <c r="V207" s="280"/>
      <c r="W207" s="280"/>
      <c r="X207" s="280"/>
      <c r="Y207" s="280"/>
      <c r="Z207" s="280"/>
    </row>
    <row r="208">
      <c r="A208" s="284" t="s">
        <v>678</v>
      </c>
      <c r="B208" s="285" t="s">
        <v>250</v>
      </c>
      <c r="C208" s="286" t="s">
        <v>450</v>
      </c>
      <c r="D208" s="286" t="s">
        <v>516</v>
      </c>
      <c r="E208" s="286">
        <v>0.0</v>
      </c>
      <c r="F208" s="286" t="s">
        <v>461</v>
      </c>
      <c r="G208" s="280"/>
      <c r="H208" s="280"/>
      <c r="I208" s="280"/>
      <c r="J208" s="280"/>
      <c r="K208" s="280"/>
      <c r="L208" s="280"/>
      <c r="M208" s="280"/>
      <c r="N208" s="280"/>
      <c r="O208" s="280"/>
      <c r="P208" s="280"/>
      <c r="Q208" s="280"/>
      <c r="R208" s="280"/>
      <c r="S208" s="280"/>
      <c r="T208" s="280"/>
      <c r="U208" s="280"/>
      <c r="V208" s="280"/>
      <c r="W208" s="280"/>
      <c r="X208" s="280"/>
      <c r="Y208" s="280"/>
      <c r="Z208" s="280"/>
    </row>
    <row r="209">
      <c r="A209" s="284" t="s">
        <v>679</v>
      </c>
      <c r="B209" s="285" t="s">
        <v>250</v>
      </c>
      <c r="C209" s="286">
        <v>0.0</v>
      </c>
      <c r="D209" s="286" t="s">
        <v>450</v>
      </c>
      <c r="E209" s="286">
        <v>0.0</v>
      </c>
      <c r="F209" s="286" t="s">
        <v>450</v>
      </c>
      <c r="G209" s="280"/>
      <c r="H209" s="280"/>
      <c r="I209" s="280"/>
      <c r="J209" s="280"/>
      <c r="K209" s="280"/>
      <c r="L209" s="280"/>
      <c r="M209" s="280"/>
      <c r="N209" s="280"/>
      <c r="O209" s="280"/>
      <c r="P209" s="280"/>
      <c r="Q209" s="280"/>
      <c r="R209" s="280"/>
      <c r="S209" s="280"/>
      <c r="T209" s="280"/>
      <c r="U209" s="280"/>
      <c r="V209" s="280"/>
      <c r="W209" s="280"/>
      <c r="X209" s="280"/>
      <c r="Y209" s="280"/>
      <c r="Z209" s="280"/>
    </row>
    <row r="210">
      <c r="A210" s="284" t="s">
        <v>680</v>
      </c>
      <c r="B210" s="285" t="s">
        <v>250</v>
      </c>
      <c r="C210" s="286">
        <v>0.0</v>
      </c>
      <c r="D210" s="286" t="s">
        <v>454</v>
      </c>
      <c r="E210" s="286">
        <v>0.0</v>
      </c>
      <c r="F210" s="286" t="s">
        <v>461</v>
      </c>
      <c r="G210" s="280"/>
      <c r="H210" s="280"/>
      <c r="I210" s="280"/>
      <c r="J210" s="280"/>
      <c r="K210" s="280"/>
      <c r="L210" s="280"/>
      <c r="M210" s="280"/>
      <c r="N210" s="280"/>
      <c r="O210" s="280"/>
      <c r="P210" s="280"/>
      <c r="Q210" s="280"/>
      <c r="R210" s="280"/>
      <c r="S210" s="280"/>
      <c r="T210" s="280"/>
      <c r="U210" s="280"/>
      <c r="V210" s="280"/>
      <c r="W210" s="280"/>
      <c r="X210" s="280"/>
      <c r="Y210" s="280"/>
      <c r="Z210" s="280"/>
    </row>
    <row r="211">
      <c r="A211" s="284" t="s">
        <v>681</v>
      </c>
      <c r="B211" s="285" t="s">
        <v>250</v>
      </c>
      <c r="C211" s="286">
        <v>0.0</v>
      </c>
      <c r="D211" s="286" t="s">
        <v>461</v>
      </c>
      <c r="E211" s="286">
        <v>0.0</v>
      </c>
      <c r="F211" s="286" t="s">
        <v>450</v>
      </c>
      <c r="G211" s="280"/>
      <c r="H211" s="280"/>
      <c r="I211" s="280"/>
      <c r="J211" s="280"/>
      <c r="K211" s="280"/>
      <c r="L211" s="280"/>
      <c r="M211" s="280"/>
      <c r="N211" s="280"/>
      <c r="O211" s="280"/>
      <c r="P211" s="280"/>
      <c r="Q211" s="280"/>
      <c r="R211" s="280"/>
      <c r="S211" s="280"/>
      <c r="T211" s="280"/>
      <c r="U211" s="280"/>
      <c r="V211" s="280"/>
      <c r="W211" s="280"/>
      <c r="X211" s="280"/>
      <c r="Y211" s="280"/>
      <c r="Z211" s="280"/>
    </row>
    <row r="212">
      <c r="A212" s="284" t="s">
        <v>682</v>
      </c>
      <c r="B212" s="285" t="s">
        <v>250</v>
      </c>
      <c r="C212" s="286" t="s">
        <v>450</v>
      </c>
      <c r="D212" s="286" t="s">
        <v>461</v>
      </c>
      <c r="E212" s="286">
        <v>0.0</v>
      </c>
      <c r="F212" s="286" t="s">
        <v>461</v>
      </c>
      <c r="G212" s="280"/>
      <c r="H212" s="280"/>
      <c r="I212" s="280"/>
      <c r="J212" s="280"/>
      <c r="K212" s="280"/>
      <c r="L212" s="280"/>
      <c r="M212" s="280"/>
      <c r="N212" s="280"/>
      <c r="O212" s="280"/>
      <c r="P212" s="280"/>
      <c r="Q212" s="280"/>
      <c r="R212" s="280"/>
      <c r="S212" s="280"/>
      <c r="T212" s="280"/>
      <c r="U212" s="280"/>
      <c r="V212" s="280"/>
      <c r="W212" s="280"/>
      <c r="X212" s="280"/>
      <c r="Y212" s="280"/>
      <c r="Z212" s="280"/>
    </row>
    <row r="213">
      <c r="A213" s="284" t="s">
        <v>683</v>
      </c>
      <c r="B213" s="285" t="s">
        <v>250</v>
      </c>
      <c r="C213" s="286">
        <v>0.0</v>
      </c>
      <c r="D213" s="286" t="s">
        <v>460</v>
      </c>
      <c r="E213" s="286" t="s">
        <v>450</v>
      </c>
      <c r="F213" s="286" t="s">
        <v>461</v>
      </c>
      <c r="G213" s="280"/>
      <c r="H213" s="280"/>
      <c r="I213" s="280"/>
      <c r="J213" s="280"/>
      <c r="K213" s="280"/>
      <c r="L213" s="280"/>
      <c r="M213" s="280"/>
      <c r="N213" s="280"/>
      <c r="O213" s="280"/>
      <c r="P213" s="280"/>
      <c r="Q213" s="280"/>
      <c r="R213" s="280"/>
      <c r="S213" s="280"/>
      <c r="T213" s="280"/>
      <c r="U213" s="280"/>
      <c r="V213" s="280"/>
      <c r="W213" s="280"/>
      <c r="X213" s="280"/>
      <c r="Y213" s="280"/>
      <c r="Z213" s="280"/>
    </row>
    <row r="214">
      <c r="A214" s="284" t="s">
        <v>684</v>
      </c>
      <c r="B214" s="285" t="s">
        <v>250</v>
      </c>
      <c r="C214" s="286" t="s">
        <v>450</v>
      </c>
      <c r="D214" s="286" t="s">
        <v>494</v>
      </c>
      <c r="E214" s="286">
        <v>0.0</v>
      </c>
      <c r="F214" s="286" t="s">
        <v>460</v>
      </c>
      <c r="G214" s="280"/>
      <c r="H214" s="280"/>
      <c r="I214" s="280"/>
      <c r="J214" s="280"/>
      <c r="K214" s="280"/>
      <c r="L214" s="280"/>
      <c r="M214" s="280"/>
      <c r="N214" s="280"/>
      <c r="O214" s="280"/>
      <c r="P214" s="280"/>
      <c r="Q214" s="280"/>
      <c r="R214" s="280"/>
      <c r="S214" s="280"/>
      <c r="T214" s="280"/>
      <c r="U214" s="280"/>
      <c r="V214" s="280"/>
      <c r="W214" s="280"/>
      <c r="X214" s="280"/>
      <c r="Y214" s="280"/>
      <c r="Z214" s="280"/>
    </row>
    <row r="215">
      <c r="A215" s="284" t="s">
        <v>685</v>
      </c>
      <c r="B215" s="285" t="s">
        <v>250</v>
      </c>
      <c r="C215" s="286" t="s">
        <v>450</v>
      </c>
      <c r="D215" s="286" t="s">
        <v>460</v>
      </c>
      <c r="E215" s="286" t="s">
        <v>450</v>
      </c>
      <c r="F215" s="286" t="s">
        <v>461</v>
      </c>
      <c r="G215" s="280"/>
      <c r="H215" s="280"/>
      <c r="I215" s="280"/>
      <c r="J215" s="280"/>
      <c r="K215" s="280"/>
      <c r="L215" s="280"/>
      <c r="M215" s="280"/>
      <c r="N215" s="280"/>
      <c r="O215" s="280"/>
      <c r="P215" s="280"/>
      <c r="Q215" s="280"/>
      <c r="R215" s="280"/>
      <c r="S215" s="280"/>
      <c r="T215" s="280"/>
      <c r="U215" s="280"/>
      <c r="V215" s="280"/>
      <c r="W215" s="280"/>
      <c r="X215" s="280"/>
      <c r="Y215" s="280"/>
      <c r="Z215" s="280"/>
    </row>
    <row r="216">
      <c r="A216" s="284" t="s">
        <v>686</v>
      </c>
      <c r="B216" s="285" t="s">
        <v>251</v>
      </c>
      <c r="C216" s="286" t="s">
        <v>450</v>
      </c>
      <c r="D216" s="286" t="s">
        <v>460</v>
      </c>
      <c r="E216" s="286">
        <v>0.0</v>
      </c>
      <c r="F216" s="286" t="s">
        <v>454</v>
      </c>
      <c r="G216" s="280"/>
      <c r="H216" s="280"/>
      <c r="I216" s="280"/>
      <c r="J216" s="280"/>
      <c r="K216" s="280"/>
      <c r="L216" s="280"/>
      <c r="M216" s="280"/>
      <c r="N216" s="280"/>
      <c r="O216" s="280"/>
      <c r="P216" s="280"/>
      <c r="Q216" s="280"/>
      <c r="R216" s="280"/>
      <c r="S216" s="280"/>
      <c r="T216" s="280"/>
      <c r="U216" s="280"/>
      <c r="V216" s="280"/>
      <c r="W216" s="280"/>
      <c r="X216" s="280"/>
      <c r="Y216" s="280"/>
      <c r="Z216" s="280"/>
    </row>
    <row r="217">
      <c r="A217" s="284" t="s">
        <v>687</v>
      </c>
      <c r="B217" s="285" t="s">
        <v>251</v>
      </c>
      <c r="C217" s="286">
        <v>0.0</v>
      </c>
      <c r="D217" s="286" t="s">
        <v>482</v>
      </c>
      <c r="E217" s="286">
        <v>0.0</v>
      </c>
      <c r="F217" s="286" t="s">
        <v>461</v>
      </c>
      <c r="G217" s="280"/>
      <c r="H217" s="280"/>
      <c r="I217" s="280"/>
      <c r="J217" s="280"/>
      <c r="K217" s="280"/>
      <c r="L217" s="280"/>
      <c r="M217" s="280"/>
      <c r="N217" s="280"/>
      <c r="O217" s="280"/>
      <c r="P217" s="280"/>
      <c r="Q217" s="280"/>
      <c r="R217" s="280"/>
      <c r="S217" s="280"/>
      <c r="T217" s="280"/>
      <c r="U217" s="280"/>
      <c r="V217" s="280"/>
      <c r="W217" s="280"/>
      <c r="X217" s="280"/>
      <c r="Y217" s="280"/>
      <c r="Z217" s="280"/>
    </row>
    <row r="218">
      <c r="A218" s="284" t="s">
        <v>688</v>
      </c>
      <c r="B218" s="285" t="s">
        <v>251</v>
      </c>
      <c r="C218" s="286" t="s">
        <v>450</v>
      </c>
      <c r="D218" s="286" t="s">
        <v>460</v>
      </c>
      <c r="E218" s="286">
        <v>0.0</v>
      </c>
      <c r="F218" s="286" t="s">
        <v>461</v>
      </c>
      <c r="G218" s="280"/>
      <c r="H218" s="280"/>
      <c r="I218" s="280"/>
      <c r="J218" s="280"/>
      <c r="K218" s="280"/>
      <c r="L218" s="280"/>
      <c r="M218" s="280"/>
      <c r="N218" s="280"/>
      <c r="O218" s="280"/>
      <c r="P218" s="280"/>
      <c r="Q218" s="280"/>
      <c r="R218" s="280"/>
      <c r="S218" s="280"/>
      <c r="T218" s="280"/>
      <c r="U218" s="280"/>
      <c r="V218" s="280"/>
      <c r="W218" s="280"/>
      <c r="X218" s="280"/>
      <c r="Y218" s="280"/>
      <c r="Z218" s="280"/>
    </row>
    <row r="219">
      <c r="A219" s="284" t="s">
        <v>689</v>
      </c>
      <c r="B219" s="285" t="s">
        <v>689</v>
      </c>
      <c r="C219" s="286" t="s">
        <v>450</v>
      </c>
      <c r="D219" s="286" t="s">
        <v>461</v>
      </c>
      <c r="E219" s="286">
        <v>0.0</v>
      </c>
      <c r="F219" s="286">
        <v>0.0</v>
      </c>
      <c r="G219" s="280"/>
      <c r="H219" s="280"/>
      <c r="I219" s="280"/>
      <c r="J219" s="280"/>
      <c r="K219" s="280"/>
      <c r="L219" s="280"/>
      <c r="M219" s="280"/>
      <c r="N219" s="280"/>
      <c r="O219" s="280"/>
      <c r="P219" s="280"/>
      <c r="Q219" s="280"/>
      <c r="R219" s="280"/>
      <c r="S219" s="280"/>
      <c r="T219" s="280"/>
      <c r="U219" s="280"/>
      <c r="V219" s="280"/>
      <c r="W219" s="280"/>
      <c r="X219" s="280"/>
      <c r="Y219" s="280"/>
      <c r="Z219" s="280"/>
    </row>
    <row r="220">
      <c r="A220" s="284" t="s">
        <v>690</v>
      </c>
      <c r="B220" s="285" t="s">
        <v>691</v>
      </c>
      <c r="C220" s="286">
        <v>0.0</v>
      </c>
      <c r="D220" s="286" t="s">
        <v>461</v>
      </c>
      <c r="E220" s="286">
        <v>0.0</v>
      </c>
      <c r="F220" s="286" t="s">
        <v>461</v>
      </c>
      <c r="G220" s="280"/>
      <c r="H220" s="280"/>
      <c r="I220" s="280"/>
      <c r="J220" s="280"/>
      <c r="K220" s="280"/>
      <c r="L220" s="280"/>
      <c r="M220" s="280"/>
      <c r="N220" s="280"/>
      <c r="O220" s="280"/>
      <c r="P220" s="280"/>
      <c r="Q220" s="280"/>
      <c r="R220" s="280"/>
      <c r="S220" s="280"/>
      <c r="T220" s="280"/>
      <c r="U220" s="280"/>
      <c r="V220" s="280"/>
      <c r="W220" s="280"/>
      <c r="X220" s="280"/>
      <c r="Y220" s="280"/>
      <c r="Z220" s="280"/>
    </row>
    <row r="221">
      <c r="A221" s="284" t="s">
        <v>692</v>
      </c>
      <c r="B221" s="285" t="s">
        <v>691</v>
      </c>
      <c r="C221" s="286">
        <v>0.0</v>
      </c>
      <c r="D221" s="286" t="s">
        <v>454</v>
      </c>
      <c r="E221" s="286">
        <v>0.0</v>
      </c>
      <c r="F221" s="286" t="s">
        <v>450</v>
      </c>
      <c r="G221" s="280"/>
      <c r="H221" s="280"/>
      <c r="I221" s="280"/>
      <c r="J221" s="280"/>
      <c r="K221" s="280"/>
      <c r="L221" s="280"/>
      <c r="M221" s="280"/>
      <c r="N221" s="280"/>
      <c r="O221" s="280"/>
      <c r="P221" s="280"/>
      <c r="Q221" s="280"/>
      <c r="R221" s="280"/>
      <c r="S221" s="280"/>
      <c r="T221" s="280"/>
      <c r="U221" s="280"/>
      <c r="V221" s="280"/>
      <c r="W221" s="280"/>
      <c r="X221" s="280"/>
      <c r="Y221" s="280"/>
      <c r="Z221" s="280"/>
    </row>
    <row r="222">
      <c r="A222" s="284" t="s">
        <v>693</v>
      </c>
      <c r="B222" s="285" t="s">
        <v>691</v>
      </c>
      <c r="C222" s="286">
        <v>0.0</v>
      </c>
      <c r="D222" s="286" t="s">
        <v>461</v>
      </c>
      <c r="E222" s="286">
        <v>0.0</v>
      </c>
      <c r="F222" s="286" t="s">
        <v>450</v>
      </c>
      <c r="G222" s="280"/>
      <c r="H222" s="280"/>
      <c r="I222" s="280"/>
      <c r="J222" s="280"/>
      <c r="K222" s="280"/>
      <c r="L222" s="280"/>
      <c r="M222" s="280"/>
      <c r="N222" s="280"/>
      <c r="O222" s="280"/>
      <c r="P222" s="280"/>
      <c r="Q222" s="280"/>
      <c r="R222" s="280"/>
      <c r="S222" s="280"/>
      <c r="T222" s="280"/>
      <c r="U222" s="280"/>
      <c r="V222" s="280"/>
      <c r="W222" s="280"/>
      <c r="X222" s="280"/>
      <c r="Y222" s="280"/>
      <c r="Z222" s="280"/>
    </row>
    <row r="223">
      <c r="A223" s="284" t="s">
        <v>694</v>
      </c>
      <c r="B223" s="285" t="s">
        <v>252</v>
      </c>
      <c r="C223" s="286">
        <v>0.0</v>
      </c>
      <c r="D223" s="286" t="s">
        <v>450</v>
      </c>
      <c r="E223" s="286" t="s">
        <v>450</v>
      </c>
      <c r="F223" s="286" t="s">
        <v>450</v>
      </c>
      <c r="G223" s="280"/>
      <c r="H223" s="280"/>
      <c r="I223" s="280"/>
      <c r="J223" s="280"/>
      <c r="K223" s="280"/>
      <c r="L223" s="280"/>
      <c r="M223" s="280"/>
      <c r="N223" s="280"/>
      <c r="O223" s="280"/>
      <c r="P223" s="280"/>
      <c r="Q223" s="280"/>
      <c r="R223" s="280"/>
      <c r="S223" s="280"/>
      <c r="T223" s="280"/>
      <c r="U223" s="280"/>
      <c r="V223" s="280"/>
      <c r="W223" s="280"/>
      <c r="X223" s="280"/>
      <c r="Y223" s="280"/>
      <c r="Z223" s="280"/>
    </row>
    <row r="224">
      <c r="A224" s="284" t="s">
        <v>695</v>
      </c>
      <c r="B224" s="285" t="s">
        <v>252</v>
      </c>
      <c r="C224" s="286" t="s">
        <v>450</v>
      </c>
      <c r="D224" s="286" t="s">
        <v>450</v>
      </c>
      <c r="E224" s="286">
        <v>0.0</v>
      </c>
      <c r="F224" s="286" t="s">
        <v>450</v>
      </c>
      <c r="G224" s="280"/>
      <c r="H224" s="280"/>
      <c r="I224" s="280"/>
      <c r="J224" s="280"/>
      <c r="K224" s="280"/>
      <c r="L224" s="280"/>
      <c r="M224" s="280"/>
      <c r="N224" s="280"/>
      <c r="O224" s="280"/>
      <c r="P224" s="280"/>
      <c r="Q224" s="280"/>
      <c r="R224" s="280"/>
      <c r="S224" s="280"/>
      <c r="T224" s="280"/>
      <c r="U224" s="280"/>
      <c r="V224" s="280"/>
      <c r="W224" s="280"/>
      <c r="X224" s="280"/>
      <c r="Y224" s="280"/>
      <c r="Z224" s="280"/>
    </row>
    <row r="225">
      <c r="A225" s="284" t="s">
        <v>696</v>
      </c>
      <c r="B225" s="285" t="s">
        <v>252</v>
      </c>
      <c r="C225" s="286">
        <v>0.0</v>
      </c>
      <c r="D225" s="286" t="s">
        <v>450</v>
      </c>
      <c r="E225" s="286">
        <v>0.0</v>
      </c>
      <c r="F225" s="286" t="s">
        <v>450</v>
      </c>
      <c r="G225" s="280"/>
      <c r="H225" s="280"/>
      <c r="I225" s="280"/>
      <c r="J225" s="280"/>
      <c r="K225" s="280"/>
      <c r="L225" s="280"/>
      <c r="M225" s="280"/>
      <c r="N225" s="280"/>
      <c r="O225" s="280"/>
      <c r="P225" s="280"/>
      <c r="Q225" s="280"/>
      <c r="R225" s="280"/>
      <c r="S225" s="280"/>
      <c r="T225" s="280"/>
      <c r="U225" s="280"/>
      <c r="V225" s="280"/>
      <c r="W225" s="280"/>
      <c r="X225" s="280"/>
      <c r="Y225" s="280"/>
      <c r="Z225" s="280"/>
    </row>
    <row r="226">
      <c r="A226" s="284" t="s">
        <v>697</v>
      </c>
      <c r="B226" s="285" t="s">
        <v>252</v>
      </c>
      <c r="C226" s="286">
        <v>0.0</v>
      </c>
      <c r="D226" s="286">
        <v>0.0</v>
      </c>
      <c r="E226" s="286">
        <v>0.0</v>
      </c>
      <c r="F226" s="286" t="s">
        <v>450</v>
      </c>
      <c r="G226" s="280"/>
      <c r="H226" s="280"/>
      <c r="I226" s="280"/>
      <c r="J226" s="280"/>
      <c r="K226" s="280"/>
      <c r="L226" s="280"/>
      <c r="M226" s="280"/>
      <c r="N226" s="280"/>
      <c r="O226" s="280"/>
      <c r="P226" s="280"/>
      <c r="Q226" s="280"/>
      <c r="R226" s="280"/>
      <c r="S226" s="280"/>
      <c r="T226" s="280"/>
      <c r="U226" s="280"/>
      <c r="V226" s="280"/>
      <c r="W226" s="280"/>
      <c r="X226" s="280"/>
      <c r="Y226" s="280"/>
      <c r="Z226" s="280"/>
    </row>
    <row r="227">
      <c r="A227" s="284" t="s">
        <v>698</v>
      </c>
      <c r="B227" s="285" t="s">
        <v>252</v>
      </c>
      <c r="C227" s="286" t="s">
        <v>450</v>
      </c>
      <c r="D227" s="286" t="s">
        <v>450</v>
      </c>
      <c r="E227" s="286" t="s">
        <v>450</v>
      </c>
      <c r="F227" s="286" t="s">
        <v>450</v>
      </c>
      <c r="G227" s="280"/>
      <c r="H227" s="280"/>
      <c r="I227" s="280"/>
      <c r="J227" s="280"/>
      <c r="K227" s="280"/>
      <c r="L227" s="280"/>
      <c r="M227" s="280"/>
      <c r="N227" s="280"/>
      <c r="O227" s="280"/>
      <c r="P227" s="280"/>
      <c r="Q227" s="280"/>
      <c r="R227" s="280"/>
      <c r="S227" s="280"/>
      <c r="T227" s="280"/>
      <c r="U227" s="280"/>
      <c r="V227" s="280"/>
      <c r="W227" s="280"/>
      <c r="X227" s="280"/>
      <c r="Y227" s="280"/>
      <c r="Z227" s="280"/>
    </row>
    <row r="228">
      <c r="A228" s="284" t="s">
        <v>699</v>
      </c>
      <c r="B228" s="285" t="s">
        <v>252</v>
      </c>
      <c r="C228" s="286" t="s">
        <v>450</v>
      </c>
      <c r="D228" s="286" t="s">
        <v>450</v>
      </c>
      <c r="E228" s="286">
        <v>0.0</v>
      </c>
      <c r="F228" s="286">
        <v>0.0</v>
      </c>
      <c r="G228" s="280"/>
      <c r="H228" s="280"/>
      <c r="I228" s="280"/>
      <c r="J228" s="280"/>
      <c r="K228" s="280"/>
      <c r="L228" s="280"/>
      <c r="M228" s="280"/>
      <c r="N228" s="280"/>
      <c r="O228" s="280"/>
      <c r="P228" s="280"/>
      <c r="Q228" s="280"/>
      <c r="R228" s="280"/>
      <c r="S228" s="280"/>
      <c r="T228" s="280"/>
      <c r="U228" s="280"/>
      <c r="V228" s="280"/>
      <c r="W228" s="280"/>
      <c r="X228" s="280"/>
      <c r="Y228" s="280"/>
      <c r="Z228" s="280"/>
    </row>
    <row r="229">
      <c r="A229" s="284" t="s">
        <v>700</v>
      </c>
      <c r="B229" s="285" t="s">
        <v>252</v>
      </c>
      <c r="C229" s="286">
        <v>0.0</v>
      </c>
      <c r="D229" s="286" t="s">
        <v>461</v>
      </c>
      <c r="E229" s="286">
        <v>0.0</v>
      </c>
      <c r="F229" s="286" t="s">
        <v>454</v>
      </c>
      <c r="G229" s="280"/>
      <c r="H229" s="280"/>
      <c r="I229" s="280"/>
      <c r="J229" s="280"/>
      <c r="K229" s="280"/>
      <c r="L229" s="280"/>
      <c r="M229" s="280"/>
      <c r="N229" s="280"/>
      <c r="O229" s="280"/>
      <c r="P229" s="280"/>
      <c r="Q229" s="280"/>
      <c r="R229" s="280"/>
      <c r="S229" s="280"/>
      <c r="T229" s="280"/>
      <c r="U229" s="280"/>
      <c r="V229" s="280"/>
      <c r="W229" s="280"/>
      <c r="X229" s="280"/>
      <c r="Y229" s="280"/>
      <c r="Z229" s="280"/>
    </row>
    <row r="230">
      <c r="A230" s="284" t="s">
        <v>701</v>
      </c>
      <c r="B230" s="285" t="s">
        <v>252</v>
      </c>
      <c r="C230" s="286">
        <v>0.0</v>
      </c>
      <c r="D230" s="286" t="s">
        <v>450</v>
      </c>
      <c r="E230" s="286">
        <v>0.0</v>
      </c>
      <c r="F230" s="286" t="s">
        <v>450</v>
      </c>
      <c r="G230" s="280"/>
      <c r="H230" s="280"/>
      <c r="I230" s="280"/>
      <c r="J230" s="280"/>
      <c r="K230" s="280"/>
      <c r="L230" s="280"/>
      <c r="M230" s="280"/>
      <c r="N230" s="280"/>
      <c r="O230" s="280"/>
      <c r="P230" s="280"/>
      <c r="Q230" s="280"/>
      <c r="R230" s="280"/>
      <c r="S230" s="280"/>
      <c r="T230" s="280"/>
      <c r="U230" s="280"/>
      <c r="V230" s="280"/>
      <c r="W230" s="280"/>
      <c r="X230" s="280"/>
      <c r="Y230" s="280"/>
      <c r="Z230" s="280"/>
    </row>
    <row r="231">
      <c r="A231" s="284" t="s">
        <v>702</v>
      </c>
      <c r="B231" s="285" t="s">
        <v>252</v>
      </c>
      <c r="C231" s="286">
        <v>0.0</v>
      </c>
      <c r="D231" s="286" t="s">
        <v>450</v>
      </c>
      <c r="E231" s="286">
        <v>0.0</v>
      </c>
      <c r="F231" s="286">
        <v>0.0</v>
      </c>
      <c r="G231" s="280"/>
      <c r="H231" s="280"/>
      <c r="I231" s="280"/>
      <c r="J231" s="280"/>
      <c r="K231" s="280"/>
      <c r="L231" s="280"/>
      <c r="M231" s="280"/>
      <c r="N231" s="280"/>
      <c r="O231" s="280"/>
      <c r="P231" s="280"/>
      <c r="Q231" s="280"/>
      <c r="R231" s="280"/>
      <c r="S231" s="280"/>
      <c r="T231" s="280"/>
      <c r="U231" s="280"/>
      <c r="V231" s="280"/>
      <c r="W231" s="280"/>
      <c r="X231" s="280"/>
      <c r="Y231" s="280"/>
      <c r="Z231" s="280"/>
    </row>
    <row r="232">
      <c r="A232" s="284" t="s">
        <v>703</v>
      </c>
      <c r="B232" s="285" t="s">
        <v>252</v>
      </c>
      <c r="C232" s="286">
        <v>0.0</v>
      </c>
      <c r="D232" s="286" t="s">
        <v>461</v>
      </c>
      <c r="E232" s="286">
        <v>0.0</v>
      </c>
      <c r="F232" s="286" t="s">
        <v>454</v>
      </c>
      <c r="G232" s="280"/>
      <c r="H232" s="280"/>
      <c r="I232" s="280"/>
      <c r="J232" s="280"/>
      <c r="K232" s="280"/>
      <c r="L232" s="280"/>
      <c r="M232" s="280"/>
      <c r="N232" s="280"/>
      <c r="O232" s="280"/>
      <c r="P232" s="280"/>
      <c r="Q232" s="280"/>
      <c r="R232" s="280"/>
      <c r="S232" s="280"/>
      <c r="T232" s="280"/>
      <c r="U232" s="280"/>
      <c r="V232" s="280"/>
      <c r="W232" s="280"/>
      <c r="X232" s="280"/>
      <c r="Y232" s="280"/>
      <c r="Z232" s="280"/>
    </row>
    <row r="233">
      <c r="A233" s="284" t="s">
        <v>704</v>
      </c>
      <c r="B233" s="285" t="s">
        <v>252</v>
      </c>
      <c r="C233" s="286">
        <v>0.0</v>
      </c>
      <c r="D233" s="286">
        <v>0.0</v>
      </c>
      <c r="E233" s="286" t="s">
        <v>450</v>
      </c>
      <c r="F233" s="286" t="s">
        <v>450</v>
      </c>
      <c r="G233" s="280"/>
      <c r="H233" s="280"/>
      <c r="I233" s="280"/>
      <c r="J233" s="280"/>
      <c r="K233" s="280"/>
      <c r="L233" s="280"/>
      <c r="M233" s="280"/>
      <c r="N233" s="280"/>
      <c r="O233" s="280"/>
      <c r="P233" s="280"/>
      <c r="Q233" s="280"/>
      <c r="R233" s="280"/>
      <c r="S233" s="280"/>
      <c r="T233" s="280"/>
      <c r="U233" s="280"/>
      <c r="V233" s="280"/>
      <c r="W233" s="280"/>
      <c r="X233" s="280"/>
      <c r="Y233" s="280"/>
      <c r="Z233" s="280"/>
    </row>
    <row r="234">
      <c r="A234" s="284" t="s">
        <v>705</v>
      </c>
      <c r="B234" s="285" t="s">
        <v>252</v>
      </c>
      <c r="C234" s="286">
        <v>0.0</v>
      </c>
      <c r="D234" s="286">
        <v>0.0</v>
      </c>
      <c r="E234" s="286">
        <v>0.0</v>
      </c>
      <c r="F234" s="286" t="s">
        <v>450</v>
      </c>
      <c r="G234" s="280"/>
      <c r="H234" s="280"/>
      <c r="I234" s="280"/>
      <c r="J234" s="280"/>
      <c r="K234" s="280"/>
      <c r="L234" s="280"/>
      <c r="M234" s="280"/>
      <c r="N234" s="280"/>
      <c r="O234" s="280"/>
      <c r="P234" s="280"/>
      <c r="Q234" s="280"/>
      <c r="R234" s="280"/>
      <c r="S234" s="280"/>
      <c r="T234" s="280"/>
      <c r="U234" s="280"/>
      <c r="V234" s="280"/>
      <c r="W234" s="280"/>
      <c r="X234" s="280"/>
      <c r="Y234" s="280"/>
      <c r="Z234" s="280"/>
    </row>
    <row r="235">
      <c r="A235" s="284" t="s">
        <v>706</v>
      </c>
      <c r="B235" s="285" t="s">
        <v>252</v>
      </c>
      <c r="C235" s="286">
        <v>0.0</v>
      </c>
      <c r="D235" s="286" t="s">
        <v>454</v>
      </c>
      <c r="E235" s="286">
        <v>0.0</v>
      </c>
      <c r="F235" s="286" t="s">
        <v>461</v>
      </c>
      <c r="G235" s="280"/>
      <c r="H235" s="280"/>
      <c r="I235" s="280"/>
      <c r="J235" s="280"/>
      <c r="K235" s="280"/>
      <c r="L235" s="280"/>
      <c r="M235" s="280"/>
      <c r="N235" s="280"/>
      <c r="O235" s="280"/>
      <c r="P235" s="280"/>
      <c r="Q235" s="280"/>
      <c r="R235" s="280"/>
      <c r="S235" s="280"/>
      <c r="T235" s="280"/>
      <c r="U235" s="280"/>
      <c r="V235" s="280"/>
      <c r="W235" s="280"/>
      <c r="X235" s="280"/>
      <c r="Y235" s="280"/>
      <c r="Z235" s="280"/>
    </row>
    <row r="236">
      <c r="A236" s="284" t="s">
        <v>707</v>
      </c>
      <c r="B236" s="285" t="s">
        <v>252</v>
      </c>
      <c r="C236" s="286">
        <v>0.0</v>
      </c>
      <c r="D236" s="286" t="s">
        <v>461</v>
      </c>
      <c r="E236" s="286">
        <v>0.0</v>
      </c>
      <c r="F236" s="286" t="s">
        <v>461</v>
      </c>
      <c r="G236" s="280"/>
      <c r="H236" s="280"/>
      <c r="I236" s="280"/>
      <c r="J236" s="280"/>
      <c r="K236" s="280"/>
      <c r="L236" s="280"/>
      <c r="M236" s="280"/>
      <c r="N236" s="280"/>
      <c r="O236" s="280"/>
      <c r="P236" s="280"/>
      <c r="Q236" s="280"/>
      <c r="R236" s="280"/>
      <c r="S236" s="280"/>
      <c r="T236" s="280"/>
      <c r="U236" s="280"/>
      <c r="V236" s="280"/>
      <c r="W236" s="280"/>
      <c r="X236" s="280"/>
      <c r="Y236" s="280"/>
      <c r="Z236" s="280"/>
    </row>
    <row r="237">
      <c r="A237" s="284" t="s">
        <v>708</v>
      </c>
      <c r="B237" s="285" t="s">
        <v>252</v>
      </c>
      <c r="C237" s="286">
        <v>0.0</v>
      </c>
      <c r="D237" s="286" t="s">
        <v>450</v>
      </c>
      <c r="E237" s="286">
        <v>0.0</v>
      </c>
      <c r="F237" s="286" t="s">
        <v>450</v>
      </c>
      <c r="G237" s="280"/>
      <c r="H237" s="280"/>
      <c r="I237" s="280"/>
      <c r="J237" s="280"/>
      <c r="K237" s="280"/>
      <c r="L237" s="280"/>
      <c r="M237" s="280"/>
      <c r="N237" s="280"/>
      <c r="O237" s="280"/>
      <c r="P237" s="280"/>
      <c r="Q237" s="280"/>
      <c r="R237" s="280"/>
      <c r="S237" s="280"/>
      <c r="T237" s="280"/>
      <c r="U237" s="280"/>
      <c r="V237" s="280"/>
      <c r="W237" s="280"/>
      <c r="X237" s="280"/>
      <c r="Y237" s="280"/>
      <c r="Z237" s="280"/>
    </row>
    <row r="238">
      <c r="A238" s="284" t="s">
        <v>709</v>
      </c>
      <c r="B238" s="285" t="s">
        <v>252</v>
      </c>
      <c r="C238" s="286">
        <v>0.0</v>
      </c>
      <c r="D238" s="286" t="s">
        <v>450</v>
      </c>
      <c r="E238" s="286">
        <v>0.0</v>
      </c>
      <c r="F238" s="286" t="s">
        <v>450</v>
      </c>
      <c r="G238" s="280"/>
      <c r="H238" s="280"/>
      <c r="I238" s="280"/>
      <c r="J238" s="280"/>
      <c r="K238" s="280"/>
      <c r="L238" s="280"/>
      <c r="M238" s="280"/>
      <c r="N238" s="280"/>
      <c r="O238" s="280"/>
      <c r="P238" s="280"/>
      <c r="Q238" s="280"/>
      <c r="R238" s="280"/>
      <c r="S238" s="280"/>
      <c r="T238" s="280"/>
      <c r="U238" s="280"/>
      <c r="V238" s="280"/>
      <c r="W238" s="280"/>
      <c r="X238" s="280"/>
      <c r="Y238" s="280"/>
      <c r="Z238" s="280"/>
    </row>
    <row r="239">
      <c r="A239" s="284" t="s">
        <v>710</v>
      </c>
      <c r="B239" s="285" t="s">
        <v>252</v>
      </c>
      <c r="C239" s="286" t="s">
        <v>450</v>
      </c>
      <c r="D239" s="286" t="s">
        <v>450</v>
      </c>
      <c r="E239" s="286">
        <v>0.0</v>
      </c>
      <c r="F239" s="286" t="s">
        <v>450</v>
      </c>
      <c r="G239" s="280"/>
      <c r="H239" s="280"/>
      <c r="I239" s="280"/>
      <c r="J239" s="280"/>
      <c r="K239" s="280"/>
      <c r="L239" s="280"/>
      <c r="M239" s="280"/>
      <c r="N239" s="280"/>
      <c r="O239" s="280"/>
      <c r="P239" s="280"/>
      <c r="Q239" s="280"/>
      <c r="R239" s="280"/>
      <c r="S239" s="280"/>
      <c r="T239" s="280"/>
      <c r="U239" s="280"/>
      <c r="V239" s="280"/>
      <c r="W239" s="280"/>
      <c r="X239" s="280"/>
      <c r="Y239" s="280"/>
      <c r="Z239" s="280"/>
    </row>
    <row r="240">
      <c r="A240" s="284" t="s">
        <v>711</v>
      </c>
      <c r="B240" s="285" t="s">
        <v>252</v>
      </c>
      <c r="C240" s="286" t="s">
        <v>450</v>
      </c>
      <c r="D240" s="286" t="s">
        <v>450</v>
      </c>
      <c r="E240" s="286" t="s">
        <v>450</v>
      </c>
      <c r="F240" s="286" t="s">
        <v>450</v>
      </c>
      <c r="G240" s="280"/>
      <c r="H240" s="280"/>
      <c r="I240" s="280"/>
      <c r="J240" s="280"/>
      <c r="K240" s="280"/>
      <c r="L240" s="280"/>
      <c r="M240" s="280"/>
      <c r="N240" s="280"/>
      <c r="O240" s="280"/>
      <c r="P240" s="280"/>
      <c r="Q240" s="280"/>
      <c r="R240" s="280"/>
      <c r="S240" s="280"/>
      <c r="T240" s="280"/>
      <c r="U240" s="280"/>
      <c r="V240" s="280"/>
      <c r="W240" s="280"/>
      <c r="X240" s="280"/>
      <c r="Y240" s="280"/>
      <c r="Z240" s="280"/>
    </row>
    <row r="241">
      <c r="A241" s="284" t="s">
        <v>712</v>
      </c>
      <c r="B241" s="285" t="s">
        <v>253</v>
      </c>
      <c r="C241" s="286" t="s">
        <v>450</v>
      </c>
      <c r="D241" s="286" t="s">
        <v>461</v>
      </c>
      <c r="E241" s="286">
        <v>0.0</v>
      </c>
      <c r="F241" s="286" t="s">
        <v>450</v>
      </c>
      <c r="G241" s="280"/>
      <c r="H241" s="280"/>
      <c r="I241" s="280"/>
      <c r="J241" s="280"/>
      <c r="K241" s="280"/>
      <c r="L241" s="280"/>
      <c r="M241" s="280"/>
      <c r="N241" s="280"/>
      <c r="O241" s="280"/>
      <c r="P241" s="280"/>
      <c r="Q241" s="280"/>
      <c r="R241" s="280"/>
      <c r="S241" s="280"/>
      <c r="T241" s="280"/>
      <c r="U241" s="280"/>
      <c r="V241" s="280"/>
      <c r="W241" s="280"/>
      <c r="X241" s="280"/>
      <c r="Y241" s="280"/>
      <c r="Z241" s="280"/>
    </row>
    <row r="242">
      <c r="A242" s="284" t="s">
        <v>713</v>
      </c>
      <c r="B242" s="285" t="s">
        <v>253</v>
      </c>
      <c r="C242" s="286" t="s">
        <v>450</v>
      </c>
      <c r="D242" s="286" t="s">
        <v>460</v>
      </c>
      <c r="E242" s="286">
        <v>0.0</v>
      </c>
      <c r="F242" s="286" t="s">
        <v>461</v>
      </c>
      <c r="G242" s="280"/>
      <c r="H242" s="280"/>
      <c r="I242" s="280"/>
      <c r="J242" s="280"/>
      <c r="K242" s="280"/>
      <c r="L242" s="280"/>
      <c r="M242" s="280"/>
      <c r="N242" s="280"/>
      <c r="O242" s="280"/>
      <c r="P242" s="280"/>
      <c r="Q242" s="280"/>
      <c r="R242" s="280"/>
      <c r="S242" s="280"/>
      <c r="T242" s="280"/>
      <c r="U242" s="280"/>
      <c r="V242" s="280"/>
      <c r="W242" s="280"/>
      <c r="X242" s="280"/>
      <c r="Y242" s="280"/>
      <c r="Z242" s="280"/>
    </row>
    <row r="243">
      <c r="A243" s="284" t="s">
        <v>714</v>
      </c>
      <c r="B243" s="285" t="s">
        <v>253</v>
      </c>
      <c r="C243" s="286">
        <v>0.0</v>
      </c>
      <c r="D243" s="286" t="s">
        <v>516</v>
      </c>
      <c r="E243" s="286">
        <v>0.0</v>
      </c>
      <c r="F243" s="286" t="s">
        <v>461</v>
      </c>
      <c r="G243" s="280"/>
      <c r="H243" s="280"/>
      <c r="I243" s="280"/>
      <c r="J243" s="280"/>
      <c r="K243" s="280"/>
      <c r="L243" s="280"/>
      <c r="M243" s="280"/>
      <c r="N243" s="280"/>
      <c r="O243" s="280"/>
      <c r="P243" s="280"/>
      <c r="Q243" s="280"/>
      <c r="R243" s="280"/>
      <c r="S243" s="280"/>
      <c r="T243" s="280"/>
      <c r="U243" s="280"/>
      <c r="V243" s="280"/>
      <c r="W243" s="280"/>
      <c r="X243" s="280"/>
      <c r="Y243" s="280"/>
      <c r="Z243" s="280"/>
    </row>
    <row r="244">
      <c r="A244" s="284" t="s">
        <v>715</v>
      </c>
      <c r="B244" s="285" t="s">
        <v>253</v>
      </c>
      <c r="C244" s="286" t="s">
        <v>450</v>
      </c>
      <c r="D244" s="286" t="s">
        <v>460</v>
      </c>
      <c r="E244" s="286">
        <v>0.0</v>
      </c>
      <c r="F244" s="286" t="s">
        <v>450</v>
      </c>
      <c r="G244" s="280"/>
      <c r="H244" s="280"/>
      <c r="I244" s="280"/>
      <c r="J244" s="280"/>
      <c r="K244" s="280"/>
      <c r="L244" s="280"/>
      <c r="M244" s="280"/>
      <c r="N244" s="280"/>
      <c r="O244" s="280"/>
      <c r="P244" s="280"/>
      <c r="Q244" s="280"/>
      <c r="R244" s="280"/>
      <c r="S244" s="280"/>
      <c r="T244" s="280"/>
      <c r="U244" s="280"/>
      <c r="V244" s="280"/>
      <c r="W244" s="280"/>
      <c r="X244" s="280"/>
      <c r="Y244" s="280"/>
      <c r="Z244" s="280"/>
    </row>
    <row r="245">
      <c r="A245" s="284" t="s">
        <v>716</v>
      </c>
      <c r="B245" s="285" t="s">
        <v>717</v>
      </c>
      <c r="C245" s="286">
        <v>0.0</v>
      </c>
      <c r="D245" s="286" t="s">
        <v>450</v>
      </c>
      <c r="E245" s="286">
        <v>0.0</v>
      </c>
      <c r="F245" s="286">
        <v>0.0</v>
      </c>
      <c r="G245" s="280"/>
      <c r="H245" s="280"/>
      <c r="I245" s="280"/>
      <c r="J245" s="280"/>
      <c r="K245" s="280"/>
      <c r="L245" s="280"/>
      <c r="M245" s="280"/>
      <c r="N245" s="280"/>
      <c r="O245" s="280"/>
      <c r="P245" s="280"/>
      <c r="Q245" s="280"/>
      <c r="R245" s="280"/>
      <c r="S245" s="280"/>
      <c r="T245" s="280"/>
      <c r="U245" s="280"/>
      <c r="V245" s="280"/>
      <c r="W245" s="280"/>
      <c r="X245" s="280"/>
      <c r="Y245" s="280"/>
      <c r="Z245" s="280"/>
    </row>
    <row r="246">
      <c r="A246" s="284" t="s">
        <v>718</v>
      </c>
      <c r="B246" s="285" t="s">
        <v>717</v>
      </c>
      <c r="C246" s="286">
        <v>0.0</v>
      </c>
      <c r="D246" s="286">
        <v>0.0</v>
      </c>
      <c r="E246" s="286">
        <v>0.0</v>
      </c>
      <c r="F246" s="286" t="s">
        <v>450</v>
      </c>
      <c r="G246" s="280"/>
      <c r="H246" s="280"/>
      <c r="I246" s="280"/>
      <c r="J246" s="280"/>
      <c r="K246" s="280"/>
      <c r="L246" s="280"/>
      <c r="M246" s="280"/>
      <c r="N246" s="280"/>
      <c r="O246" s="280"/>
      <c r="P246" s="280"/>
      <c r="Q246" s="280"/>
      <c r="R246" s="280"/>
      <c r="S246" s="280"/>
      <c r="T246" s="280"/>
      <c r="U246" s="280"/>
      <c r="V246" s="280"/>
      <c r="W246" s="280"/>
      <c r="X246" s="280"/>
      <c r="Y246" s="280"/>
      <c r="Z246" s="280"/>
    </row>
    <row r="247">
      <c r="A247" s="284" t="s">
        <v>719</v>
      </c>
      <c r="B247" s="285" t="s">
        <v>717</v>
      </c>
      <c r="C247" s="286">
        <v>0.0</v>
      </c>
      <c r="D247" s="286" t="s">
        <v>454</v>
      </c>
      <c r="E247" s="286">
        <v>0.0</v>
      </c>
      <c r="F247" s="286" t="s">
        <v>461</v>
      </c>
      <c r="G247" s="280"/>
      <c r="H247" s="280"/>
      <c r="I247" s="280"/>
      <c r="J247" s="280"/>
      <c r="K247" s="280"/>
      <c r="L247" s="280"/>
      <c r="M247" s="280"/>
      <c r="N247" s="280"/>
      <c r="O247" s="280"/>
      <c r="P247" s="280"/>
      <c r="Q247" s="280"/>
      <c r="R247" s="280"/>
      <c r="S247" s="280"/>
      <c r="T247" s="280"/>
      <c r="U247" s="280"/>
      <c r="V247" s="280"/>
      <c r="W247" s="280"/>
      <c r="X247" s="280"/>
      <c r="Y247" s="280"/>
      <c r="Z247" s="280"/>
    </row>
    <row r="248">
      <c r="A248" s="284" t="s">
        <v>720</v>
      </c>
      <c r="B248" s="285" t="s">
        <v>717</v>
      </c>
      <c r="C248" s="286">
        <v>0.0</v>
      </c>
      <c r="D248" s="286" t="s">
        <v>450</v>
      </c>
      <c r="E248" s="286">
        <v>0.0</v>
      </c>
      <c r="F248" s="286">
        <v>0.0</v>
      </c>
      <c r="G248" s="280"/>
      <c r="H248" s="280"/>
      <c r="I248" s="280"/>
      <c r="J248" s="280"/>
      <c r="K248" s="280"/>
      <c r="L248" s="280"/>
      <c r="M248" s="280"/>
      <c r="N248" s="280"/>
      <c r="O248" s="280"/>
      <c r="P248" s="280"/>
      <c r="Q248" s="280"/>
      <c r="R248" s="280"/>
      <c r="S248" s="280"/>
      <c r="T248" s="280"/>
      <c r="U248" s="280"/>
      <c r="V248" s="280"/>
      <c r="W248" s="280"/>
      <c r="X248" s="280"/>
      <c r="Y248" s="280"/>
      <c r="Z248" s="280"/>
    </row>
    <row r="249">
      <c r="A249" s="284" t="s">
        <v>721</v>
      </c>
      <c r="B249" s="285" t="s">
        <v>717</v>
      </c>
      <c r="C249" s="286">
        <v>0.0</v>
      </c>
      <c r="D249" s="286" t="s">
        <v>450</v>
      </c>
      <c r="E249" s="286">
        <v>0.0</v>
      </c>
      <c r="F249" s="286" t="s">
        <v>450</v>
      </c>
      <c r="G249" s="280"/>
      <c r="H249" s="280"/>
      <c r="I249" s="280"/>
      <c r="J249" s="280"/>
      <c r="K249" s="280"/>
      <c r="L249" s="280"/>
      <c r="M249" s="280"/>
      <c r="N249" s="280"/>
      <c r="O249" s="280"/>
      <c r="P249" s="280"/>
      <c r="Q249" s="280"/>
      <c r="R249" s="280"/>
      <c r="S249" s="280"/>
      <c r="T249" s="280"/>
      <c r="U249" s="280"/>
      <c r="V249" s="280"/>
      <c r="W249" s="280"/>
      <c r="X249" s="280"/>
      <c r="Y249" s="280"/>
      <c r="Z249" s="280"/>
    </row>
    <row r="250">
      <c r="A250" s="284" t="s">
        <v>722</v>
      </c>
      <c r="B250" s="285" t="s">
        <v>717</v>
      </c>
      <c r="C250" s="286">
        <v>0.0</v>
      </c>
      <c r="D250" s="286" t="s">
        <v>450</v>
      </c>
      <c r="E250" s="286" t="s">
        <v>450</v>
      </c>
      <c r="F250" s="286" t="s">
        <v>461</v>
      </c>
      <c r="G250" s="280"/>
      <c r="H250" s="280"/>
      <c r="I250" s="280"/>
      <c r="J250" s="280"/>
      <c r="K250" s="280"/>
      <c r="L250" s="280"/>
      <c r="M250" s="280"/>
      <c r="N250" s="280"/>
      <c r="O250" s="280"/>
      <c r="P250" s="280"/>
      <c r="Q250" s="280"/>
      <c r="R250" s="280"/>
      <c r="S250" s="280"/>
      <c r="T250" s="280"/>
      <c r="U250" s="280"/>
      <c r="V250" s="280"/>
      <c r="W250" s="280"/>
      <c r="X250" s="280"/>
      <c r="Y250" s="280"/>
      <c r="Z250" s="280"/>
    </row>
    <row r="251">
      <c r="A251" s="284" t="s">
        <v>723</v>
      </c>
      <c r="B251" s="285" t="s">
        <v>717</v>
      </c>
      <c r="C251" s="286">
        <v>0.0</v>
      </c>
      <c r="D251" s="286" t="s">
        <v>450</v>
      </c>
      <c r="E251" s="286">
        <v>0.0</v>
      </c>
      <c r="F251" s="286" t="s">
        <v>450</v>
      </c>
      <c r="G251" s="280"/>
      <c r="H251" s="280"/>
      <c r="I251" s="280"/>
      <c r="J251" s="280"/>
      <c r="K251" s="280"/>
      <c r="L251" s="280"/>
      <c r="M251" s="280"/>
      <c r="N251" s="280"/>
      <c r="O251" s="280"/>
      <c r="P251" s="280"/>
      <c r="Q251" s="280"/>
      <c r="R251" s="280"/>
      <c r="S251" s="280"/>
      <c r="T251" s="280"/>
      <c r="U251" s="280"/>
      <c r="V251" s="280"/>
      <c r="W251" s="280"/>
      <c r="X251" s="280"/>
      <c r="Y251" s="280"/>
      <c r="Z251" s="280"/>
    </row>
    <row r="252">
      <c r="A252" s="284" t="s">
        <v>724</v>
      </c>
      <c r="B252" s="285" t="s">
        <v>717</v>
      </c>
      <c r="C252" s="286">
        <v>0.0</v>
      </c>
      <c r="D252" s="286" t="s">
        <v>450</v>
      </c>
      <c r="E252" s="286">
        <v>0.0</v>
      </c>
      <c r="F252" s="286">
        <v>0.0</v>
      </c>
      <c r="G252" s="280"/>
      <c r="H252" s="280"/>
      <c r="I252" s="280"/>
      <c r="J252" s="280"/>
      <c r="K252" s="280"/>
      <c r="L252" s="280"/>
      <c r="M252" s="280"/>
      <c r="N252" s="280"/>
      <c r="O252" s="280"/>
      <c r="P252" s="280"/>
      <c r="Q252" s="280"/>
      <c r="R252" s="280"/>
      <c r="S252" s="280"/>
      <c r="T252" s="280"/>
      <c r="U252" s="280"/>
      <c r="V252" s="280"/>
      <c r="W252" s="280"/>
      <c r="X252" s="280"/>
      <c r="Y252" s="280"/>
      <c r="Z252" s="280"/>
    </row>
    <row r="253">
      <c r="A253" s="284" t="s">
        <v>725</v>
      </c>
      <c r="B253" s="285" t="s">
        <v>717</v>
      </c>
      <c r="C253" s="286">
        <v>0.0</v>
      </c>
      <c r="D253" s="286" t="s">
        <v>450</v>
      </c>
      <c r="E253" s="286">
        <v>0.0</v>
      </c>
      <c r="F253" s="286">
        <v>0.0</v>
      </c>
      <c r="G253" s="280"/>
      <c r="H253" s="280"/>
      <c r="I253" s="280"/>
      <c r="J253" s="280"/>
      <c r="K253" s="280"/>
      <c r="L253" s="280"/>
      <c r="M253" s="280"/>
      <c r="N253" s="280"/>
      <c r="O253" s="280"/>
      <c r="P253" s="280"/>
      <c r="Q253" s="280"/>
      <c r="R253" s="280"/>
      <c r="S253" s="280"/>
      <c r="T253" s="280"/>
      <c r="U253" s="280"/>
      <c r="V253" s="280"/>
      <c r="W253" s="280"/>
      <c r="X253" s="280"/>
      <c r="Y253" s="280"/>
      <c r="Z253" s="280"/>
    </row>
    <row r="254">
      <c r="A254" s="284" t="s">
        <v>726</v>
      </c>
      <c r="B254" s="285" t="s">
        <v>717</v>
      </c>
      <c r="C254" s="286">
        <v>0.0</v>
      </c>
      <c r="D254" s="286" t="s">
        <v>450</v>
      </c>
      <c r="E254" s="286">
        <v>0.0</v>
      </c>
      <c r="F254" s="286" t="s">
        <v>450</v>
      </c>
      <c r="G254" s="280"/>
      <c r="H254" s="280"/>
      <c r="I254" s="280"/>
      <c r="J254" s="280"/>
      <c r="K254" s="280"/>
      <c r="L254" s="280"/>
      <c r="M254" s="280"/>
      <c r="N254" s="280"/>
      <c r="O254" s="280"/>
      <c r="P254" s="280"/>
      <c r="Q254" s="280"/>
      <c r="R254" s="280"/>
      <c r="S254" s="280"/>
      <c r="T254" s="280"/>
      <c r="U254" s="280"/>
      <c r="V254" s="280"/>
      <c r="W254" s="280"/>
      <c r="X254" s="280"/>
      <c r="Y254" s="280"/>
      <c r="Z254" s="280"/>
    </row>
    <row r="255">
      <c r="A255" s="284" t="s">
        <v>727</v>
      </c>
      <c r="B255" s="285" t="s">
        <v>717</v>
      </c>
      <c r="C255" s="286">
        <v>0.0</v>
      </c>
      <c r="D255" s="286" t="s">
        <v>450</v>
      </c>
      <c r="E255" s="286">
        <v>0.0</v>
      </c>
      <c r="F255" s="286">
        <v>0.0</v>
      </c>
      <c r="G255" s="280"/>
      <c r="H255" s="280"/>
      <c r="I255" s="280"/>
      <c r="J255" s="280"/>
      <c r="K255" s="280"/>
      <c r="L255" s="280"/>
      <c r="M255" s="280"/>
      <c r="N255" s="280"/>
      <c r="O255" s="280"/>
      <c r="P255" s="280"/>
      <c r="Q255" s="280"/>
      <c r="R255" s="280"/>
      <c r="S255" s="280"/>
      <c r="T255" s="280"/>
      <c r="U255" s="280"/>
      <c r="V255" s="280"/>
      <c r="W255" s="280"/>
      <c r="X255" s="280"/>
      <c r="Y255" s="280"/>
      <c r="Z255" s="280"/>
    </row>
    <row r="256">
      <c r="A256" s="284" t="s">
        <v>728</v>
      </c>
      <c r="B256" s="285" t="s">
        <v>717</v>
      </c>
      <c r="C256" s="286">
        <v>0.0</v>
      </c>
      <c r="D256" s="286" t="s">
        <v>450</v>
      </c>
      <c r="E256" s="286">
        <v>0.0</v>
      </c>
      <c r="F256" s="286">
        <v>0.0</v>
      </c>
      <c r="G256" s="280"/>
      <c r="H256" s="280"/>
      <c r="I256" s="280"/>
      <c r="J256" s="280"/>
      <c r="K256" s="280"/>
      <c r="L256" s="280"/>
      <c r="M256" s="280"/>
      <c r="N256" s="280"/>
      <c r="O256" s="280"/>
      <c r="P256" s="280"/>
      <c r="Q256" s="280"/>
      <c r="R256" s="280"/>
      <c r="S256" s="280"/>
      <c r="T256" s="280"/>
      <c r="U256" s="280"/>
      <c r="V256" s="280"/>
      <c r="W256" s="280"/>
      <c r="X256" s="280"/>
      <c r="Y256" s="280"/>
      <c r="Z256" s="280"/>
    </row>
    <row r="257">
      <c r="A257" s="284" t="s">
        <v>729</v>
      </c>
      <c r="B257" s="285" t="s">
        <v>717</v>
      </c>
      <c r="C257" s="286">
        <v>0.0</v>
      </c>
      <c r="D257" s="286" t="s">
        <v>450</v>
      </c>
      <c r="E257" s="286">
        <v>0.0</v>
      </c>
      <c r="F257" s="286" t="s">
        <v>450</v>
      </c>
      <c r="G257" s="280"/>
      <c r="H257" s="280"/>
      <c r="I257" s="280"/>
      <c r="J257" s="280"/>
      <c r="K257" s="280"/>
      <c r="L257" s="280"/>
      <c r="M257" s="280"/>
      <c r="N257" s="280"/>
      <c r="O257" s="280"/>
      <c r="P257" s="280"/>
      <c r="Q257" s="280"/>
      <c r="R257" s="280"/>
      <c r="S257" s="280"/>
      <c r="T257" s="280"/>
      <c r="U257" s="280"/>
      <c r="V257" s="280"/>
      <c r="W257" s="280"/>
      <c r="X257" s="280"/>
      <c r="Y257" s="280"/>
      <c r="Z257" s="280"/>
    </row>
    <row r="258">
      <c r="A258" s="284" t="s">
        <v>730</v>
      </c>
      <c r="B258" s="285" t="s">
        <v>717</v>
      </c>
      <c r="C258" s="286">
        <v>0.0</v>
      </c>
      <c r="D258" s="286">
        <v>0.0</v>
      </c>
      <c r="E258" s="286">
        <v>0.0</v>
      </c>
      <c r="F258" s="286" t="s">
        <v>450</v>
      </c>
      <c r="G258" s="280"/>
      <c r="H258" s="280"/>
      <c r="I258" s="280"/>
      <c r="J258" s="280"/>
      <c r="K258" s="280"/>
      <c r="L258" s="280"/>
      <c r="M258" s="280"/>
      <c r="N258" s="280"/>
      <c r="O258" s="280"/>
      <c r="P258" s="280"/>
      <c r="Q258" s="280"/>
      <c r="R258" s="280"/>
      <c r="S258" s="280"/>
      <c r="T258" s="280"/>
      <c r="U258" s="280"/>
      <c r="V258" s="280"/>
      <c r="W258" s="280"/>
      <c r="X258" s="280"/>
      <c r="Y258" s="280"/>
      <c r="Z258" s="280"/>
    </row>
    <row r="259">
      <c r="A259" s="284" t="s">
        <v>731</v>
      </c>
      <c r="B259" s="285" t="s">
        <v>717</v>
      </c>
      <c r="C259" s="286">
        <v>0.0</v>
      </c>
      <c r="D259" s="286" t="s">
        <v>450</v>
      </c>
      <c r="E259" s="286">
        <v>0.0</v>
      </c>
      <c r="F259" s="286">
        <v>0.0</v>
      </c>
      <c r="G259" s="280"/>
      <c r="H259" s="280"/>
      <c r="I259" s="280"/>
      <c r="J259" s="280"/>
      <c r="K259" s="280"/>
      <c r="L259" s="280"/>
      <c r="M259" s="280"/>
      <c r="N259" s="280"/>
      <c r="O259" s="280"/>
      <c r="P259" s="280"/>
      <c r="Q259" s="280"/>
      <c r="R259" s="280"/>
      <c r="S259" s="280"/>
      <c r="T259" s="280"/>
      <c r="U259" s="280"/>
      <c r="V259" s="280"/>
      <c r="W259" s="280"/>
      <c r="X259" s="280"/>
      <c r="Y259" s="280"/>
      <c r="Z259" s="280"/>
    </row>
    <row r="260">
      <c r="A260" s="284" t="s">
        <v>732</v>
      </c>
      <c r="B260" s="285" t="s">
        <v>717</v>
      </c>
      <c r="C260" s="286" t="s">
        <v>450</v>
      </c>
      <c r="D260" s="286" t="s">
        <v>461</v>
      </c>
      <c r="E260" s="286">
        <v>0.0</v>
      </c>
      <c r="F260" s="286" t="s">
        <v>450</v>
      </c>
      <c r="G260" s="280"/>
      <c r="H260" s="280"/>
      <c r="I260" s="280"/>
      <c r="J260" s="280"/>
      <c r="K260" s="280"/>
      <c r="L260" s="280"/>
      <c r="M260" s="280"/>
      <c r="N260" s="280"/>
      <c r="O260" s="280"/>
      <c r="P260" s="280"/>
      <c r="Q260" s="280"/>
      <c r="R260" s="280"/>
      <c r="S260" s="280"/>
      <c r="T260" s="280"/>
      <c r="U260" s="280"/>
      <c r="V260" s="280"/>
      <c r="W260" s="280"/>
      <c r="X260" s="280"/>
      <c r="Y260" s="280"/>
      <c r="Z260" s="280"/>
    </row>
    <row r="261">
      <c r="A261" s="284" t="s">
        <v>733</v>
      </c>
      <c r="B261" s="285" t="s">
        <v>717</v>
      </c>
      <c r="C261" s="286">
        <v>0.0</v>
      </c>
      <c r="D261" s="286" t="s">
        <v>450</v>
      </c>
      <c r="E261" s="286">
        <v>0.0</v>
      </c>
      <c r="F261" s="286" t="s">
        <v>450</v>
      </c>
      <c r="G261" s="280"/>
      <c r="H261" s="280"/>
      <c r="I261" s="280"/>
      <c r="J261" s="280"/>
      <c r="K261" s="280"/>
      <c r="L261" s="280"/>
      <c r="M261" s="280"/>
      <c r="N261" s="280"/>
      <c r="O261" s="280"/>
      <c r="P261" s="280"/>
      <c r="Q261" s="280"/>
      <c r="R261" s="280"/>
      <c r="S261" s="280"/>
      <c r="T261" s="280"/>
      <c r="U261" s="280"/>
      <c r="V261" s="280"/>
      <c r="W261" s="280"/>
      <c r="X261" s="280"/>
      <c r="Y261" s="280"/>
      <c r="Z261" s="280"/>
    </row>
    <row r="262">
      <c r="A262" s="284" t="s">
        <v>734</v>
      </c>
      <c r="B262" s="285" t="s">
        <v>717</v>
      </c>
      <c r="C262" s="286">
        <v>0.0</v>
      </c>
      <c r="D262" s="286" t="s">
        <v>450</v>
      </c>
      <c r="E262" s="286">
        <v>0.0</v>
      </c>
      <c r="F262" s="286">
        <v>0.0</v>
      </c>
      <c r="G262" s="280"/>
      <c r="H262" s="280"/>
      <c r="I262" s="280"/>
      <c r="J262" s="280"/>
      <c r="K262" s="280"/>
      <c r="L262" s="280"/>
      <c r="M262" s="280"/>
      <c r="N262" s="280"/>
      <c r="O262" s="280"/>
      <c r="P262" s="280"/>
      <c r="Q262" s="280"/>
      <c r="R262" s="280"/>
      <c r="S262" s="280"/>
      <c r="T262" s="280"/>
      <c r="U262" s="280"/>
      <c r="V262" s="280"/>
      <c r="W262" s="280"/>
      <c r="X262" s="280"/>
      <c r="Y262" s="280"/>
      <c r="Z262" s="280"/>
    </row>
    <row r="263">
      <c r="A263" s="284" t="s">
        <v>735</v>
      </c>
      <c r="B263" s="285" t="s">
        <v>717</v>
      </c>
      <c r="C263" s="286">
        <v>0.0</v>
      </c>
      <c r="D263" s="286" t="s">
        <v>450</v>
      </c>
      <c r="E263" s="286">
        <v>0.0</v>
      </c>
      <c r="F263" s="286" t="s">
        <v>450</v>
      </c>
      <c r="G263" s="280"/>
      <c r="H263" s="280"/>
      <c r="I263" s="280"/>
      <c r="J263" s="280"/>
      <c r="K263" s="280"/>
      <c r="L263" s="280"/>
      <c r="M263" s="280"/>
      <c r="N263" s="280"/>
      <c r="O263" s="280"/>
      <c r="P263" s="280"/>
      <c r="Q263" s="280"/>
      <c r="R263" s="280"/>
      <c r="S263" s="280"/>
      <c r="T263" s="280"/>
      <c r="U263" s="280"/>
      <c r="V263" s="280"/>
      <c r="W263" s="280"/>
      <c r="X263" s="280"/>
      <c r="Y263" s="280"/>
      <c r="Z263" s="280"/>
    </row>
    <row r="264">
      <c r="A264" s="287" t="s">
        <v>736</v>
      </c>
      <c r="B264" s="285" t="s">
        <v>717</v>
      </c>
      <c r="C264" s="286">
        <v>0.0</v>
      </c>
      <c r="D264" s="286">
        <v>0.0</v>
      </c>
      <c r="E264" s="286">
        <v>0.0</v>
      </c>
      <c r="F264" s="286" t="s">
        <v>450</v>
      </c>
      <c r="G264" s="280"/>
      <c r="H264" s="280"/>
      <c r="I264" s="280"/>
      <c r="J264" s="280"/>
      <c r="K264" s="280"/>
      <c r="L264" s="280"/>
      <c r="M264" s="280"/>
      <c r="N264" s="280"/>
      <c r="O264" s="280"/>
      <c r="P264" s="280"/>
      <c r="Q264" s="280"/>
      <c r="R264" s="280"/>
      <c r="S264" s="280"/>
      <c r="T264" s="280"/>
      <c r="U264" s="280"/>
      <c r="V264" s="280"/>
      <c r="W264" s="280"/>
      <c r="X264" s="280"/>
      <c r="Y264" s="280"/>
      <c r="Z264" s="280"/>
    </row>
    <row r="265">
      <c r="A265" s="284" t="s">
        <v>737</v>
      </c>
      <c r="B265" s="285" t="s">
        <v>717</v>
      </c>
      <c r="C265" s="286">
        <v>0.0</v>
      </c>
      <c r="D265" s="286" t="s">
        <v>450</v>
      </c>
      <c r="E265" s="286">
        <v>0.0</v>
      </c>
      <c r="F265" s="286">
        <v>0.0</v>
      </c>
      <c r="G265" s="280"/>
      <c r="H265" s="280"/>
      <c r="I265" s="280"/>
      <c r="J265" s="280"/>
      <c r="K265" s="280"/>
      <c r="L265" s="280"/>
      <c r="M265" s="280"/>
      <c r="N265" s="280"/>
      <c r="O265" s="280"/>
      <c r="P265" s="280"/>
      <c r="Q265" s="280"/>
      <c r="R265" s="280"/>
      <c r="S265" s="280"/>
      <c r="T265" s="280"/>
      <c r="U265" s="280"/>
      <c r="V265" s="280"/>
      <c r="W265" s="280"/>
      <c r="X265" s="280"/>
      <c r="Y265" s="280"/>
      <c r="Z265" s="280"/>
    </row>
    <row r="266">
      <c r="A266" s="284" t="s">
        <v>738</v>
      </c>
      <c r="B266" s="285" t="s">
        <v>717</v>
      </c>
      <c r="C266" s="286">
        <v>0.0</v>
      </c>
      <c r="D266" s="286">
        <v>0.0</v>
      </c>
      <c r="E266" s="286">
        <v>0.0</v>
      </c>
      <c r="F266" s="286" t="s">
        <v>450</v>
      </c>
      <c r="G266" s="280"/>
      <c r="H266" s="280"/>
      <c r="I266" s="280"/>
      <c r="J266" s="280"/>
      <c r="K266" s="280"/>
      <c r="L266" s="280"/>
      <c r="M266" s="280"/>
      <c r="N266" s="280"/>
      <c r="O266" s="280"/>
      <c r="P266" s="280"/>
      <c r="Q266" s="280"/>
      <c r="R266" s="280"/>
      <c r="S266" s="280"/>
      <c r="T266" s="280"/>
      <c r="U266" s="280"/>
      <c r="V266" s="280"/>
      <c r="W266" s="280"/>
      <c r="X266" s="280"/>
      <c r="Y266" s="280"/>
      <c r="Z266" s="280"/>
    </row>
    <row r="267">
      <c r="A267" s="284" t="s">
        <v>739</v>
      </c>
      <c r="B267" s="285" t="s">
        <v>717</v>
      </c>
      <c r="C267" s="286">
        <v>0.0</v>
      </c>
      <c r="D267" s="286" t="s">
        <v>461</v>
      </c>
      <c r="E267" s="286">
        <v>0.0</v>
      </c>
      <c r="F267" s="286" t="s">
        <v>454</v>
      </c>
      <c r="G267" s="280"/>
      <c r="H267" s="280"/>
      <c r="I267" s="280"/>
      <c r="J267" s="280"/>
      <c r="K267" s="280"/>
      <c r="L267" s="280"/>
      <c r="M267" s="280"/>
      <c r="N267" s="280"/>
      <c r="O267" s="280"/>
      <c r="P267" s="280"/>
      <c r="Q267" s="280"/>
      <c r="R267" s="280"/>
      <c r="S267" s="280"/>
      <c r="T267" s="280"/>
      <c r="U267" s="280"/>
      <c r="V267" s="280"/>
      <c r="W267" s="280"/>
      <c r="X267" s="280"/>
      <c r="Y267" s="280"/>
      <c r="Z267" s="280"/>
    </row>
    <row r="268">
      <c r="A268" s="284" t="s">
        <v>740</v>
      </c>
      <c r="B268" s="285" t="s">
        <v>717</v>
      </c>
      <c r="C268" s="286">
        <v>0.0</v>
      </c>
      <c r="D268" s="286" t="s">
        <v>454</v>
      </c>
      <c r="E268" s="286">
        <v>0.0</v>
      </c>
      <c r="F268" s="286" t="s">
        <v>461</v>
      </c>
      <c r="G268" s="280"/>
      <c r="H268" s="280"/>
      <c r="I268" s="280"/>
      <c r="J268" s="280"/>
      <c r="K268" s="280"/>
      <c r="L268" s="280"/>
      <c r="M268" s="280"/>
      <c r="N268" s="280"/>
      <c r="O268" s="280"/>
      <c r="P268" s="280"/>
      <c r="Q268" s="280"/>
      <c r="R268" s="280"/>
      <c r="S268" s="280"/>
      <c r="T268" s="280"/>
      <c r="U268" s="280"/>
      <c r="V268" s="280"/>
      <c r="W268" s="280"/>
      <c r="X268" s="280"/>
      <c r="Y268" s="280"/>
      <c r="Z268" s="280"/>
    </row>
    <row r="269">
      <c r="A269" s="284" t="s">
        <v>741</v>
      </c>
      <c r="B269" s="285" t="s">
        <v>717</v>
      </c>
      <c r="C269" s="286">
        <v>0.0</v>
      </c>
      <c r="D269" s="286" t="s">
        <v>450</v>
      </c>
      <c r="E269" s="286">
        <v>0.0</v>
      </c>
      <c r="F269" s="286" t="s">
        <v>450</v>
      </c>
      <c r="G269" s="280"/>
      <c r="H269" s="280"/>
      <c r="I269" s="280"/>
      <c r="J269" s="280"/>
      <c r="K269" s="280"/>
      <c r="L269" s="280"/>
      <c r="M269" s="280"/>
      <c r="N269" s="280"/>
      <c r="O269" s="280"/>
      <c r="P269" s="280"/>
      <c r="Q269" s="280"/>
      <c r="R269" s="280"/>
      <c r="S269" s="280"/>
      <c r="T269" s="280"/>
      <c r="U269" s="280"/>
      <c r="V269" s="280"/>
      <c r="W269" s="280"/>
      <c r="X269" s="280"/>
      <c r="Y269" s="280"/>
      <c r="Z269" s="280"/>
    </row>
    <row r="270">
      <c r="A270" s="284" t="s">
        <v>742</v>
      </c>
      <c r="B270" s="285" t="s">
        <v>717</v>
      </c>
      <c r="C270" s="286">
        <v>0.0</v>
      </c>
      <c r="D270" s="286" t="s">
        <v>450</v>
      </c>
      <c r="E270" s="286">
        <v>0.0</v>
      </c>
      <c r="F270" s="286" t="s">
        <v>450</v>
      </c>
      <c r="G270" s="280"/>
      <c r="H270" s="280"/>
      <c r="I270" s="280"/>
      <c r="J270" s="280"/>
      <c r="K270" s="280"/>
      <c r="L270" s="280"/>
      <c r="M270" s="280"/>
      <c r="N270" s="280"/>
      <c r="O270" s="280"/>
      <c r="P270" s="280"/>
      <c r="Q270" s="280"/>
      <c r="R270" s="280"/>
      <c r="S270" s="280"/>
      <c r="T270" s="280"/>
      <c r="U270" s="280"/>
      <c r="V270" s="280"/>
      <c r="W270" s="280"/>
      <c r="X270" s="280"/>
      <c r="Y270" s="280"/>
      <c r="Z270" s="280"/>
    </row>
    <row r="271">
      <c r="A271" s="284" t="s">
        <v>743</v>
      </c>
      <c r="B271" s="285" t="s">
        <v>717</v>
      </c>
      <c r="C271" s="286" t="s">
        <v>450</v>
      </c>
      <c r="D271" s="286" t="s">
        <v>516</v>
      </c>
      <c r="E271" s="286">
        <v>0.0</v>
      </c>
      <c r="F271" s="286" t="s">
        <v>461</v>
      </c>
      <c r="G271" s="280"/>
      <c r="H271" s="280"/>
      <c r="I271" s="280"/>
      <c r="J271" s="280"/>
      <c r="K271" s="280"/>
      <c r="L271" s="280"/>
      <c r="M271" s="280"/>
      <c r="N271" s="280"/>
      <c r="O271" s="280"/>
      <c r="P271" s="280"/>
      <c r="Q271" s="280"/>
      <c r="R271" s="280"/>
      <c r="S271" s="280"/>
      <c r="T271" s="280"/>
      <c r="U271" s="280"/>
      <c r="V271" s="280"/>
      <c r="W271" s="280"/>
      <c r="X271" s="280"/>
      <c r="Y271" s="280"/>
      <c r="Z271" s="280"/>
    </row>
    <row r="272">
      <c r="A272" s="284" t="s">
        <v>744</v>
      </c>
      <c r="B272" s="285" t="s">
        <v>717</v>
      </c>
      <c r="C272" s="286">
        <v>0.0</v>
      </c>
      <c r="D272" s="286">
        <v>0.0</v>
      </c>
      <c r="E272" s="286">
        <v>0.0</v>
      </c>
      <c r="F272" s="286" t="s">
        <v>450</v>
      </c>
      <c r="G272" s="280"/>
      <c r="H272" s="280"/>
      <c r="I272" s="280"/>
      <c r="J272" s="280"/>
      <c r="K272" s="280"/>
      <c r="L272" s="280"/>
      <c r="M272" s="280"/>
      <c r="N272" s="280"/>
      <c r="O272" s="280"/>
      <c r="P272" s="280"/>
      <c r="Q272" s="280"/>
      <c r="R272" s="280"/>
      <c r="S272" s="280"/>
      <c r="T272" s="280"/>
      <c r="U272" s="280"/>
      <c r="V272" s="280"/>
      <c r="W272" s="280"/>
      <c r="X272" s="280"/>
      <c r="Y272" s="280"/>
      <c r="Z272" s="280"/>
    </row>
    <row r="273">
      <c r="A273" s="284" t="s">
        <v>745</v>
      </c>
      <c r="B273" s="285" t="s">
        <v>717</v>
      </c>
      <c r="C273" s="286">
        <v>0.0</v>
      </c>
      <c r="D273" s="286">
        <v>0.0</v>
      </c>
      <c r="E273" s="286">
        <v>0.0</v>
      </c>
      <c r="F273" s="286" t="s">
        <v>450</v>
      </c>
      <c r="G273" s="280"/>
      <c r="H273" s="280"/>
      <c r="I273" s="280"/>
      <c r="J273" s="280"/>
      <c r="K273" s="280"/>
      <c r="L273" s="280"/>
      <c r="M273" s="280"/>
      <c r="N273" s="280"/>
      <c r="O273" s="280"/>
      <c r="P273" s="280"/>
      <c r="Q273" s="280"/>
      <c r="R273" s="280"/>
      <c r="S273" s="280"/>
      <c r="T273" s="280"/>
      <c r="U273" s="280"/>
      <c r="V273" s="280"/>
      <c r="W273" s="280"/>
      <c r="X273" s="280"/>
      <c r="Y273" s="280"/>
      <c r="Z273" s="280"/>
    </row>
    <row r="274">
      <c r="A274" s="284" t="s">
        <v>746</v>
      </c>
      <c r="B274" s="285" t="s">
        <v>717</v>
      </c>
      <c r="C274" s="286">
        <v>0.0</v>
      </c>
      <c r="D274" s="286" t="s">
        <v>454</v>
      </c>
      <c r="E274" s="286" t="s">
        <v>450</v>
      </c>
      <c r="F274" s="286" t="s">
        <v>450</v>
      </c>
      <c r="G274" s="280"/>
      <c r="H274" s="280"/>
      <c r="I274" s="280"/>
      <c r="J274" s="280"/>
      <c r="K274" s="280"/>
      <c r="L274" s="280"/>
      <c r="M274" s="280"/>
      <c r="N274" s="280"/>
      <c r="O274" s="280"/>
      <c r="P274" s="280"/>
      <c r="Q274" s="280"/>
      <c r="R274" s="280"/>
      <c r="S274" s="280"/>
      <c r="T274" s="280"/>
      <c r="U274" s="280"/>
      <c r="V274" s="280"/>
      <c r="W274" s="280"/>
      <c r="X274" s="280"/>
      <c r="Y274" s="280"/>
      <c r="Z274" s="280"/>
    </row>
    <row r="275">
      <c r="A275" s="284" t="s">
        <v>747</v>
      </c>
      <c r="B275" s="285" t="s">
        <v>717</v>
      </c>
      <c r="C275" s="286">
        <v>0.0</v>
      </c>
      <c r="D275" s="286" t="s">
        <v>450</v>
      </c>
      <c r="E275" s="286">
        <v>0.0</v>
      </c>
      <c r="F275" s="286">
        <v>0.0</v>
      </c>
      <c r="G275" s="280"/>
      <c r="H275" s="280"/>
      <c r="I275" s="280"/>
      <c r="J275" s="280"/>
      <c r="K275" s="280"/>
      <c r="L275" s="280"/>
      <c r="M275" s="280"/>
      <c r="N275" s="280"/>
      <c r="O275" s="280"/>
      <c r="P275" s="280"/>
      <c r="Q275" s="280"/>
      <c r="R275" s="280"/>
      <c r="S275" s="280"/>
      <c r="T275" s="280"/>
      <c r="U275" s="280"/>
      <c r="V275" s="280"/>
      <c r="W275" s="280"/>
      <c r="X275" s="280"/>
      <c r="Y275" s="280"/>
      <c r="Z275" s="280"/>
    </row>
    <row r="276">
      <c r="A276" s="284" t="s">
        <v>748</v>
      </c>
      <c r="B276" s="285" t="s">
        <v>717</v>
      </c>
      <c r="C276" s="286">
        <v>0.0</v>
      </c>
      <c r="D276" s="286">
        <v>0.0</v>
      </c>
      <c r="E276" s="286">
        <v>0.0</v>
      </c>
      <c r="F276" s="286" t="s">
        <v>450</v>
      </c>
      <c r="G276" s="280"/>
      <c r="H276" s="280"/>
      <c r="I276" s="280"/>
      <c r="J276" s="280"/>
      <c r="K276" s="280"/>
      <c r="L276" s="280"/>
      <c r="M276" s="280"/>
      <c r="N276" s="280"/>
      <c r="O276" s="280"/>
      <c r="P276" s="280"/>
      <c r="Q276" s="280"/>
      <c r="R276" s="280"/>
      <c r="S276" s="280"/>
      <c r="T276" s="280"/>
      <c r="U276" s="280"/>
      <c r="V276" s="280"/>
      <c r="W276" s="280"/>
      <c r="X276" s="280"/>
      <c r="Y276" s="280"/>
      <c r="Z276" s="280"/>
    </row>
    <row r="277">
      <c r="A277" s="284" t="s">
        <v>749</v>
      </c>
      <c r="B277" s="285" t="s">
        <v>717</v>
      </c>
      <c r="C277" s="286">
        <v>0.0</v>
      </c>
      <c r="D277" s="286" t="s">
        <v>461</v>
      </c>
      <c r="E277" s="286">
        <v>0.0</v>
      </c>
      <c r="F277" s="286" t="s">
        <v>461</v>
      </c>
      <c r="G277" s="280"/>
      <c r="H277" s="280"/>
      <c r="I277" s="280"/>
      <c r="J277" s="280"/>
      <c r="K277" s="280"/>
      <c r="L277" s="280"/>
      <c r="M277" s="280"/>
      <c r="N277" s="280"/>
      <c r="O277" s="280"/>
      <c r="P277" s="280"/>
      <c r="Q277" s="280"/>
      <c r="R277" s="280"/>
      <c r="S277" s="280"/>
      <c r="T277" s="280"/>
      <c r="U277" s="280"/>
      <c r="V277" s="280"/>
      <c r="W277" s="280"/>
      <c r="X277" s="280"/>
      <c r="Y277" s="280"/>
      <c r="Z277" s="280"/>
    </row>
    <row r="278">
      <c r="A278" s="284" t="s">
        <v>750</v>
      </c>
      <c r="B278" s="285" t="s">
        <v>717</v>
      </c>
      <c r="C278" s="286">
        <v>0.0</v>
      </c>
      <c r="D278" s="286" t="s">
        <v>450</v>
      </c>
      <c r="E278" s="286">
        <v>0.0</v>
      </c>
      <c r="F278" s="286" t="s">
        <v>450</v>
      </c>
      <c r="G278" s="280"/>
      <c r="H278" s="280"/>
      <c r="I278" s="280"/>
      <c r="J278" s="280"/>
      <c r="K278" s="280"/>
      <c r="L278" s="280"/>
      <c r="M278" s="280"/>
      <c r="N278" s="280"/>
      <c r="O278" s="280"/>
      <c r="P278" s="280"/>
      <c r="Q278" s="280"/>
      <c r="R278" s="280"/>
      <c r="S278" s="280"/>
      <c r="T278" s="280"/>
      <c r="U278" s="280"/>
      <c r="V278" s="280"/>
      <c r="W278" s="280"/>
      <c r="X278" s="280"/>
      <c r="Y278" s="280"/>
      <c r="Z278" s="280"/>
    </row>
    <row r="279">
      <c r="A279" s="284" t="s">
        <v>751</v>
      </c>
      <c r="B279" s="285" t="s">
        <v>717</v>
      </c>
      <c r="C279" s="286">
        <v>0.0</v>
      </c>
      <c r="D279" s="286" t="s">
        <v>450</v>
      </c>
      <c r="E279" s="286">
        <v>0.0</v>
      </c>
      <c r="F279" s="286" t="s">
        <v>450</v>
      </c>
      <c r="G279" s="280"/>
      <c r="H279" s="280"/>
      <c r="I279" s="280"/>
      <c r="J279" s="280"/>
      <c r="K279" s="280"/>
      <c r="L279" s="280"/>
      <c r="M279" s="280"/>
      <c r="N279" s="280"/>
      <c r="O279" s="280"/>
      <c r="P279" s="280"/>
      <c r="Q279" s="280"/>
      <c r="R279" s="280"/>
      <c r="S279" s="280"/>
      <c r="T279" s="280"/>
      <c r="U279" s="280"/>
      <c r="V279" s="280"/>
      <c r="W279" s="280"/>
      <c r="X279" s="280"/>
      <c r="Y279" s="280"/>
      <c r="Z279" s="280"/>
    </row>
    <row r="280">
      <c r="A280" s="284" t="s">
        <v>752</v>
      </c>
      <c r="B280" s="285" t="s">
        <v>717</v>
      </c>
      <c r="C280" s="286">
        <v>0.0</v>
      </c>
      <c r="D280" s="286" t="s">
        <v>450</v>
      </c>
      <c r="E280" s="286">
        <v>0.0</v>
      </c>
      <c r="F280" s="286" t="s">
        <v>450</v>
      </c>
      <c r="G280" s="280"/>
      <c r="H280" s="280"/>
      <c r="I280" s="280"/>
      <c r="J280" s="280"/>
      <c r="K280" s="280"/>
      <c r="L280" s="280"/>
      <c r="M280" s="280"/>
      <c r="N280" s="280"/>
      <c r="O280" s="280"/>
      <c r="P280" s="280"/>
      <c r="Q280" s="280"/>
      <c r="R280" s="280"/>
      <c r="S280" s="280"/>
      <c r="T280" s="280"/>
      <c r="U280" s="280"/>
      <c r="V280" s="280"/>
      <c r="W280" s="280"/>
      <c r="X280" s="280"/>
      <c r="Y280" s="280"/>
      <c r="Z280" s="280"/>
    </row>
    <row r="281">
      <c r="A281" s="284" t="s">
        <v>753</v>
      </c>
      <c r="B281" s="285" t="s">
        <v>717</v>
      </c>
      <c r="C281" s="286">
        <v>0.0</v>
      </c>
      <c r="D281" s="286" t="s">
        <v>454</v>
      </c>
      <c r="E281" s="286">
        <v>0.0</v>
      </c>
      <c r="F281" s="286" t="s">
        <v>461</v>
      </c>
      <c r="G281" s="280"/>
      <c r="H281" s="280"/>
      <c r="I281" s="280"/>
      <c r="J281" s="280"/>
      <c r="K281" s="280"/>
      <c r="L281" s="280"/>
      <c r="M281" s="280"/>
      <c r="N281" s="280"/>
      <c r="O281" s="280"/>
      <c r="P281" s="280"/>
      <c r="Q281" s="280"/>
      <c r="R281" s="280"/>
      <c r="S281" s="280"/>
      <c r="T281" s="280"/>
      <c r="U281" s="280"/>
      <c r="V281" s="280"/>
      <c r="W281" s="280"/>
      <c r="X281" s="280"/>
      <c r="Y281" s="280"/>
      <c r="Z281" s="280"/>
    </row>
    <row r="282">
      <c r="A282" s="284" t="s">
        <v>754</v>
      </c>
      <c r="B282" s="285" t="s">
        <v>717</v>
      </c>
      <c r="C282" s="286">
        <v>0.0</v>
      </c>
      <c r="D282" s="286" t="s">
        <v>450</v>
      </c>
      <c r="E282" s="286">
        <v>0.0</v>
      </c>
      <c r="F282" s="286" t="s">
        <v>450</v>
      </c>
      <c r="G282" s="280"/>
      <c r="H282" s="280"/>
      <c r="I282" s="280"/>
      <c r="J282" s="280"/>
      <c r="K282" s="280"/>
      <c r="L282" s="280"/>
      <c r="M282" s="280"/>
      <c r="N282" s="280"/>
      <c r="O282" s="280"/>
      <c r="P282" s="280"/>
      <c r="Q282" s="280"/>
      <c r="R282" s="280"/>
      <c r="S282" s="280"/>
      <c r="T282" s="280"/>
      <c r="U282" s="280"/>
      <c r="V282" s="280"/>
      <c r="W282" s="280"/>
      <c r="X282" s="280"/>
      <c r="Y282" s="280"/>
      <c r="Z282" s="280"/>
    </row>
    <row r="283">
      <c r="A283" s="284" t="s">
        <v>755</v>
      </c>
      <c r="B283" s="285" t="s">
        <v>717</v>
      </c>
      <c r="C283" s="286">
        <v>0.0</v>
      </c>
      <c r="D283" s="286" t="s">
        <v>450</v>
      </c>
      <c r="E283" s="286">
        <v>0.0</v>
      </c>
      <c r="F283" s="286" t="s">
        <v>461</v>
      </c>
      <c r="G283" s="280"/>
      <c r="H283" s="280"/>
      <c r="I283" s="280"/>
      <c r="J283" s="280"/>
      <c r="K283" s="280"/>
      <c r="L283" s="280"/>
      <c r="M283" s="280"/>
      <c r="N283" s="280"/>
      <c r="O283" s="280"/>
      <c r="P283" s="280"/>
      <c r="Q283" s="280"/>
      <c r="R283" s="280"/>
      <c r="S283" s="280"/>
      <c r="T283" s="280"/>
      <c r="U283" s="280"/>
      <c r="V283" s="280"/>
      <c r="W283" s="280"/>
      <c r="X283" s="280"/>
      <c r="Y283" s="280"/>
      <c r="Z283" s="280"/>
    </row>
    <row r="284">
      <c r="A284" s="284" t="s">
        <v>756</v>
      </c>
      <c r="B284" s="285" t="s">
        <v>717</v>
      </c>
      <c r="C284" s="286">
        <v>0.0</v>
      </c>
      <c r="D284" s="286" t="s">
        <v>450</v>
      </c>
      <c r="E284" s="286">
        <v>0.0</v>
      </c>
      <c r="F284" s="286" t="s">
        <v>450</v>
      </c>
      <c r="G284" s="280"/>
      <c r="H284" s="280"/>
      <c r="I284" s="280"/>
      <c r="J284" s="280"/>
      <c r="K284" s="280"/>
      <c r="L284" s="280"/>
      <c r="M284" s="280"/>
      <c r="N284" s="280"/>
      <c r="O284" s="280"/>
      <c r="P284" s="280"/>
      <c r="Q284" s="280"/>
      <c r="R284" s="280"/>
      <c r="S284" s="280"/>
      <c r="T284" s="280"/>
      <c r="U284" s="280"/>
      <c r="V284" s="280"/>
      <c r="W284" s="280"/>
      <c r="X284" s="280"/>
      <c r="Y284" s="280"/>
      <c r="Z284" s="280"/>
    </row>
    <row r="285">
      <c r="A285" s="284" t="s">
        <v>757</v>
      </c>
      <c r="B285" s="285" t="s">
        <v>717</v>
      </c>
      <c r="C285" s="286">
        <v>0.0</v>
      </c>
      <c r="D285" s="286" t="s">
        <v>454</v>
      </c>
      <c r="E285" s="286">
        <v>0.0</v>
      </c>
      <c r="F285" s="286" t="s">
        <v>461</v>
      </c>
      <c r="G285" s="280"/>
      <c r="H285" s="280"/>
      <c r="I285" s="280"/>
      <c r="J285" s="280"/>
      <c r="K285" s="280"/>
      <c r="L285" s="280"/>
      <c r="M285" s="280"/>
      <c r="N285" s="280"/>
      <c r="O285" s="280"/>
      <c r="P285" s="280"/>
      <c r="Q285" s="280"/>
      <c r="R285" s="280"/>
      <c r="S285" s="280"/>
      <c r="T285" s="280"/>
      <c r="U285" s="280"/>
      <c r="V285" s="280"/>
      <c r="W285" s="280"/>
      <c r="X285" s="280"/>
      <c r="Y285" s="280"/>
      <c r="Z285" s="280"/>
    </row>
    <row r="286">
      <c r="A286" s="284" t="s">
        <v>758</v>
      </c>
      <c r="B286" s="285" t="s">
        <v>717</v>
      </c>
      <c r="C286" s="286">
        <v>0.0</v>
      </c>
      <c r="D286" s="286" t="s">
        <v>450</v>
      </c>
      <c r="E286" s="286">
        <v>0.0</v>
      </c>
      <c r="F286" s="286" t="s">
        <v>461</v>
      </c>
      <c r="G286" s="280"/>
      <c r="H286" s="280"/>
      <c r="I286" s="280"/>
      <c r="J286" s="280"/>
      <c r="K286" s="280"/>
      <c r="L286" s="280"/>
      <c r="M286" s="280"/>
      <c r="N286" s="280"/>
      <c r="O286" s="280"/>
      <c r="P286" s="280"/>
      <c r="Q286" s="280"/>
      <c r="R286" s="280"/>
      <c r="S286" s="280"/>
      <c r="T286" s="280"/>
      <c r="U286" s="280"/>
      <c r="V286" s="280"/>
      <c r="W286" s="280"/>
      <c r="X286" s="280"/>
      <c r="Y286" s="280"/>
      <c r="Z286" s="280"/>
    </row>
    <row r="287">
      <c r="A287" s="284" t="s">
        <v>759</v>
      </c>
      <c r="B287" s="285" t="s">
        <v>717</v>
      </c>
      <c r="C287" s="286">
        <v>0.0</v>
      </c>
      <c r="D287" s="286" t="s">
        <v>461</v>
      </c>
      <c r="E287" s="286">
        <v>0.0</v>
      </c>
      <c r="F287" s="286" t="s">
        <v>461</v>
      </c>
      <c r="G287" s="280"/>
      <c r="H287" s="280"/>
      <c r="I287" s="280"/>
      <c r="J287" s="280"/>
      <c r="K287" s="280"/>
      <c r="L287" s="280"/>
      <c r="M287" s="280"/>
      <c r="N287" s="280"/>
      <c r="O287" s="280"/>
      <c r="P287" s="280"/>
      <c r="Q287" s="280"/>
      <c r="R287" s="280"/>
      <c r="S287" s="280"/>
      <c r="T287" s="280"/>
      <c r="U287" s="280"/>
      <c r="V287" s="280"/>
      <c r="W287" s="280"/>
      <c r="X287" s="280"/>
      <c r="Y287" s="280"/>
      <c r="Z287" s="280"/>
    </row>
    <row r="288">
      <c r="A288" s="284" t="s">
        <v>760</v>
      </c>
      <c r="B288" s="285" t="s">
        <v>717</v>
      </c>
      <c r="C288" s="286">
        <v>0.0</v>
      </c>
      <c r="D288" s="286" t="s">
        <v>450</v>
      </c>
      <c r="E288" s="286">
        <v>0.0</v>
      </c>
      <c r="F288" s="286" t="s">
        <v>461</v>
      </c>
      <c r="G288" s="280"/>
      <c r="H288" s="280"/>
      <c r="I288" s="280"/>
      <c r="J288" s="280"/>
      <c r="K288" s="280"/>
      <c r="L288" s="280"/>
      <c r="M288" s="280"/>
      <c r="N288" s="280"/>
      <c r="O288" s="280"/>
      <c r="P288" s="280"/>
      <c r="Q288" s="280"/>
      <c r="R288" s="280"/>
      <c r="S288" s="280"/>
      <c r="T288" s="280"/>
      <c r="U288" s="280"/>
      <c r="V288" s="280"/>
      <c r="W288" s="280"/>
      <c r="X288" s="280"/>
      <c r="Y288" s="280"/>
      <c r="Z288" s="280"/>
    </row>
    <row r="289">
      <c r="A289" s="284" t="s">
        <v>761</v>
      </c>
      <c r="B289" s="285" t="s">
        <v>717</v>
      </c>
      <c r="C289" s="286" t="s">
        <v>450</v>
      </c>
      <c r="D289" s="286" t="s">
        <v>454</v>
      </c>
      <c r="E289" s="286" t="s">
        <v>450</v>
      </c>
      <c r="F289" s="286" t="s">
        <v>450</v>
      </c>
      <c r="G289" s="280"/>
      <c r="H289" s="280"/>
      <c r="I289" s="280"/>
      <c r="J289" s="280"/>
      <c r="K289" s="280"/>
      <c r="L289" s="280"/>
      <c r="M289" s="280"/>
      <c r="N289" s="280"/>
      <c r="O289" s="280"/>
      <c r="P289" s="280"/>
      <c r="Q289" s="280"/>
      <c r="R289" s="280"/>
      <c r="S289" s="280"/>
      <c r="T289" s="280"/>
      <c r="U289" s="280"/>
      <c r="V289" s="280"/>
      <c r="W289" s="280"/>
      <c r="X289" s="280"/>
      <c r="Y289" s="280"/>
      <c r="Z289" s="280"/>
    </row>
    <row r="290">
      <c r="A290" s="284" t="s">
        <v>762</v>
      </c>
      <c r="B290" s="285" t="s">
        <v>717</v>
      </c>
      <c r="C290" s="286">
        <v>0.0</v>
      </c>
      <c r="D290" s="286">
        <v>0.0</v>
      </c>
      <c r="E290" s="286" t="s">
        <v>450</v>
      </c>
      <c r="F290" s="286" t="s">
        <v>450</v>
      </c>
      <c r="G290" s="280"/>
      <c r="H290" s="280"/>
      <c r="I290" s="280"/>
      <c r="J290" s="280"/>
      <c r="K290" s="280"/>
      <c r="L290" s="280"/>
      <c r="M290" s="280"/>
      <c r="N290" s="280"/>
      <c r="O290" s="280"/>
      <c r="P290" s="280"/>
      <c r="Q290" s="280"/>
      <c r="R290" s="280"/>
      <c r="S290" s="280"/>
      <c r="T290" s="280"/>
      <c r="U290" s="280"/>
      <c r="V290" s="280"/>
      <c r="W290" s="280"/>
      <c r="X290" s="280"/>
      <c r="Y290" s="280"/>
      <c r="Z290" s="280"/>
    </row>
    <row r="291">
      <c r="A291" s="284" t="s">
        <v>763</v>
      </c>
      <c r="B291" s="285" t="s">
        <v>717</v>
      </c>
      <c r="C291" s="286" t="s">
        <v>450</v>
      </c>
      <c r="D291" s="286" t="s">
        <v>450</v>
      </c>
      <c r="E291" s="286">
        <v>0.0</v>
      </c>
      <c r="F291" s="286" t="s">
        <v>450</v>
      </c>
      <c r="G291" s="280"/>
      <c r="H291" s="280"/>
      <c r="I291" s="280"/>
      <c r="J291" s="280"/>
      <c r="K291" s="280"/>
      <c r="L291" s="280"/>
      <c r="M291" s="280"/>
      <c r="N291" s="280"/>
      <c r="O291" s="280"/>
      <c r="P291" s="280"/>
      <c r="Q291" s="280"/>
      <c r="R291" s="280"/>
      <c r="S291" s="280"/>
      <c r="T291" s="280"/>
      <c r="U291" s="280"/>
      <c r="V291" s="280"/>
      <c r="W291" s="280"/>
      <c r="X291" s="280"/>
      <c r="Y291" s="280"/>
      <c r="Z291" s="280"/>
    </row>
    <row r="292">
      <c r="A292" s="284" t="s">
        <v>764</v>
      </c>
      <c r="B292" s="285" t="s">
        <v>717</v>
      </c>
      <c r="C292" s="286">
        <v>0.0</v>
      </c>
      <c r="D292" s="286">
        <v>0.0</v>
      </c>
      <c r="E292" s="286">
        <v>0.0</v>
      </c>
      <c r="F292" s="286" t="s">
        <v>450</v>
      </c>
      <c r="G292" s="280"/>
      <c r="H292" s="280"/>
      <c r="I292" s="280"/>
      <c r="J292" s="280"/>
      <c r="K292" s="280"/>
      <c r="L292" s="280"/>
      <c r="M292" s="280"/>
      <c r="N292" s="280"/>
      <c r="O292" s="280"/>
      <c r="P292" s="280"/>
      <c r="Q292" s="280"/>
      <c r="R292" s="280"/>
      <c r="S292" s="280"/>
      <c r="T292" s="280"/>
      <c r="U292" s="280"/>
      <c r="V292" s="280"/>
      <c r="W292" s="280"/>
      <c r="X292" s="280"/>
      <c r="Y292" s="280"/>
      <c r="Z292" s="280"/>
    </row>
    <row r="293">
      <c r="A293" s="284" t="s">
        <v>765</v>
      </c>
      <c r="B293" s="285" t="s">
        <v>717</v>
      </c>
      <c r="C293" s="286" t="s">
        <v>450</v>
      </c>
      <c r="D293" s="286" t="s">
        <v>460</v>
      </c>
      <c r="E293" s="286">
        <v>0.0</v>
      </c>
      <c r="F293" s="286" t="s">
        <v>450</v>
      </c>
      <c r="G293" s="280"/>
      <c r="H293" s="280"/>
      <c r="I293" s="280"/>
      <c r="J293" s="280"/>
      <c r="K293" s="280"/>
      <c r="L293" s="280"/>
      <c r="M293" s="280"/>
      <c r="N293" s="280"/>
      <c r="O293" s="280"/>
      <c r="P293" s="280"/>
      <c r="Q293" s="280"/>
      <c r="R293" s="280"/>
      <c r="S293" s="280"/>
      <c r="T293" s="280"/>
      <c r="U293" s="280"/>
      <c r="V293" s="280"/>
      <c r="W293" s="280"/>
      <c r="X293" s="280"/>
      <c r="Y293" s="280"/>
      <c r="Z293" s="280"/>
    </row>
    <row r="294">
      <c r="A294" s="284" t="s">
        <v>766</v>
      </c>
      <c r="B294" s="285" t="s">
        <v>717</v>
      </c>
      <c r="C294" s="286">
        <v>0.0</v>
      </c>
      <c r="D294" s="286">
        <v>0.0</v>
      </c>
      <c r="E294" s="286">
        <v>0.0</v>
      </c>
      <c r="F294" s="286" t="s">
        <v>450</v>
      </c>
      <c r="G294" s="280"/>
      <c r="H294" s="280"/>
      <c r="I294" s="280"/>
      <c r="J294" s="280"/>
      <c r="K294" s="280"/>
      <c r="L294" s="280"/>
      <c r="M294" s="280"/>
      <c r="N294" s="280"/>
      <c r="O294" s="280"/>
      <c r="P294" s="280"/>
      <c r="Q294" s="280"/>
      <c r="R294" s="280"/>
      <c r="S294" s="280"/>
      <c r="T294" s="280"/>
      <c r="U294" s="280"/>
      <c r="V294" s="280"/>
      <c r="W294" s="280"/>
      <c r="X294" s="280"/>
      <c r="Y294" s="280"/>
      <c r="Z294" s="280"/>
    </row>
    <row r="295">
      <c r="A295" s="284" t="s">
        <v>767</v>
      </c>
      <c r="B295" s="285" t="s">
        <v>717</v>
      </c>
      <c r="C295" s="286">
        <v>0.0</v>
      </c>
      <c r="D295" s="286" t="s">
        <v>450</v>
      </c>
      <c r="E295" s="286">
        <v>0.0</v>
      </c>
      <c r="F295" s="286">
        <v>0.0</v>
      </c>
      <c r="G295" s="280"/>
      <c r="H295" s="280"/>
      <c r="I295" s="280"/>
      <c r="J295" s="280"/>
      <c r="K295" s="280"/>
      <c r="L295" s="280"/>
      <c r="M295" s="280"/>
      <c r="N295" s="280"/>
      <c r="O295" s="280"/>
      <c r="P295" s="280"/>
      <c r="Q295" s="280"/>
      <c r="R295" s="280"/>
      <c r="S295" s="280"/>
      <c r="T295" s="280"/>
      <c r="U295" s="280"/>
      <c r="V295" s="280"/>
      <c r="W295" s="280"/>
      <c r="X295" s="280"/>
      <c r="Y295" s="280"/>
      <c r="Z295" s="280"/>
    </row>
    <row r="296">
      <c r="A296" s="284" t="s">
        <v>768</v>
      </c>
      <c r="B296" s="285" t="s">
        <v>717</v>
      </c>
      <c r="C296" s="286">
        <v>0.0</v>
      </c>
      <c r="D296" s="286" t="s">
        <v>450</v>
      </c>
      <c r="E296" s="286" t="s">
        <v>450</v>
      </c>
      <c r="F296" s="286" t="s">
        <v>450</v>
      </c>
      <c r="G296" s="280"/>
      <c r="H296" s="280"/>
      <c r="I296" s="280"/>
      <c r="J296" s="280"/>
      <c r="K296" s="280"/>
      <c r="L296" s="280"/>
      <c r="M296" s="280"/>
      <c r="N296" s="280"/>
      <c r="O296" s="280"/>
      <c r="P296" s="280"/>
      <c r="Q296" s="280"/>
      <c r="R296" s="280"/>
      <c r="S296" s="280"/>
      <c r="T296" s="280"/>
      <c r="U296" s="280"/>
      <c r="V296" s="280"/>
      <c r="W296" s="280"/>
      <c r="X296" s="280"/>
      <c r="Y296" s="280"/>
      <c r="Z296" s="280"/>
    </row>
    <row r="297">
      <c r="A297" s="284" t="s">
        <v>769</v>
      </c>
      <c r="B297" s="285" t="s">
        <v>717</v>
      </c>
      <c r="C297" s="286">
        <v>0.0</v>
      </c>
      <c r="D297" s="286" t="s">
        <v>450</v>
      </c>
      <c r="E297" s="286">
        <v>0.0</v>
      </c>
      <c r="F297" s="286" t="s">
        <v>461</v>
      </c>
      <c r="G297" s="280"/>
      <c r="H297" s="280"/>
      <c r="I297" s="280"/>
      <c r="J297" s="280"/>
      <c r="K297" s="280"/>
      <c r="L297" s="280"/>
      <c r="M297" s="280"/>
      <c r="N297" s="280"/>
      <c r="O297" s="280"/>
      <c r="P297" s="280"/>
      <c r="Q297" s="280"/>
      <c r="R297" s="280"/>
      <c r="S297" s="280"/>
      <c r="T297" s="280"/>
      <c r="U297" s="280"/>
      <c r="V297" s="280"/>
      <c r="W297" s="280"/>
      <c r="X297" s="280"/>
      <c r="Y297" s="280"/>
      <c r="Z297" s="280"/>
    </row>
    <row r="298">
      <c r="A298" s="284" t="s">
        <v>770</v>
      </c>
      <c r="B298" s="285" t="s">
        <v>717</v>
      </c>
      <c r="C298" s="286">
        <v>0.0</v>
      </c>
      <c r="D298" s="286" t="s">
        <v>450</v>
      </c>
      <c r="E298" s="286">
        <v>0.0</v>
      </c>
      <c r="F298" s="286">
        <v>0.0</v>
      </c>
      <c r="G298" s="280"/>
      <c r="H298" s="280"/>
      <c r="I298" s="280"/>
      <c r="J298" s="280"/>
      <c r="K298" s="280"/>
      <c r="L298" s="280"/>
      <c r="M298" s="280"/>
      <c r="N298" s="280"/>
      <c r="O298" s="280"/>
      <c r="P298" s="280"/>
      <c r="Q298" s="280"/>
      <c r="R298" s="280"/>
      <c r="S298" s="280"/>
      <c r="T298" s="280"/>
      <c r="U298" s="280"/>
      <c r="V298" s="280"/>
      <c r="W298" s="280"/>
      <c r="X298" s="280"/>
      <c r="Y298" s="280"/>
      <c r="Z298" s="280"/>
    </row>
    <row r="299">
      <c r="A299" s="284" t="s">
        <v>771</v>
      </c>
      <c r="B299" s="285" t="s">
        <v>717</v>
      </c>
      <c r="C299" s="286" t="s">
        <v>450</v>
      </c>
      <c r="D299" s="286" t="s">
        <v>450</v>
      </c>
      <c r="E299" s="286">
        <v>0.0</v>
      </c>
      <c r="F299" s="286">
        <v>0.0</v>
      </c>
      <c r="G299" s="280"/>
      <c r="H299" s="280"/>
      <c r="I299" s="280"/>
      <c r="J299" s="280"/>
      <c r="K299" s="280"/>
      <c r="L299" s="280"/>
      <c r="M299" s="280"/>
      <c r="N299" s="280"/>
      <c r="O299" s="280"/>
      <c r="P299" s="280"/>
      <c r="Q299" s="280"/>
      <c r="R299" s="280"/>
      <c r="S299" s="280"/>
      <c r="T299" s="280"/>
      <c r="U299" s="280"/>
      <c r="V299" s="280"/>
      <c r="W299" s="280"/>
      <c r="X299" s="280"/>
      <c r="Y299" s="280"/>
      <c r="Z299" s="280"/>
    </row>
    <row r="300">
      <c r="A300" s="284" t="s">
        <v>772</v>
      </c>
      <c r="B300" s="285" t="s">
        <v>717</v>
      </c>
      <c r="C300" s="286">
        <v>0.0</v>
      </c>
      <c r="D300" s="286" t="s">
        <v>450</v>
      </c>
      <c r="E300" s="286">
        <v>0.0</v>
      </c>
      <c r="F300" s="286" t="s">
        <v>450</v>
      </c>
      <c r="G300" s="280"/>
      <c r="H300" s="280"/>
      <c r="I300" s="280"/>
      <c r="J300" s="280"/>
      <c r="K300" s="280"/>
      <c r="L300" s="280"/>
      <c r="M300" s="280"/>
      <c r="N300" s="280"/>
      <c r="O300" s="280"/>
      <c r="P300" s="280"/>
      <c r="Q300" s="280"/>
      <c r="R300" s="280"/>
      <c r="S300" s="280"/>
      <c r="T300" s="280"/>
      <c r="U300" s="280"/>
      <c r="V300" s="280"/>
      <c r="W300" s="280"/>
      <c r="X300" s="280"/>
      <c r="Y300" s="280"/>
      <c r="Z300" s="280"/>
    </row>
    <row r="301">
      <c r="A301" s="284" t="s">
        <v>773</v>
      </c>
      <c r="B301" s="285" t="s">
        <v>717</v>
      </c>
      <c r="C301" s="286">
        <v>0.0</v>
      </c>
      <c r="D301" s="286" t="s">
        <v>450</v>
      </c>
      <c r="E301" s="286">
        <v>0.0</v>
      </c>
      <c r="F301" s="286">
        <v>0.0</v>
      </c>
      <c r="G301" s="280"/>
      <c r="H301" s="280"/>
      <c r="I301" s="280"/>
      <c r="J301" s="280"/>
      <c r="K301" s="280"/>
      <c r="L301" s="280"/>
      <c r="M301" s="280"/>
      <c r="N301" s="280"/>
      <c r="O301" s="280"/>
      <c r="P301" s="280"/>
      <c r="Q301" s="280"/>
      <c r="R301" s="280"/>
      <c r="S301" s="280"/>
      <c r="T301" s="280"/>
      <c r="U301" s="280"/>
      <c r="V301" s="280"/>
      <c r="W301" s="280"/>
      <c r="X301" s="280"/>
      <c r="Y301" s="280"/>
      <c r="Z301" s="280"/>
    </row>
    <row r="302">
      <c r="A302" s="284" t="s">
        <v>774</v>
      </c>
      <c r="B302" s="285" t="s">
        <v>717</v>
      </c>
      <c r="C302" s="286">
        <v>0.0</v>
      </c>
      <c r="D302" s="286" t="s">
        <v>461</v>
      </c>
      <c r="E302" s="286">
        <v>0.0</v>
      </c>
      <c r="F302" s="286" t="s">
        <v>450</v>
      </c>
      <c r="G302" s="280"/>
      <c r="H302" s="280"/>
      <c r="I302" s="280"/>
      <c r="J302" s="280"/>
      <c r="K302" s="280"/>
      <c r="L302" s="280"/>
      <c r="M302" s="280"/>
      <c r="N302" s="280"/>
      <c r="O302" s="280"/>
      <c r="P302" s="280"/>
      <c r="Q302" s="280"/>
      <c r="R302" s="280"/>
      <c r="S302" s="280"/>
      <c r="T302" s="280"/>
      <c r="U302" s="280"/>
      <c r="V302" s="280"/>
      <c r="W302" s="280"/>
      <c r="X302" s="280"/>
      <c r="Y302" s="280"/>
      <c r="Z302" s="280"/>
    </row>
    <row r="303">
      <c r="A303" s="284" t="s">
        <v>775</v>
      </c>
      <c r="B303" s="285" t="s">
        <v>717</v>
      </c>
      <c r="C303" s="286">
        <v>0.0</v>
      </c>
      <c r="D303" s="286" t="s">
        <v>454</v>
      </c>
      <c r="E303" s="286">
        <v>0.0</v>
      </c>
      <c r="F303" s="286" t="s">
        <v>461</v>
      </c>
      <c r="G303" s="280"/>
      <c r="H303" s="280"/>
      <c r="I303" s="280"/>
      <c r="J303" s="280"/>
      <c r="K303" s="280"/>
      <c r="L303" s="280"/>
      <c r="M303" s="280"/>
      <c r="N303" s="280"/>
      <c r="O303" s="280"/>
      <c r="P303" s="280"/>
      <c r="Q303" s="280"/>
      <c r="R303" s="280"/>
      <c r="S303" s="280"/>
      <c r="T303" s="280"/>
      <c r="U303" s="280"/>
      <c r="V303" s="280"/>
      <c r="W303" s="280"/>
      <c r="X303" s="280"/>
      <c r="Y303" s="280"/>
      <c r="Z303" s="280"/>
    </row>
    <row r="304">
      <c r="A304" s="284" t="s">
        <v>776</v>
      </c>
      <c r="B304" s="285" t="s">
        <v>717</v>
      </c>
      <c r="C304" s="286">
        <v>0.0</v>
      </c>
      <c r="D304" s="286" t="s">
        <v>454</v>
      </c>
      <c r="E304" s="286">
        <v>0.0</v>
      </c>
      <c r="F304" s="286" t="s">
        <v>450</v>
      </c>
      <c r="G304" s="280"/>
      <c r="H304" s="280"/>
      <c r="I304" s="280"/>
      <c r="J304" s="280"/>
      <c r="K304" s="280"/>
      <c r="L304" s="280"/>
      <c r="M304" s="280"/>
      <c r="N304" s="280"/>
      <c r="O304" s="280"/>
      <c r="P304" s="280"/>
      <c r="Q304" s="280"/>
      <c r="R304" s="280"/>
      <c r="S304" s="280"/>
      <c r="T304" s="280"/>
      <c r="U304" s="280"/>
      <c r="V304" s="280"/>
      <c r="W304" s="280"/>
      <c r="X304" s="280"/>
      <c r="Y304" s="280"/>
      <c r="Z304" s="280"/>
    </row>
    <row r="305">
      <c r="A305" s="284" t="s">
        <v>777</v>
      </c>
      <c r="B305" s="285" t="s">
        <v>717</v>
      </c>
      <c r="C305" s="286">
        <v>0.0</v>
      </c>
      <c r="D305" s="286" t="s">
        <v>450</v>
      </c>
      <c r="E305" s="286" t="s">
        <v>450</v>
      </c>
      <c r="F305" s="286" t="s">
        <v>450</v>
      </c>
      <c r="G305" s="280"/>
      <c r="H305" s="280"/>
      <c r="I305" s="280"/>
      <c r="J305" s="280"/>
      <c r="K305" s="280"/>
      <c r="L305" s="280"/>
      <c r="M305" s="280"/>
      <c r="N305" s="280"/>
      <c r="O305" s="280"/>
      <c r="P305" s="280"/>
      <c r="Q305" s="280"/>
      <c r="R305" s="280"/>
      <c r="S305" s="280"/>
      <c r="T305" s="280"/>
      <c r="U305" s="280"/>
      <c r="V305" s="280"/>
      <c r="W305" s="280"/>
      <c r="X305" s="280"/>
      <c r="Y305" s="280"/>
      <c r="Z305" s="280"/>
    </row>
    <row r="306">
      <c r="A306" s="284" t="s">
        <v>778</v>
      </c>
      <c r="B306" s="285" t="s">
        <v>717</v>
      </c>
      <c r="C306" s="286">
        <v>0.0</v>
      </c>
      <c r="D306" s="286" t="s">
        <v>450</v>
      </c>
      <c r="E306" s="286">
        <v>0.0</v>
      </c>
      <c r="F306" s="286" t="s">
        <v>450</v>
      </c>
      <c r="G306" s="280"/>
      <c r="H306" s="280"/>
      <c r="I306" s="280"/>
      <c r="J306" s="280"/>
      <c r="K306" s="280"/>
      <c r="L306" s="280"/>
      <c r="M306" s="280"/>
      <c r="N306" s="280"/>
      <c r="O306" s="280"/>
      <c r="P306" s="280"/>
      <c r="Q306" s="280"/>
      <c r="R306" s="280"/>
      <c r="S306" s="280"/>
      <c r="T306" s="280"/>
      <c r="U306" s="280"/>
      <c r="V306" s="280"/>
      <c r="W306" s="280"/>
      <c r="X306" s="280"/>
      <c r="Y306" s="280"/>
      <c r="Z306" s="280"/>
    </row>
    <row r="307">
      <c r="A307" s="284" t="s">
        <v>779</v>
      </c>
      <c r="B307" s="285" t="s">
        <v>717</v>
      </c>
      <c r="C307" s="286">
        <v>0.0</v>
      </c>
      <c r="D307" s="286">
        <v>0.0</v>
      </c>
      <c r="E307" s="286">
        <v>0.0</v>
      </c>
      <c r="F307" s="286" t="s">
        <v>450</v>
      </c>
      <c r="G307" s="280"/>
      <c r="H307" s="280"/>
      <c r="I307" s="280"/>
      <c r="J307" s="280"/>
      <c r="K307" s="280"/>
      <c r="L307" s="280"/>
      <c r="M307" s="280"/>
      <c r="N307" s="280"/>
      <c r="O307" s="280"/>
      <c r="P307" s="280"/>
      <c r="Q307" s="280"/>
      <c r="R307" s="280"/>
      <c r="S307" s="280"/>
      <c r="T307" s="280"/>
      <c r="U307" s="280"/>
      <c r="V307" s="280"/>
      <c r="W307" s="280"/>
      <c r="X307" s="280"/>
      <c r="Y307" s="280"/>
      <c r="Z307" s="280"/>
    </row>
    <row r="308">
      <c r="A308" s="284" t="s">
        <v>780</v>
      </c>
      <c r="B308" s="285" t="s">
        <v>717</v>
      </c>
      <c r="C308" s="286">
        <v>0.0</v>
      </c>
      <c r="D308" s="286" t="s">
        <v>461</v>
      </c>
      <c r="E308" s="286">
        <v>0.0</v>
      </c>
      <c r="F308" s="286" t="s">
        <v>461</v>
      </c>
      <c r="G308" s="280"/>
      <c r="H308" s="280"/>
      <c r="I308" s="280"/>
      <c r="J308" s="280"/>
      <c r="K308" s="280"/>
      <c r="L308" s="280"/>
      <c r="M308" s="280"/>
      <c r="N308" s="280"/>
      <c r="O308" s="280"/>
      <c r="P308" s="280"/>
      <c r="Q308" s="280"/>
      <c r="R308" s="280"/>
      <c r="S308" s="280"/>
      <c r="T308" s="280"/>
      <c r="U308" s="280"/>
      <c r="V308" s="280"/>
      <c r="W308" s="280"/>
      <c r="X308" s="280"/>
      <c r="Y308" s="280"/>
      <c r="Z308" s="280"/>
    </row>
    <row r="309">
      <c r="A309" s="284" t="s">
        <v>781</v>
      </c>
      <c r="B309" s="285" t="s">
        <v>717</v>
      </c>
      <c r="C309" s="286">
        <v>0.0</v>
      </c>
      <c r="D309" s="286" t="s">
        <v>450</v>
      </c>
      <c r="E309" s="286">
        <v>0.0</v>
      </c>
      <c r="F309" s="286" t="s">
        <v>450</v>
      </c>
      <c r="G309" s="280"/>
      <c r="H309" s="280"/>
      <c r="I309" s="280"/>
      <c r="J309" s="280"/>
      <c r="K309" s="280"/>
      <c r="L309" s="280"/>
      <c r="M309" s="280"/>
      <c r="N309" s="280"/>
      <c r="O309" s="280"/>
      <c r="P309" s="280"/>
      <c r="Q309" s="280"/>
      <c r="R309" s="280"/>
      <c r="S309" s="280"/>
      <c r="T309" s="280"/>
      <c r="U309" s="280"/>
      <c r="V309" s="280"/>
      <c r="W309" s="280"/>
      <c r="X309" s="280"/>
      <c r="Y309" s="280"/>
      <c r="Z309" s="280"/>
    </row>
    <row r="310">
      <c r="A310" s="284" t="s">
        <v>782</v>
      </c>
      <c r="B310" s="285" t="s">
        <v>717</v>
      </c>
      <c r="C310" s="286">
        <v>0.0</v>
      </c>
      <c r="D310" s="286" t="s">
        <v>461</v>
      </c>
      <c r="E310" s="286">
        <v>0.0</v>
      </c>
      <c r="F310" s="286" t="s">
        <v>450</v>
      </c>
      <c r="G310" s="280"/>
      <c r="H310" s="280"/>
      <c r="I310" s="280"/>
      <c r="J310" s="280"/>
      <c r="K310" s="280"/>
      <c r="L310" s="280"/>
      <c r="M310" s="280"/>
      <c r="N310" s="280"/>
      <c r="O310" s="280"/>
      <c r="P310" s="280"/>
      <c r="Q310" s="280"/>
      <c r="R310" s="280"/>
      <c r="S310" s="280"/>
      <c r="T310" s="280"/>
      <c r="U310" s="280"/>
      <c r="V310" s="280"/>
      <c r="W310" s="280"/>
      <c r="X310" s="280"/>
      <c r="Y310" s="280"/>
      <c r="Z310" s="280"/>
    </row>
    <row r="311">
      <c r="A311" s="284" t="s">
        <v>783</v>
      </c>
      <c r="B311" s="285" t="s">
        <v>717</v>
      </c>
      <c r="C311" s="286" t="s">
        <v>450</v>
      </c>
      <c r="D311" s="286" t="s">
        <v>460</v>
      </c>
      <c r="E311" s="286">
        <v>0.0</v>
      </c>
      <c r="F311" s="286" t="s">
        <v>450</v>
      </c>
      <c r="G311" s="280"/>
      <c r="H311" s="280"/>
      <c r="I311" s="280"/>
      <c r="J311" s="280"/>
      <c r="K311" s="280"/>
      <c r="L311" s="280"/>
      <c r="M311" s="280"/>
      <c r="N311" s="280"/>
      <c r="O311" s="280"/>
      <c r="P311" s="280"/>
      <c r="Q311" s="280"/>
      <c r="R311" s="280"/>
      <c r="S311" s="280"/>
      <c r="T311" s="280"/>
      <c r="U311" s="280"/>
      <c r="V311" s="280"/>
      <c r="W311" s="280"/>
      <c r="X311" s="280"/>
      <c r="Y311" s="280"/>
      <c r="Z311" s="280"/>
    </row>
    <row r="312">
      <c r="A312" s="284" t="s">
        <v>784</v>
      </c>
      <c r="B312" s="285" t="s">
        <v>717</v>
      </c>
      <c r="C312" s="286">
        <v>0.0</v>
      </c>
      <c r="D312" s="286" t="s">
        <v>450</v>
      </c>
      <c r="E312" s="286">
        <v>0.0</v>
      </c>
      <c r="F312" s="286">
        <v>0.0</v>
      </c>
      <c r="G312" s="280"/>
      <c r="H312" s="280"/>
      <c r="I312" s="280"/>
      <c r="J312" s="280"/>
      <c r="K312" s="280"/>
      <c r="L312" s="280"/>
      <c r="M312" s="280"/>
      <c r="N312" s="280"/>
      <c r="O312" s="280"/>
      <c r="P312" s="280"/>
      <c r="Q312" s="280"/>
      <c r="R312" s="280"/>
      <c r="S312" s="280"/>
      <c r="T312" s="280"/>
      <c r="U312" s="280"/>
      <c r="V312" s="280"/>
      <c r="W312" s="280"/>
      <c r="X312" s="280"/>
      <c r="Y312" s="280"/>
      <c r="Z312" s="280"/>
    </row>
    <row r="313">
      <c r="A313" s="284" t="s">
        <v>785</v>
      </c>
      <c r="B313" s="285" t="s">
        <v>717</v>
      </c>
      <c r="C313" s="286">
        <v>0.0</v>
      </c>
      <c r="D313" s="286" t="s">
        <v>450</v>
      </c>
      <c r="E313" s="286">
        <v>0.0</v>
      </c>
      <c r="F313" s="286" t="s">
        <v>461</v>
      </c>
      <c r="G313" s="280"/>
      <c r="H313" s="280"/>
      <c r="I313" s="280"/>
      <c r="J313" s="280"/>
      <c r="K313" s="280"/>
      <c r="L313" s="280"/>
      <c r="M313" s="280"/>
      <c r="N313" s="280"/>
      <c r="O313" s="280"/>
      <c r="P313" s="280"/>
      <c r="Q313" s="280"/>
      <c r="R313" s="280"/>
      <c r="S313" s="280"/>
      <c r="T313" s="280"/>
      <c r="U313" s="280"/>
      <c r="V313" s="280"/>
      <c r="W313" s="280"/>
      <c r="X313" s="280"/>
      <c r="Y313" s="280"/>
      <c r="Z313" s="280"/>
    </row>
    <row r="314">
      <c r="A314" s="284" t="s">
        <v>786</v>
      </c>
      <c r="B314" s="285" t="s">
        <v>717</v>
      </c>
      <c r="C314" s="286">
        <v>0.0</v>
      </c>
      <c r="D314" s="286" t="s">
        <v>450</v>
      </c>
      <c r="E314" s="286">
        <v>0.0</v>
      </c>
      <c r="F314" s="286">
        <v>0.0</v>
      </c>
      <c r="G314" s="280"/>
      <c r="H314" s="280"/>
      <c r="I314" s="280"/>
      <c r="J314" s="280"/>
      <c r="K314" s="280"/>
      <c r="L314" s="280"/>
      <c r="M314" s="280"/>
      <c r="N314" s="280"/>
      <c r="O314" s="280"/>
      <c r="P314" s="280"/>
      <c r="Q314" s="280"/>
      <c r="R314" s="280"/>
      <c r="S314" s="280"/>
      <c r="T314" s="280"/>
      <c r="U314" s="280"/>
      <c r="V314" s="280"/>
      <c r="W314" s="280"/>
      <c r="X314" s="280"/>
      <c r="Y314" s="280"/>
      <c r="Z314" s="280"/>
    </row>
    <row r="315">
      <c r="A315" s="284" t="s">
        <v>787</v>
      </c>
      <c r="B315" s="285" t="s">
        <v>717</v>
      </c>
      <c r="C315" s="286">
        <v>0.0</v>
      </c>
      <c r="D315" s="286" t="s">
        <v>461</v>
      </c>
      <c r="E315" s="286">
        <v>0.0</v>
      </c>
      <c r="F315" s="286" t="s">
        <v>450</v>
      </c>
      <c r="G315" s="280"/>
      <c r="H315" s="280"/>
      <c r="I315" s="280"/>
      <c r="J315" s="280"/>
      <c r="K315" s="280"/>
      <c r="L315" s="280"/>
      <c r="M315" s="280"/>
      <c r="N315" s="280"/>
      <c r="O315" s="280"/>
      <c r="P315" s="280"/>
      <c r="Q315" s="280"/>
      <c r="R315" s="280"/>
      <c r="S315" s="280"/>
      <c r="T315" s="280"/>
      <c r="U315" s="280"/>
      <c r="V315" s="280"/>
      <c r="W315" s="280"/>
      <c r="X315" s="280"/>
      <c r="Y315" s="280"/>
      <c r="Z315" s="280"/>
    </row>
    <row r="316">
      <c r="A316" s="284" t="s">
        <v>788</v>
      </c>
      <c r="B316" s="285" t="s">
        <v>717</v>
      </c>
      <c r="C316" s="286">
        <v>0.0</v>
      </c>
      <c r="D316" s="286" t="s">
        <v>450</v>
      </c>
      <c r="E316" s="286">
        <v>0.0</v>
      </c>
      <c r="F316" s="286" t="s">
        <v>461</v>
      </c>
      <c r="G316" s="280"/>
      <c r="H316" s="280"/>
      <c r="I316" s="280"/>
      <c r="J316" s="280"/>
      <c r="K316" s="280"/>
      <c r="L316" s="280"/>
      <c r="M316" s="280"/>
      <c r="N316" s="280"/>
      <c r="O316" s="280"/>
      <c r="P316" s="280"/>
      <c r="Q316" s="280"/>
      <c r="R316" s="280"/>
      <c r="S316" s="280"/>
      <c r="T316" s="280"/>
      <c r="U316" s="280"/>
      <c r="V316" s="280"/>
      <c r="W316" s="280"/>
      <c r="X316" s="280"/>
      <c r="Y316" s="280"/>
      <c r="Z316" s="280"/>
    </row>
    <row r="317">
      <c r="A317" s="284" t="s">
        <v>789</v>
      </c>
      <c r="B317" s="285" t="s">
        <v>717</v>
      </c>
      <c r="C317" s="286">
        <v>0.0</v>
      </c>
      <c r="D317" s="286" t="s">
        <v>450</v>
      </c>
      <c r="E317" s="286">
        <v>0.0</v>
      </c>
      <c r="F317" s="286">
        <v>0.0</v>
      </c>
      <c r="G317" s="280"/>
      <c r="H317" s="280"/>
      <c r="I317" s="280"/>
      <c r="J317" s="280"/>
      <c r="K317" s="280"/>
      <c r="L317" s="280"/>
      <c r="M317" s="280"/>
      <c r="N317" s="280"/>
      <c r="O317" s="280"/>
      <c r="P317" s="280"/>
      <c r="Q317" s="280"/>
      <c r="R317" s="280"/>
      <c r="S317" s="280"/>
      <c r="T317" s="280"/>
      <c r="U317" s="280"/>
      <c r="V317" s="280"/>
      <c r="W317" s="280"/>
      <c r="X317" s="280"/>
      <c r="Y317" s="280"/>
      <c r="Z317" s="280"/>
    </row>
    <row r="318">
      <c r="A318" s="284" t="s">
        <v>790</v>
      </c>
      <c r="B318" s="285" t="s">
        <v>717</v>
      </c>
      <c r="C318" s="286">
        <v>0.0</v>
      </c>
      <c r="D318" s="286">
        <v>0.0</v>
      </c>
      <c r="E318" s="286">
        <v>0.0</v>
      </c>
      <c r="F318" s="286" t="s">
        <v>450</v>
      </c>
      <c r="G318" s="280"/>
      <c r="H318" s="280"/>
      <c r="I318" s="280"/>
      <c r="J318" s="280"/>
      <c r="K318" s="280"/>
      <c r="L318" s="280"/>
      <c r="M318" s="280"/>
      <c r="N318" s="280"/>
      <c r="O318" s="280"/>
      <c r="P318" s="280"/>
      <c r="Q318" s="280"/>
      <c r="R318" s="280"/>
      <c r="S318" s="280"/>
      <c r="T318" s="280"/>
      <c r="U318" s="280"/>
      <c r="V318" s="280"/>
      <c r="W318" s="280"/>
      <c r="X318" s="280"/>
      <c r="Y318" s="280"/>
      <c r="Z318" s="280"/>
    </row>
    <row r="319">
      <c r="A319" s="284" t="s">
        <v>791</v>
      </c>
      <c r="B319" s="285" t="s">
        <v>717</v>
      </c>
      <c r="C319" s="286">
        <v>0.0</v>
      </c>
      <c r="D319" s="286" t="s">
        <v>450</v>
      </c>
      <c r="E319" s="286">
        <v>0.0</v>
      </c>
      <c r="F319" s="286">
        <v>0.0</v>
      </c>
      <c r="G319" s="280"/>
      <c r="H319" s="280"/>
      <c r="I319" s="280"/>
      <c r="J319" s="280"/>
      <c r="K319" s="280"/>
      <c r="L319" s="280"/>
      <c r="M319" s="280"/>
      <c r="N319" s="280"/>
      <c r="O319" s="280"/>
      <c r="P319" s="280"/>
      <c r="Q319" s="280"/>
      <c r="R319" s="280"/>
      <c r="S319" s="280"/>
      <c r="T319" s="280"/>
      <c r="U319" s="280"/>
      <c r="V319" s="280"/>
      <c r="W319" s="280"/>
      <c r="X319" s="280"/>
      <c r="Y319" s="280"/>
      <c r="Z319" s="280"/>
    </row>
    <row r="320">
      <c r="A320" s="284" t="s">
        <v>792</v>
      </c>
      <c r="B320" s="285" t="s">
        <v>717</v>
      </c>
      <c r="C320" s="286">
        <v>0.0</v>
      </c>
      <c r="D320" s="286" t="s">
        <v>450</v>
      </c>
      <c r="E320" s="286">
        <v>0.0</v>
      </c>
      <c r="F320" s="286" t="s">
        <v>450</v>
      </c>
      <c r="G320" s="280"/>
      <c r="H320" s="280"/>
      <c r="I320" s="280"/>
      <c r="J320" s="280"/>
      <c r="K320" s="280"/>
      <c r="L320" s="280"/>
      <c r="M320" s="280"/>
      <c r="N320" s="280"/>
      <c r="O320" s="280"/>
      <c r="P320" s="280"/>
      <c r="Q320" s="280"/>
      <c r="R320" s="280"/>
      <c r="S320" s="280"/>
      <c r="T320" s="280"/>
      <c r="U320" s="280"/>
      <c r="V320" s="280"/>
      <c r="W320" s="280"/>
      <c r="X320" s="280"/>
      <c r="Y320" s="280"/>
      <c r="Z320" s="280"/>
    </row>
    <row r="321">
      <c r="A321" s="284" t="s">
        <v>793</v>
      </c>
      <c r="B321" s="285" t="s">
        <v>717</v>
      </c>
      <c r="C321" s="286" t="s">
        <v>450</v>
      </c>
      <c r="D321" s="286" t="s">
        <v>460</v>
      </c>
      <c r="E321" s="286">
        <v>0.0</v>
      </c>
      <c r="F321" s="286" t="s">
        <v>460</v>
      </c>
      <c r="G321" s="280"/>
      <c r="H321" s="280"/>
      <c r="I321" s="280"/>
      <c r="J321" s="280"/>
      <c r="K321" s="280"/>
      <c r="L321" s="280"/>
      <c r="M321" s="280"/>
      <c r="N321" s="280"/>
      <c r="O321" s="280"/>
      <c r="P321" s="280"/>
      <c r="Q321" s="280"/>
      <c r="R321" s="280"/>
      <c r="S321" s="280"/>
      <c r="T321" s="280"/>
      <c r="U321" s="280"/>
      <c r="V321" s="280"/>
      <c r="W321" s="280"/>
      <c r="X321" s="280"/>
      <c r="Y321" s="280"/>
      <c r="Z321" s="280"/>
    </row>
    <row r="322">
      <c r="A322" s="284" t="s">
        <v>794</v>
      </c>
      <c r="B322" s="285" t="s">
        <v>717</v>
      </c>
      <c r="C322" s="286">
        <v>0.0</v>
      </c>
      <c r="D322" s="286" t="s">
        <v>454</v>
      </c>
      <c r="E322" s="286">
        <v>0.0</v>
      </c>
      <c r="F322" s="286" t="s">
        <v>461</v>
      </c>
      <c r="G322" s="280"/>
      <c r="H322" s="280"/>
      <c r="I322" s="280"/>
      <c r="J322" s="280"/>
      <c r="K322" s="280"/>
      <c r="L322" s="280"/>
      <c r="M322" s="280"/>
      <c r="N322" s="280"/>
      <c r="O322" s="280"/>
      <c r="P322" s="280"/>
      <c r="Q322" s="280"/>
      <c r="R322" s="280"/>
      <c r="S322" s="280"/>
      <c r="T322" s="280"/>
      <c r="U322" s="280"/>
      <c r="V322" s="280"/>
      <c r="W322" s="280"/>
      <c r="X322" s="280"/>
      <c r="Y322" s="280"/>
      <c r="Z322" s="280"/>
    </row>
    <row r="323">
      <c r="A323" s="284" t="s">
        <v>795</v>
      </c>
      <c r="B323" s="285" t="s">
        <v>717</v>
      </c>
      <c r="C323" s="286">
        <v>0.0</v>
      </c>
      <c r="D323" s="286" t="s">
        <v>461</v>
      </c>
      <c r="E323" s="286">
        <v>0.0</v>
      </c>
      <c r="F323" s="286" t="s">
        <v>450</v>
      </c>
      <c r="G323" s="280"/>
      <c r="H323" s="280"/>
      <c r="I323" s="280"/>
      <c r="J323" s="280"/>
      <c r="K323" s="280"/>
      <c r="L323" s="280"/>
      <c r="M323" s="280"/>
      <c r="N323" s="280"/>
      <c r="O323" s="280"/>
      <c r="P323" s="280"/>
      <c r="Q323" s="280"/>
      <c r="R323" s="280"/>
      <c r="S323" s="280"/>
      <c r="T323" s="280"/>
      <c r="U323" s="280"/>
      <c r="V323" s="280"/>
      <c r="W323" s="280"/>
      <c r="X323" s="280"/>
      <c r="Y323" s="280"/>
      <c r="Z323" s="280"/>
    </row>
    <row r="324">
      <c r="A324" s="284" t="s">
        <v>796</v>
      </c>
      <c r="B324" s="285" t="s">
        <v>717</v>
      </c>
      <c r="C324" s="286">
        <v>0.0</v>
      </c>
      <c r="D324" s="286" t="s">
        <v>461</v>
      </c>
      <c r="E324" s="286">
        <v>0.0</v>
      </c>
      <c r="F324" s="286" t="s">
        <v>461</v>
      </c>
      <c r="G324" s="280"/>
      <c r="H324" s="280"/>
      <c r="I324" s="280"/>
      <c r="J324" s="280"/>
      <c r="K324" s="280"/>
      <c r="L324" s="280"/>
      <c r="M324" s="280"/>
      <c r="N324" s="280"/>
      <c r="O324" s="280"/>
      <c r="P324" s="280"/>
      <c r="Q324" s="280"/>
      <c r="R324" s="280"/>
      <c r="S324" s="280"/>
      <c r="T324" s="280"/>
      <c r="U324" s="280"/>
      <c r="V324" s="280"/>
      <c r="W324" s="280"/>
      <c r="X324" s="280"/>
      <c r="Y324" s="280"/>
      <c r="Z324" s="280"/>
    </row>
    <row r="325">
      <c r="A325" s="284" t="s">
        <v>797</v>
      </c>
      <c r="B325" s="285" t="s">
        <v>717</v>
      </c>
      <c r="C325" s="286">
        <v>0.0</v>
      </c>
      <c r="D325" s="286" t="s">
        <v>450</v>
      </c>
      <c r="E325" s="286">
        <v>0.0</v>
      </c>
      <c r="F325" s="286">
        <v>0.0</v>
      </c>
      <c r="G325" s="280"/>
      <c r="H325" s="280"/>
      <c r="I325" s="280"/>
      <c r="J325" s="280"/>
      <c r="K325" s="280"/>
      <c r="L325" s="280"/>
      <c r="M325" s="280"/>
      <c r="N325" s="280"/>
      <c r="O325" s="280"/>
      <c r="P325" s="280"/>
      <c r="Q325" s="280"/>
      <c r="R325" s="280"/>
      <c r="S325" s="280"/>
      <c r="T325" s="280"/>
      <c r="U325" s="280"/>
      <c r="V325" s="280"/>
      <c r="W325" s="280"/>
      <c r="X325" s="280"/>
      <c r="Y325" s="280"/>
      <c r="Z325" s="280"/>
    </row>
    <row r="326">
      <c r="A326" s="284" t="s">
        <v>798</v>
      </c>
      <c r="B326" s="285" t="s">
        <v>717</v>
      </c>
      <c r="C326" s="286">
        <v>0.0</v>
      </c>
      <c r="D326" s="286" t="s">
        <v>450</v>
      </c>
      <c r="E326" s="286">
        <v>0.0</v>
      </c>
      <c r="F326" s="286">
        <v>0.0</v>
      </c>
      <c r="G326" s="280"/>
      <c r="H326" s="280"/>
      <c r="I326" s="280"/>
      <c r="J326" s="280"/>
      <c r="K326" s="280"/>
      <c r="L326" s="280"/>
      <c r="M326" s="280"/>
      <c r="N326" s="280"/>
      <c r="O326" s="280"/>
      <c r="P326" s="280"/>
      <c r="Q326" s="280"/>
      <c r="R326" s="280"/>
      <c r="S326" s="280"/>
      <c r="T326" s="280"/>
      <c r="U326" s="280"/>
      <c r="V326" s="280"/>
      <c r="W326" s="280"/>
      <c r="X326" s="280"/>
      <c r="Y326" s="280"/>
      <c r="Z326" s="280"/>
    </row>
    <row r="327">
      <c r="A327" s="284" t="s">
        <v>799</v>
      </c>
      <c r="B327" s="285" t="s">
        <v>254</v>
      </c>
      <c r="C327" s="286" t="s">
        <v>450</v>
      </c>
      <c r="D327" s="286" t="s">
        <v>461</v>
      </c>
      <c r="E327" s="286">
        <v>0.0</v>
      </c>
      <c r="F327" s="286" t="s">
        <v>450</v>
      </c>
      <c r="G327" s="280"/>
      <c r="H327" s="280"/>
      <c r="I327" s="280"/>
      <c r="J327" s="280"/>
      <c r="K327" s="280"/>
      <c r="L327" s="280"/>
      <c r="M327" s="280"/>
      <c r="N327" s="280"/>
      <c r="O327" s="280"/>
      <c r="P327" s="280"/>
      <c r="Q327" s="280"/>
      <c r="R327" s="280"/>
      <c r="S327" s="280"/>
      <c r="T327" s="280"/>
      <c r="U327" s="280"/>
      <c r="V327" s="280"/>
      <c r="W327" s="280"/>
      <c r="X327" s="280"/>
      <c r="Y327" s="280"/>
      <c r="Z327" s="280"/>
    </row>
    <row r="328">
      <c r="A328" s="284" t="s">
        <v>800</v>
      </c>
      <c r="B328" s="285" t="s">
        <v>254</v>
      </c>
      <c r="C328" s="286">
        <v>0.0</v>
      </c>
      <c r="D328" s="286" t="s">
        <v>450</v>
      </c>
      <c r="E328" s="286">
        <v>0.0</v>
      </c>
      <c r="F328" s="286">
        <v>0.0</v>
      </c>
      <c r="G328" s="280"/>
      <c r="H328" s="280"/>
      <c r="I328" s="280"/>
      <c r="J328" s="280"/>
      <c r="K328" s="280"/>
      <c r="L328" s="280"/>
      <c r="M328" s="280"/>
      <c r="N328" s="280"/>
      <c r="O328" s="280"/>
      <c r="P328" s="280"/>
      <c r="Q328" s="280"/>
      <c r="R328" s="280"/>
      <c r="S328" s="280"/>
      <c r="T328" s="280"/>
      <c r="U328" s="280"/>
      <c r="V328" s="280"/>
      <c r="W328" s="280"/>
      <c r="X328" s="280"/>
      <c r="Y328" s="280"/>
      <c r="Z328" s="280"/>
    </row>
    <row r="329">
      <c r="A329" s="284" t="s">
        <v>801</v>
      </c>
      <c r="B329" s="285" t="s">
        <v>254</v>
      </c>
      <c r="C329" s="286" t="s">
        <v>450</v>
      </c>
      <c r="D329" s="286" t="s">
        <v>516</v>
      </c>
      <c r="E329" s="286">
        <v>0.0</v>
      </c>
      <c r="F329" s="286" t="s">
        <v>454</v>
      </c>
      <c r="G329" s="280"/>
      <c r="H329" s="280"/>
      <c r="I329" s="280"/>
      <c r="J329" s="280"/>
      <c r="K329" s="280"/>
      <c r="L329" s="280"/>
      <c r="M329" s="280"/>
      <c r="N329" s="280"/>
      <c r="O329" s="280"/>
      <c r="P329" s="280"/>
      <c r="Q329" s="280"/>
      <c r="R329" s="280"/>
      <c r="S329" s="280"/>
      <c r="T329" s="280"/>
      <c r="U329" s="280"/>
      <c r="V329" s="280"/>
      <c r="W329" s="280"/>
      <c r="X329" s="280"/>
      <c r="Y329" s="280"/>
      <c r="Z329" s="280"/>
    </row>
    <row r="330">
      <c r="A330" s="284" t="s">
        <v>802</v>
      </c>
      <c r="B330" s="285" t="s">
        <v>254</v>
      </c>
      <c r="C330" s="286">
        <v>0.0</v>
      </c>
      <c r="D330" s="286" t="s">
        <v>460</v>
      </c>
      <c r="E330" s="286">
        <v>0.0</v>
      </c>
      <c r="F330" s="286" t="s">
        <v>461</v>
      </c>
      <c r="G330" s="280"/>
      <c r="H330" s="280"/>
      <c r="I330" s="280"/>
      <c r="J330" s="280"/>
      <c r="K330" s="280"/>
      <c r="L330" s="280"/>
      <c r="M330" s="280"/>
      <c r="N330" s="280"/>
      <c r="O330" s="280"/>
      <c r="P330" s="280"/>
      <c r="Q330" s="280"/>
      <c r="R330" s="280"/>
      <c r="S330" s="280"/>
      <c r="T330" s="280"/>
      <c r="U330" s="280"/>
      <c r="V330" s="280"/>
      <c r="W330" s="280"/>
      <c r="X330" s="280"/>
      <c r="Y330" s="280"/>
      <c r="Z330" s="280"/>
    </row>
    <row r="331">
      <c r="A331" s="284" t="s">
        <v>803</v>
      </c>
      <c r="B331" s="285" t="s">
        <v>254</v>
      </c>
      <c r="C331" s="286">
        <v>0.0</v>
      </c>
      <c r="D331" s="286" t="s">
        <v>460</v>
      </c>
      <c r="E331" s="286" t="s">
        <v>450</v>
      </c>
      <c r="F331" s="286" t="s">
        <v>460</v>
      </c>
      <c r="G331" s="280"/>
      <c r="H331" s="280"/>
      <c r="I331" s="280"/>
      <c r="J331" s="280"/>
      <c r="K331" s="280"/>
      <c r="L331" s="280"/>
      <c r="M331" s="280"/>
      <c r="N331" s="280"/>
      <c r="O331" s="280"/>
      <c r="P331" s="280"/>
      <c r="Q331" s="280"/>
      <c r="R331" s="280"/>
      <c r="S331" s="280"/>
      <c r="T331" s="280"/>
      <c r="U331" s="280"/>
      <c r="V331" s="280"/>
      <c r="W331" s="280"/>
      <c r="X331" s="280"/>
      <c r="Y331" s="280"/>
      <c r="Z331" s="280"/>
    </row>
    <row r="332">
      <c r="A332" s="284" t="s">
        <v>804</v>
      </c>
      <c r="B332" s="285" t="s">
        <v>254</v>
      </c>
      <c r="C332" s="286">
        <v>0.0</v>
      </c>
      <c r="D332" s="286" t="s">
        <v>454</v>
      </c>
      <c r="E332" s="286">
        <v>0.0</v>
      </c>
      <c r="F332" s="286" t="s">
        <v>461</v>
      </c>
      <c r="G332" s="280"/>
      <c r="H332" s="280"/>
      <c r="I332" s="280"/>
      <c r="J332" s="280"/>
      <c r="K332" s="280"/>
      <c r="L332" s="280"/>
      <c r="M332" s="280"/>
      <c r="N332" s="280"/>
      <c r="O332" s="280"/>
      <c r="P332" s="280"/>
      <c r="Q332" s="280"/>
      <c r="R332" s="280"/>
      <c r="S332" s="280"/>
      <c r="T332" s="280"/>
      <c r="U332" s="280"/>
      <c r="V332" s="280"/>
      <c r="W332" s="280"/>
      <c r="X332" s="280"/>
      <c r="Y332" s="280"/>
      <c r="Z332" s="280"/>
    </row>
    <row r="333">
      <c r="A333" s="284" t="s">
        <v>805</v>
      </c>
      <c r="B333" s="285" t="s">
        <v>254</v>
      </c>
      <c r="C333" s="286" t="s">
        <v>450</v>
      </c>
      <c r="D333" s="286" t="s">
        <v>461</v>
      </c>
      <c r="E333" s="286">
        <v>0.0</v>
      </c>
      <c r="F333" s="286" t="s">
        <v>460</v>
      </c>
      <c r="G333" s="280"/>
      <c r="H333" s="280"/>
      <c r="I333" s="280"/>
      <c r="J333" s="280"/>
      <c r="K333" s="280"/>
      <c r="L333" s="280"/>
      <c r="M333" s="280"/>
      <c r="N333" s="280"/>
      <c r="O333" s="280"/>
      <c r="P333" s="280"/>
      <c r="Q333" s="280"/>
      <c r="R333" s="280"/>
      <c r="S333" s="280"/>
      <c r="T333" s="280"/>
      <c r="U333" s="280"/>
      <c r="V333" s="280"/>
      <c r="W333" s="280"/>
      <c r="X333" s="280"/>
      <c r="Y333" s="280"/>
      <c r="Z333" s="280"/>
    </row>
    <row r="334">
      <c r="A334" s="284" t="s">
        <v>806</v>
      </c>
      <c r="B334" s="285" t="s">
        <v>254</v>
      </c>
      <c r="C334" s="286">
        <v>0.0</v>
      </c>
      <c r="D334" s="286" t="s">
        <v>456</v>
      </c>
      <c r="E334" s="286" t="s">
        <v>450</v>
      </c>
      <c r="F334" s="286" t="s">
        <v>454</v>
      </c>
      <c r="G334" s="280"/>
      <c r="H334" s="280"/>
      <c r="I334" s="280"/>
      <c r="J334" s="280"/>
      <c r="K334" s="280"/>
      <c r="L334" s="280"/>
      <c r="M334" s="280"/>
      <c r="N334" s="280"/>
      <c r="O334" s="280"/>
      <c r="P334" s="280"/>
      <c r="Q334" s="280"/>
      <c r="R334" s="280"/>
      <c r="S334" s="280"/>
      <c r="T334" s="280"/>
      <c r="U334" s="280"/>
      <c r="V334" s="280"/>
      <c r="W334" s="280"/>
      <c r="X334" s="280"/>
      <c r="Y334" s="280"/>
      <c r="Z334" s="280"/>
    </row>
    <row r="335">
      <c r="A335" s="284" t="s">
        <v>807</v>
      </c>
      <c r="B335" s="285" t="s">
        <v>254</v>
      </c>
      <c r="C335" s="286" t="s">
        <v>450</v>
      </c>
      <c r="D335" s="286" t="s">
        <v>460</v>
      </c>
      <c r="E335" s="286">
        <v>0.0</v>
      </c>
      <c r="F335" s="286" t="s">
        <v>461</v>
      </c>
      <c r="G335" s="280"/>
      <c r="H335" s="280"/>
      <c r="I335" s="280"/>
      <c r="J335" s="280"/>
      <c r="K335" s="280"/>
      <c r="L335" s="280"/>
      <c r="M335" s="280"/>
      <c r="N335" s="280"/>
      <c r="O335" s="280"/>
      <c r="P335" s="280"/>
      <c r="Q335" s="280"/>
      <c r="R335" s="280"/>
      <c r="S335" s="280"/>
      <c r="T335" s="280"/>
      <c r="U335" s="280"/>
      <c r="V335" s="280"/>
      <c r="W335" s="280"/>
      <c r="X335" s="280"/>
      <c r="Y335" s="280"/>
      <c r="Z335" s="280"/>
    </row>
    <row r="336">
      <c r="A336" s="284" t="s">
        <v>808</v>
      </c>
      <c r="B336" s="285" t="s">
        <v>254</v>
      </c>
      <c r="C336" s="286">
        <v>0.0</v>
      </c>
      <c r="D336" s="286" t="s">
        <v>551</v>
      </c>
      <c r="E336" s="286">
        <v>0.0</v>
      </c>
      <c r="F336" s="286" t="s">
        <v>461</v>
      </c>
      <c r="G336" s="280"/>
      <c r="H336" s="280"/>
      <c r="I336" s="280"/>
      <c r="J336" s="280"/>
      <c r="K336" s="280"/>
      <c r="L336" s="280"/>
      <c r="M336" s="280"/>
      <c r="N336" s="280"/>
      <c r="O336" s="280"/>
      <c r="P336" s="280"/>
      <c r="Q336" s="280"/>
      <c r="R336" s="280"/>
      <c r="S336" s="280"/>
      <c r="T336" s="280"/>
      <c r="U336" s="280"/>
      <c r="V336" s="280"/>
      <c r="W336" s="280"/>
      <c r="X336" s="280"/>
      <c r="Y336" s="280"/>
      <c r="Z336" s="280"/>
    </row>
    <row r="337">
      <c r="A337" s="284" t="s">
        <v>809</v>
      </c>
      <c r="B337" s="285" t="s">
        <v>254</v>
      </c>
      <c r="C337" s="286" t="s">
        <v>450</v>
      </c>
      <c r="D337" s="286" t="s">
        <v>516</v>
      </c>
      <c r="E337" s="286">
        <v>0.0</v>
      </c>
      <c r="F337" s="286" t="s">
        <v>461</v>
      </c>
      <c r="G337" s="280"/>
      <c r="H337" s="280"/>
      <c r="I337" s="280"/>
      <c r="J337" s="280"/>
      <c r="K337" s="280"/>
      <c r="L337" s="280"/>
      <c r="M337" s="280"/>
      <c r="N337" s="280"/>
      <c r="O337" s="280"/>
      <c r="P337" s="280"/>
      <c r="Q337" s="280"/>
      <c r="R337" s="280"/>
      <c r="S337" s="280"/>
      <c r="T337" s="280"/>
      <c r="U337" s="280"/>
      <c r="V337" s="280"/>
      <c r="W337" s="280"/>
      <c r="X337" s="280"/>
      <c r="Y337" s="280"/>
      <c r="Z337" s="280"/>
    </row>
    <row r="338">
      <c r="A338" s="284" t="s">
        <v>810</v>
      </c>
      <c r="B338" s="285" t="s">
        <v>254</v>
      </c>
      <c r="C338" s="286">
        <v>0.0</v>
      </c>
      <c r="D338" s="286" t="s">
        <v>454</v>
      </c>
      <c r="E338" s="286">
        <v>0.0</v>
      </c>
      <c r="F338" s="286" t="s">
        <v>461</v>
      </c>
      <c r="G338" s="280"/>
      <c r="H338" s="280"/>
      <c r="I338" s="280"/>
      <c r="J338" s="280"/>
      <c r="K338" s="280"/>
      <c r="L338" s="280"/>
      <c r="M338" s="280"/>
      <c r="N338" s="280"/>
      <c r="O338" s="280"/>
      <c r="P338" s="280"/>
      <c r="Q338" s="280"/>
      <c r="R338" s="280"/>
      <c r="S338" s="280"/>
      <c r="T338" s="280"/>
      <c r="U338" s="280"/>
      <c r="V338" s="280"/>
      <c r="W338" s="280"/>
      <c r="X338" s="280"/>
      <c r="Y338" s="280"/>
      <c r="Z338" s="280"/>
    </row>
    <row r="339">
      <c r="A339" s="284" t="s">
        <v>811</v>
      </c>
      <c r="B339" s="285" t="s">
        <v>254</v>
      </c>
      <c r="C339" s="286">
        <v>0.0</v>
      </c>
      <c r="D339" s="286" t="s">
        <v>454</v>
      </c>
      <c r="E339" s="286">
        <v>0.0</v>
      </c>
      <c r="F339" s="286" t="s">
        <v>461</v>
      </c>
      <c r="G339" s="280"/>
      <c r="H339" s="280"/>
      <c r="I339" s="280"/>
      <c r="J339" s="280"/>
      <c r="K339" s="280"/>
      <c r="L339" s="280"/>
      <c r="M339" s="280"/>
      <c r="N339" s="280"/>
      <c r="O339" s="280"/>
      <c r="P339" s="280"/>
      <c r="Q339" s="280"/>
      <c r="R339" s="280"/>
      <c r="S339" s="280"/>
      <c r="T339" s="280"/>
      <c r="U339" s="280"/>
      <c r="V339" s="280"/>
      <c r="W339" s="280"/>
      <c r="X339" s="280"/>
      <c r="Y339" s="280"/>
      <c r="Z339" s="280"/>
    </row>
    <row r="340">
      <c r="A340" s="284" t="s">
        <v>812</v>
      </c>
      <c r="B340" s="285" t="s">
        <v>254</v>
      </c>
      <c r="C340" s="286" t="s">
        <v>450</v>
      </c>
      <c r="D340" s="286" t="s">
        <v>460</v>
      </c>
      <c r="E340" s="286">
        <v>0.0</v>
      </c>
      <c r="F340" s="286" t="s">
        <v>450</v>
      </c>
      <c r="G340" s="280"/>
      <c r="H340" s="280"/>
      <c r="I340" s="280"/>
      <c r="J340" s="280"/>
      <c r="K340" s="280"/>
      <c r="L340" s="280"/>
      <c r="M340" s="280"/>
      <c r="N340" s="280"/>
      <c r="O340" s="280"/>
      <c r="P340" s="280"/>
      <c r="Q340" s="280"/>
      <c r="R340" s="280"/>
      <c r="S340" s="280"/>
      <c r="T340" s="280"/>
      <c r="U340" s="280"/>
      <c r="V340" s="280"/>
      <c r="W340" s="280"/>
      <c r="X340" s="280"/>
      <c r="Y340" s="280"/>
      <c r="Z340" s="280"/>
    </row>
    <row r="341">
      <c r="A341" s="284" t="s">
        <v>813</v>
      </c>
      <c r="B341" s="285" t="s">
        <v>254</v>
      </c>
      <c r="C341" s="286">
        <v>0.0</v>
      </c>
      <c r="D341" s="286" t="s">
        <v>460</v>
      </c>
      <c r="E341" s="286">
        <v>0.0</v>
      </c>
      <c r="F341" s="286" t="s">
        <v>450</v>
      </c>
      <c r="G341" s="280"/>
      <c r="H341" s="280"/>
      <c r="I341" s="280"/>
      <c r="J341" s="280"/>
      <c r="K341" s="280"/>
      <c r="L341" s="280"/>
      <c r="M341" s="280"/>
      <c r="N341" s="280"/>
      <c r="O341" s="280"/>
      <c r="P341" s="280"/>
      <c r="Q341" s="280"/>
      <c r="R341" s="280"/>
      <c r="S341" s="280"/>
      <c r="T341" s="280"/>
      <c r="U341" s="280"/>
      <c r="V341" s="280"/>
      <c r="W341" s="280"/>
      <c r="X341" s="280"/>
      <c r="Y341" s="280"/>
      <c r="Z341" s="280"/>
    </row>
    <row r="342">
      <c r="A342" s="284" t="s">
        <v>814</v>
      </c>
      <c r="B342" s="285" t="s">
        <v>254</v>
      </c>
      <c r="C342" s="286">
        <v>0.0</v>
      </c>
      <c r="D342" s="286" t="s">
        <v>450</v>
      </c>
      <c r="E342" s="286">
        <v>0.0</v>
      </c>
      <c r="F342" s="286" t="s">
        <v>461</v>
      </c>
      <c r="G342" s="280"/>
      <c r="H342" s="280"/>
      <c r="I342" s="280"/>
      <c r="J342" s="280"/>
      <c r="K342" s="280"/>
      <c r="L342" s="280"/>
      <c r="M342" s="280"/>
      <c r="N342" s="280"/>
      <c r="O342" s="280"/>
      <c r="P342" s="280"/>
      <c r="Q342" s="280"/>
      <c r="R342" s="280"/>
      <c r="S342" s="280"/>
      <c r="T342" s="280"/>
      <c r="U342" s="280"/>
      <c r="V342" s="280"/>
      <c r="W342" s="280"/>
      <c r="X342" s="280"/>
      <c r="Y342" s="280"/>
      <c r="Z342" s="280"/>
    </row>
    <row r="343">
      <c r="A343" s="284" t="s">
        <v>815</v>
      </c>
      <c r="B343" s="285" t="s">
        <v>254</v>
      </c>
      <c r="C343" s="286" t="s">
        <v>450</v>
      </c>
      <c r="D343" s="286" t="s">
        <v>456</v>
      </c>
      <c r="E343" s="286">
        <v>0.0</v>
      </c>
      <c r="F343" s="286" t="s">
        <v>454</v>
      </c>
      <c r="G343" s="280"/>
      <c r="H343" s="280"/>
      <c r="I343" s="280"/>
      <c r="J343" s="280"/>
      <c r="K343" s="280"/>
      <c r="L343" s="280"/>
      <c r="M343" s="280"/>
      <c r="N343" s="280"/>
      <c r="O343" s="280"/>
      <c r="P343" s="280"/>
      <c r="Q343" s="280"/>
      <c r="R343" s="280"/>
      <c r="S343" s="280"/>
      <c r="T343" s="280"/>
      <c r="U343" s="280"/>
      <c r="V343" s="280"/>
      <c r="W343" s="280"/>
      <c r="X343" s="280"/>
      <c r="Y343" s="280"/>
      <c r="Z343" s="280"/>
    </row>
    <row r="344">
      <c r="A344" s="284" t="s">
        <v>816</v>
      </c>
      <c r="B344" s="285" t="s">
        <v>254</v>
      </c>
      <c r="C344" s="286" t="s">
        <v>450</v>
      </c>
      <c r="D344" s="286" t="s">
        <v>456</v>
      </c>
      <c r="E344" s="286">
        <v>0.0</v>
      </c>
      <c r="F344" s="286" t="s">
        <v>454</v>
      </c>
      <c r="G344" s="280"/>
      <c r="H344" s="280"/>
      <c r="I344" s="280"/>
      <c r="J344" s="280"/>
      <c r="K344" s="280"/>
      <c r="L344" s="280"/>
      <c r="M344" s="280"/>
      <c r="N344" s="280"/>
      <c r="O344" s="280"/>
      <c r="P344" s="280"/>
      <c r="Q344" s="280"/>
      <c r="R344" s="280"/>
      <c r="S344" s="280"/>
      <c r="T344" s="280"/>
      <c r="U344" s="280"/>
      <c r="V344" s="280"/>
      <c r="W344" s="280"/>
      <c r="X344" s="280"/>
      <c r="Y344" s="280"/>
      <c r="Z344" s="280"/>
    </row>
    <row r="345">
      <c r="A345" s="284" t="s">
        <v>817</v>
      </c>
      <c r="B345" s="285" t="s">
        <v>254</v>
      </c>
      <c r="C345" s="286">
        <v>0.0</v>
      </c>
      <c r="D345" s="286" t="s">
        <v>516</v>
      </c>
      <c r="E345" s="286">
        <v>0.0</v>
      </c>
      <c r="F345" s="286" t="s">
        <v>460</v>
      </c>
      <c r="G345" s="280"/>
      <c r="H345" s="280"/>
      <c r="I345" s="280"/>
      <c r="J345" s="280"/>
      <c r="K345" s="280"/>
      <c r="L345" s="280"/>
      <c r="M345" s="280"/>
      <c r="N345" s="280"/>
      <c r="O345" s="280"/>
      <c r="P345" s="280"/>
      <c r="Q345" s="280"/>
      <c r="R345" s="280"/>
      <c r="S345" s="280"/>
      <c r="T345" s="280"/>
      <c r="U345" s="280"/>
      <c r="V345" s="280"/>
      <c r="W345" s="280"/>
      <c r="X345" s="280"/>
      <c r="Y345" s="280"/>
      <c r="Z345" s="280"/>
    </row>
    <row r="346">
      <c r="A346" s="284" t="s">
        <v>818</v>
      </c>
      <c r="B346" s="285" t="s">
        <v>254</v>
      </c>
      <c r="C346" s="286">
        <v>0.0</v>
      </c>
      <c r="D346" s="286" t="s">
        <v>516</v>
      </c>
      <c r="E346" s="286">
        <v>0.0</v>
      </c>
      <c r="F346" s="286" t="s">
        <v>461</v>
      </c>
      <c r="G346" s="280"/>
      <c r="H346" s="280"/>
      <c r="I346" s="280"/>
      <c r="J346" s="280"/>
      <c r="K346" s="280"/>
      <c r="L346" s="280"/>
      <c r="M346" s="280"/>
      <c r="N346" s="280"/>
      <c r="O346" s="280"/>
      <c r="P346" s="280"/>
      <c r="Q346" s="280"/>
      <c r="R346" s="280"/>
      <c r="S346" s="280"/>
      <c r="T346" s="280"/>
      <c r="U346" s="280"/>
      <c r="V346" s="280"/>
      <c r="W346" s="280"/>
      <c r="X346" s="280"/>
      <c r="Y346" s="280"/>
      <c r="Z346" s="280"/>
    </row>
    <row r="347">
      <c r="A347" s="284" t="s">
        <v>819</v>
      </c>
      <c r="B347" s="285" t="s">
        <v>254</v>
      </c>
      <c r="C347" s="286">
        <v>0.0</v>
      </c>
      <c r="D347" s="286" t="s">
        <v>450</v>
      </c>
      <c r="E347" s="286">
        <v>0.0</v>
      </c>
      <c r="F347" s="286">
        <v>0.0</v>
      </c>
      <c r="G347" s="280"/>
      <c r="H347" s="280"/>
      <c r="I347" s="280"/>
      <c r="J347" s="280"/>
      <c r="K347" s="280"/>
      <c r="L347" s="280"/>
      <c r="M347" s="280"/>
      <c r="N347" s="280"/>
      <c r="O347" s="280"/>
      <c r="P347" s="280"/>
      <c r="Q347" s="280"/>
      <c r="R347" s="280"/>
      <c r="S347" s="280"/>
      <c r="T347" s="280"/>
      <c r="U347" s="280"/>
      <c r="V347" s="280"/>
      <c r="W347" s="280"/>
      <c r="X347" s="280"/>
      <c r="Y347" s="280"/>
      <c r="Z347" s="280"/>
    </row>
    <row r="348">
      <c r="A348" s="284" t="s">
        <v>820</v>
      </c>
      <c r="B348" s="285" t="s">
        <v>254</v>
      </c>
      <c r="C348" s="286">
        <v>0.0</v>
      </c>
      <c r="D348" s="286" t="s">
        <v>458</v>
      </c>
      <c r="E348" s="286">
        <v>0.0</v>
      </c>
      <c r="F348" s="286" t="s">
        <v>516</v>
      </c>
      <c r="G348" s="280"/>
      <c r="H348" s="280"/>
      <c r="I348" s="280"/>
      <c r="J348" s="280"/>
      <c r="K348" s="280"/>
      <c r="L348" s="280"/>
      <c r="M348" s="280"/>
      <c r="N348" s="280"/>
      <c r="O348" s="280"/>
      <c r="P348" s="280"/>
      <c r="Q348" s="280"/>
      <c r="R348" s="280"/>
      <c r="S348" s="280"/>
      <c r="T348" s="280"/>
      <c r="U348" s="280"/>
      <c r="V348" s="280"/>
      <c r="W348" s="280"/>
      <c r="X348" s="280"/>
      <c r="Y348" s="280"/>
      <c r="Z348" s="280"/>
    </row>
    <row r="349">
      <c r="A349" s="284" t="s">
        <v>821</v>
      </c>
      <c r="B349" s="285" t="s">
        <v>254</v>
      </c>
      <c r="C349" s="286" t="s">
        <v>450</v>
      </c>
      <c r="D349" s="286" t="s">
        <v>460</v>
      </c>
      <c r="E349" s="286">
        <v>0.0</v>
      </c>
      <c r="F349" s="286" t="s">
        <v>461</v>
      </c>
      <c r="G349" s="280"/>
      <c r="H349" s="280"/>
      <c r="I349" s="280"/>
      <c r="J349" s="280"/>
      <c r="K349" s="280"/>
      <c r="L349" s="280"/>
      <c r="M349" s="280"/>
      <c r="N349" s="280"/>
      <c r="O349" s="280"/>
      <c r="P349" s="280"/>
      <c r="Q349" s="280"/>
      <c r="R349" s="280"/>
      <c r="S349" s="280"/>
      <c r="T349" s="280"/>
      <c r="U349" s="280"/>
      <c r="V349" s="280"/>
      <c r="W349" s="280"/>
      <c r="X349" s="280"/>
      <c r="Y349" s="280"/>
      <c r="Z349" s="280"/>
    </row>
    <row r="350">
      <c r="A350" s="284" t="s">
        <v>822</v>
      </c>
      <c r="B350" s="285" t="s">
        <v>254</v>
      </c>
      <c r="C350" s="286" t="s">
        <v>450</v>
      </c>
      <c r="D350" s="286" t="s">
        <v>460</v>
      </c>
      <c r="E350" s="286">
        <v>0.0</v>
      </c>
      <c r="F350" s="286" t="s">
        <v>461</v>
      </c>
      <c r="G350" s="280"/>
      <c r="H350" s="280"/>
      <c r="I350" s="280"/>
      <c r="J350" s="280"/>
      <c r="K350" s="280"/>
      <c r="L350" s="280"/>
      <c r="M350" s="280"/>
      <c r="N350" s="280"/>
      <c r="O350" s="280"/>
      <c r="P350" s="280"/>
      <c r="Q350" s="280"/>
      <c r="R350" s="280"/>
      <c r="S350" s="280"/>
      <c r="T350" s="280"/>
      <c r="U350" s="280"/>
      <c r="V350" s="280"/>
      <c r="W350" s="280"/>
      <c r="X350" s="280"/>
      <c r="Y350" s="280"/>
      <c r="Z350" s="280"/>
    </row>
    <row r="351">
      <c r="A351" s="284" t="s">
        <v>823</v>
      </c>
      <c r="B351" s="285" t="s">
        <v>254</v>
      </c>
      <c r="C351" s="286">
        <v>0.0</v>
      </c>
      <c r="D351" s="286" t="s">
        <v>450</v>
      </c>
      <c r="E351" s="286">
        <v>0.0</v>
      </c>
      <c r="F351" s="286">
        <v>0.0</v>
      </c>
      <c r="G351" s="280"/>
      <c r="H351" s="280"/>
      <c r="I351" s="280"/>
      <c r="J351" s="280"/>
      <c r="K351" s="280"/>
      <c r="L351" s="280"/>
      <c r="M351" s="280"/>
      <c r="N351" s="280"/>
      <c r="O351" s="280"/>
      <c r="P351" s="280"/>
      <c r="Q351" s="280"/>
      <c r="R351" s="280"/>
      <c r="S351" s="280"/>
      <c r="T351" s="280"/>
      <c r="U351" s="280"/>
      <c r="V351" s="280"/>
      <c r="W351" s="280"/>
      <c r="X351" s="280"/>
      <c r="Y351" s="280"/>
      <c r="Z351" s="280"/>
    </row>
    <row r="352">
      <c r="A352" s="284" t="s">
        <v>824</v>
      </c>
      <c r="B352" s="285" t="s">
        <v>254</v>
      </c>
      <c r="C352" s="286">
        <v>0.0</v>
      </c>
      <c r="D352" s="286" t="s">
        <v>460</v>
      </c>
      <c r="E352" s="286">
        <v>0.0</v>
      </c>
      <c r="F352" s="286" t="s">
        <v>461</v>
      </c>
      <c r="G352" s="280"/>
      <c r="H352" s="280"/>
      <c r="I352" s="280"/>
      <c r="J352" s="280"/>
      <c r="K352" s="280"/>
      <c r="L352" s="280"/>
      <c r="M352" s="280"/>
      <c r="N352" s="280"/>
      <c r="O352" s="280"/>
      <c r="P352" s="280"/>
      <c r="Q352" s="280"/>
      <c r="R352" s="280"/>
      <c r="S352" s="280"/>
      <c r="T352" s="280"/>
      <c r="U352" s="280"/>
      <c r="V352" s="280"/>
      <c r="W352" s="280"/>
      <c r="X352" s="280"/>
      <c r="Y352" s="280"/>
      <c r="Z352" s="280"/>
    </row>
    <row r="353">
      <c r="A353" s="284" t="s">
        <v>825</v>
      </c>
      <c r="B353" s="285" t="s">
        <v>254</v>
      </c>
      <c r="C353" s="286">
        <v>0.0</v>
      </c>
      <c r="D353" s="286" t="s">
        <v>456</v>
      </c>
      <c r="E353" s="286">
        <v>0.0</v>
      </c>
      <c r="F353" s="286" t="s">
        <v>460</v>
      </c>
      <c r="G353" s="280"/>
      <c r="H353" s="280"/>
      <c r="I353" s="280"/>
      <c r="J353" s="280"/>
      <c r="K353" s="280"/>
      <c r="L353" s="280"/>
      <c r="M353" s="280"/>
      <c r="N353" s="280"/>
      <c r="O353" s="280"/>
      <c r="P353" s="280"/>
      <c r="Q353" s="280"/>
      <c r="R353" s="280"/>
      <c r="S353" s="280"/>
      <c r="T353" s="280"/>
      <c r="U353" s="280"/>
      <c r="V353" s="280"/>
      <c r="W353" s="280"/>
      <c r="X353" s="280"/>
      <c r="Y353" s="280"/>
      <c r="Z353" s="280"/>
    </row>
    <row r="354">
      <c r="A354" s="284" t="s">
        <v>826</v>
      </c>
      <c r="B354" s="285" t="s">
        <v>254</v>
      </c>
      <c r="C354" s="286" t="s">
        <v>450</v>
      </c>
      <c r="D354" s="286" t="s">
        <v>516</v>
      </c>
      <c r="E354" s="286">
        <v>0.0</v>
      </c>
      <c r="F354" s="286" t="s">
        <v>460</v>
      </c>
      <c r="G354" s="280"/>
      <c r="H354" s="280"/>
      <c r="I354" s="280"/>
      <c r="J354" s="280"/>
      <c r="K354" s="280"/>
      <c r="L354" s="280"/>
      <c r="M354" s="280"/>
      <c r="N354" s="280"/>
      <c r="O354" s="280"/>
      <c r="P354" s="280"/>
      <c r="Q354" s="280"/>
      <c r="R354" s="280"/>
      <c r="S354" s="280"/>
      <c r="T354" s="280"/>
      <c r="U354" s="280"/>
      <c r="V354" s="280"/>
      <c r="W354" s="280"/>
      <c r="X354" s="280"/>
      <c r="Y354" s="280"/>
      <c r="Z354" s="280"/>
    </row>
    <row r="355">
      <c r="A355" s="284" t="s">
        <v>827</v>
      </c>
      <c r="B355" s="285" t="s">
        <v>254</v>
      </c>
      <c r="C355" s="286" t="s">
        <v>450</v>
      </c>
      <c r="D355" s="286" t="s">
        <v>456</v>
      </c>
      <c r="E355" s="286" t="s">
        <v>450</v>
      </c>
      <c r="F355" s="286" t="s">
        <v>460</v>
      </c>
      <c r="G355" s="280"/>
      <c r="H355" s="280"/>
      <c r="I355" s="280"/>
      <c r="J355" s="280"/>
      <c r="K355" s="280"/>
      <c r="L355" s="280"/>
      <c r="M355" s="280"/>
      <c r="N355" s="280"/>
      <c r="O355" s="280"/>
      <c r="P355" s="280"/>
      <c r="Q355" s="280"/>
      <c r="R355" s="280"/>
      <c r="S355" s="280"/>
      <c r="T355" s="280"/>
      <c r="U355" s="280"/>
      <c r="V355" s="280"/>
      <c r="W355" s="280"/>
      <c r="X355" s="280"/>
      <c r="Y355" s="280"/>
      <c r="Z355" s="280"/>
    </row>
    <row r="356">
      <c r="A356" s="284" t="s">
        <v>828</v>
      </c>
      <c r="B356" s="285" t="s">
        <v>254</v>
      </c>
      <c r="C356" s="286">
        <v>0.0</v>
      </c>
      <c r="D356" s="286">
        <v>0.0</v>
      </c>
      <c r="E356" s="286">
        <v>0.0</v>
      </c>
      <c r="F356" s="286" t="s">
        <v>450</v>
      </c>
      <c r="G356" s="280"/>
      <c r="H356" s="280"/>
      <c r="I356" s="280"/>
      <c r="J356" s="280"/>
      <c r="K356" s="280"/>
      <c r="L356" s="280"/>
      <c r="M356" s="280"/>
      <c r="N356" s="280"/>
      <c r="O356" s="280"/>
      <c r="P356" s="280"/>
      <c r="Q356" s="280"/>
      <c r="R356" s="280"/>
      <c r="S356" s="280"/>
      <c r="T356" s="280"/>
      <c r="U356" s="280"/>
      <c r="V356" s="280"/>
      <c r="W356" s="280"/>
      <c r="X356" s="280"/>
      <c r="Y356" s="280"/>
      <c r="Z356" s="280"/>
    </row>
    <row r="357">
      <c r="A357" s="284" t="s">
        <v>829</v>
      </c>
      <c r="B357" s="285" t="s">
        <v>254</v>
      </c>
      <c r="C357" s="286">
        <v>0.0</v>
      </c>
      <c r="D357" s="286" t="s">
        <v>516</v>
      </c>
      <c r="E357" s="286" t="s">
        <v>450</v>
      </c>
      <c r="F357" s="286" t="s">
        <v>460</v>
      </c>
      <c r="G357" s="280"/>
      <c r="H357" s="280"/>
      <c r="I357" s="280"/>
      <c r="J357" s="280"/>
      <c r="K357" s="280"/>
      <c r="L357" s="280"/>
      <c r="M357" s="280"/>
      <c r="N357" s="280"/>
      <c r="O357" s="280"/>
      <c r="P357" s="280"/>
      <c r="Q357" s="280"/>
      <c r="R357" s="280"/>
      <c r="S357" s="280"/>
      <c r="T357" s="280"/>
      <c r="U357" s="280"/>
      <c r="V357" s="280"/>
      <c r="W357" s="280"/>
      <c r="X357" s="280"/>
      <c r="Y357" s="280"/>
      <c r="Z357" s="280"/>
    </row>
    <row r="358">
      <c r="A358" s="284" t="s">
        <v>830</v>
      </c>
      <c r="B358" s="285" t="s">
        <v>254</v>
      </c>
      <c r="C358" s="286">
        <v>0.0</v>
      </c>
      <c r="D358" s="286" t="s">
        <v>494</v>
      </c>
      <c r="E358" s="286" t="s">
        <v>450</v>
      </c>
      <c r="F358" s="286" t="s">
        <v>461</v>
      </c>
      <c r="G358" s="280"/>
      <c r="H358" s="280"/>
      <c r="I358" s="280"/>
      <c r="J358" s="280"/>
      <c r="K358" s="280"/>
      <c r="L358" s="280"/>
      <c r="M358" s="280"/>
      <c r="N358" s="280"/>
      <c r="O358" s="280"/>
      <c r="P358" s="280"/>
      <c r="Q358" s="280"/>
      <c r="R358" s="280"/>
      <c r="S358" s="280"/>
      <c r="T358" s="280"/>
      <c r="U358" s="280"/>
      <c r="V358" s="280"/>
      <c r="W358" s="280"/>
      <c r="X358" s="280"/>
      <c r="Y358" s="280"/>
      <c r="Z358" s="280"/>
    </row>
    <row r="359">
      <c r="A359" s="287" t="s">
        <v>831</v>
      </c>
      <c r="B359" s="285" t="s">
        <v>254</v>
      </c>
      <c r="C359" s="286">
        <v>0.0</v>
      </c>
      <c r="D359" s="286" t="s">
        <v>450</v>
      </c>
      <c r="E359" s="286">
        <v>0.0</v>
      </c>
      <c r="F359" s="286" t="s">
        <v>450</v>
      </c>
      <c r="G359" s="280"/>
      <c r="H359" s="280"/>
      <c r="I359" s="280"/>
      <c r="J359" s="280"/>
      <c r="K359" s="280"/>
      <c r="L359" s="280"/>
      <c r="M359" s="280"/>
      <c r="N359" s="280"/>
      <c r="O359" s="280"/>
      <c r="P359" s="280"/>
      <c r="Q359" s="280"/>
      <c r="R359" s="280"/>
      <c r="S359" s="280"/>
      <c r="T359" s="280"/>
      <c r="U359" s="280"/>
      <c r="V359" s="280"/>
      <c r="W359" s="280"/>
      <c r="X359" s="280"/>
      <c r="Y359" s="280"/>
      <c r="Z359" s="280"/>
    </row>
    <row r="360">
      <c r="A360" s="284" t="s">
        <v>832</v>
      </c>
      <c r="B360" s="285" t="s">
        <v>254</v>
      </c>
      <c r="C360" s="286" t="s">
        <v>450</v>
      </c>
      <c r="D360" s="286" t="s">
        <v>454</v>
      </c>
      <c r="E360" s="286">
        <v>0.0</v>
      </c>
      <c r="F360" s="286" t="s">
        <v>461</v>
      </c>
      <c r="G360" s="280"/>
      <c r="H360" s="280"/>
      <c r="I360" s="280"/>
      <c r="J360" s="280"/>
      <c r="K360" s="280"/>
      <c r="L360" s="280"/>
      <c r="M360" s="280"/>
      <c r="N360" s="280"/>
      <c r="O360" s="280"/>
      <c r="P360" s="280"/>
      <c r="Q360" s="280"/>
      <c r="R360" s="280"/>
      <c r="S360" s="280"/>
      <c r="T360" s="280"/>
      <c r="U360" s="280"/>
      <c r="V360" s="280"/>
      <c r="W360" s="280"/>
      <c r="X360" s="280"/>
      <c r="Y360" s="280"/>
      <c r="Z360" s="280"/>
    </row>
    <row r="361">
      <c r="A361" s="284" t="s">
        <v>833</v>
      </c>
      <c r="B361" s="285" t="s">
        <v>254</v>
      </c>
      <c r="C361" s="286">
        <v>0.0</v>
      </c>
      <c r="D361" s="286" t="s">
        <v>454</v>
      </c>
      <c r="E361" s="286">
        <v>0.0</v>
      </c>
      <c r="F361" s="286" t="s">
        <v>450</v>
      </c>
      <c r="G361" s="280"/>
      <c r="H361" s="280"/>
      <c r="I361" s="280"/>
      <c r="J361" s="280"/>
      <c r="K361" s="280"/>
      <c r="L361" s="280"/>
      <c r="M361" s="280"/>
      <c r="N361" s="280"/>
      <c r="O361" s="280"/>
      <c r="P361" s="280"/>
      <c r="Q361" s="280"/>
      <c r="R361" s="280"/>
      <c r="S361" s="280"/>
      <c r="T361" s="280"/>
      <c r="U361" s="280"/>
      <c r="V361" s="280"/>
      <c r="W361" s="280"/>
      <c r="X361" s="280"/>
      <c r="Y361" s="280"/>
      <c r="Z361" s="280"/>
    </row>
    <row r="362">
      <c r="A362" s="284" t="s">
        <v>834</v>
      </c>
      <c r="B362" s="285" t="s">
        <v>254</v>
      </c>
      <c r="C362" s="286">
        <v>0.0</v>
      </c>
      <c r="D362" s="286" t="s">
        <v>460</v>
      </c>
      <c r="E362" s="286">
        <v>0.0</v>
      </c>
      <c r="F362" s="286" t="s">
        <v>454</v>
      </c>
      <c r="G362" s="280"/>
      <c r="H362" s="280"/>
      <c r="I362" s="280"/>
      <c r="J362" s="280"/>
      <c r="K362" s="280"/>
      <c r="L362" s="280"/>
      <c r="M362" s="280"/>
      <c r="N362" s="280"/>
      <c r="O362" s="280"/>
      <c r="P362" s="280"/>
      <c r="Q362" s="280"/>
      <c r="R362" s="280"/>
      <c r="S362" s="280"/>
      <c r="T362" s="280"/>
      <c r="U362" s="280"/>
      <c r="V362" s="280"/>
      <c r="W362" s="280"/>
      <c r="X362" s="280"/>
      <c r="Y362" s="280"/>
      <c r="Z362" s="280"/>
    </row>
    <row r="363">
      <c r="A363" s="284" t="s">
        <v>835</v>
      </c>
      <c r="B363" s="285" t="s">
        <v>254</v>
      </c>
      <c r="C363" s="286">
        <v>0.0</v>
      </c>
      <c r="D363" s="286" t="s">
        <v>460</v>
      </c>
      <c r="E363" s="286" t="s">
        <v>450</v>
      </c>
      <c r="F363" s="286" t="s">
        <v>454</v>
      </c>
      <c r="G363" s="280"/>
      <c r="H363" s="280"/>
      <c r="I363" s="280"/>
      <c r="J363" s="280"/>
      <c r="K363" s="280"/>
      <c r="L363" s="280"/>
      <c r="M363" s="280"/>
      <c r="N363" s="280"/>
      <c r="O363" s="280"/>
      <c r="P363" s="280"/>
      <c r="Q363" s="280"/>
      <c r="R363" s="280"/>
      <c r="S363" s="280"/>
      <c r="T363" s="280"/>
      <c r="U363" s="280"/>
      <c r="V363" s="280"/>
      <c r="W363" s="280"/>
      <c r="X363" s="280"/>
      <c r="Y363" s="280"/>
      <c r="Z363" s="280"/>
    </row>
    <row r="364">
      <c r="A364" s="287" t="s">
        <v>836</v>
      </c>
      <c r="B364" s="285" t="s">
        <v>254</v>
      </c>
      <c r="C364" s="286">
        <v>0.0</v>
      </c>
      <c r="D364" s="286" t="s">
        <v>516</v>
      </c>
      <c r="E364" s="286">
        <v>0.0</v>
      </c>
      <c r="F364" s="286" t="s">
        <v>461</v>
      </c>
      <c r="G364" s="280"/>
      <c r="H364" s="280"/>
      <c r="I364" s="280"/>
      <c r="J364" s="280"/>
      <c r="K364" s="280"/>
      <c r="L364" s="280"/>
      <c r="M364" s="280"/>
      <c r="N364" s="280"/>
      <c r="O364" s="280"/>
      <c r="P364" s="280"/>
      <c r="Q364" s="280"/>
      <c r="R364" s="280"/>
      <c r="S364" s="280"/>
      <c r="T364" s="280"/>
      <c r="U364" s="280"/>
      <c r="V364" s="280"/>
      <c r="W364" s="280"/>
      <c r="X364" s="280"/>
      <c r="Y364" s="280"/>
      <c r="Z364" s="280"/>
    </row>
    <row r="365">
      <c r="A365" s="284" t="s">
        <v>837</v>
      </c>
      <c r="B365" s="285" t="s">
        <v>254</v>
      </c>
      <c r="C365" s="286">
        <v>0.0</v>
      </c>
      <c r="D365" s="286" t="s">
        <v>516</v>
      </c>
      <c r="E365" s="286">
        <v>0.0</v>
      </c>
      <c r="F365" s="286" t="s">
        <v>461</v>
      </c>
      <c r="G365" s="280"/>
      <c r="H365" s="280"/>
      <c r="I365" s="280"/>
      <c r="J365" s="280"/>
      <c r="K365" s="280"/>
      <c r="L365" s="280"/>
      <c r="M365" s="280"/>
      <c r="N365" s="280"/>
      <c r="O365" s="280"/>
      <c r="P365" s="280"/>
      <c r="Q365" s="280"/>
      <c r="R365" s="280"/>
      <c r="S365" s="280"/>
      <c r="T365" s="280"/>
      <c r="U365" s="280"/>
      <c r="V365" s="280"/>
      <c r="W365" s="280"/>
      <c r="X365" s="280"/>
      <c r="Y365" s="280"/>
      <c r="Z365" s="280"/>
    </row>
    <row r="366">
      <c r="A366" s="284" t="s">
        <v>838</v>
      </c>
      <c r="B366" s="285" t="s">
        <v>254</v>
      </c>
      <c r="C366" s="286">
        <v>0.0</v>
      </c>
      <c r="D366" s="286" t="s">
        <v>454</v>
      </c>
      <c r="E366" s="286" t="s">
        <v>450</v>
      </c>
      <c r="F366" s="286" t="s">
        <v>454</v>
      </c>
      <c r="G366" s="280"/>
      <c r="H366" s="280"/>
      <c r="I366" s="280"/>
      <c r="J366" s="280"/>
      <c r="K366" s="280"/>
      <c r="L366" s="280"/>
      <c r="M366" s="280"/>
      <c r="N366" s="280"/>
      <c r="O366" s="280"/>
      <c r="P366" s="280"/>
      <c r="Q366" s="280"/>
      <c r="R366" s="280"/>
      <c r="S366" s="280"/>
      <c r="T366" s="280"/>
      <c r="U366" s="280"/>
      <c r="V366" s="280"/>
      <c r="W366" s="280"/>
      <c r="X366" s="280"/>
      <c r="Y366" s="280"/>
      <c r="Z366" s="280"/>
    </row>
    <row r="367">
      <c r="A367" s="284" t="s">
        <v>839</v>
      </c>
      <c r="B367" s="285" t="s">
        <v>254</v>
      </c>
      <c r="C367" s="286">
        <v>0.0</v>
      </c>
      <c r="D367" s="286" t="s">
        <v>454</v>
      </c>
      <c r="E367" s="286">
        <v>0.0</v>
      </c>
      <c r="F367" s="286" t="s">
        <v>450</v>
      </c>
      <c r="G367" s="280"/>
      <c r="H367" s="280"/>
      <c r="I367" s="280"/>
      <c r="J367" s="280"/>
      <c r="K367" s="280"/>
      <c r="L367" s="280"/>
      <c r="M367" s="280"/>
      <c r="N367" s="280"/>
      <c r="O367" s="280"/>
      <c r="P367" s="280"/>
      <c r="Q367" s="280"/>
      <c r="R367" s="280"/>
      <c r="S367" s="280"/>
      <c r="T367" s="280"/>
      <c r="U367" s="280"/>
      <c r="V367" s="280"/>
      <c r="W367" s="280"/>
      <c r="X367" s="280"/>
      <c r="Y367" s="280"/>
      <c r="Z367" s="280"/>
    </row>
    <row r="368">
      <c r="A368" s="284" t="s">
        <v>840</v>
      </c>
      <c r="B368" s="285" t="s">
        <v>254</v>
      </c>
      <c r="C368" s="286" t="s">
        <v>450</v>
      </c>
      <c r="D368" s="286" t="s">
        <v>454</v>
      </c>
      <c r="E368" s="286">
        <v>0.0</v>
      </c>
      <c r="F368" s="286" t="s">
        <v>461</v>
      </c>
      <c r="G368" s="280"/>
      <c r="H368" s="280"/>
      <c r="I368" s="280"/>
      <c r="J368" s="280"/>
      <c r="K368" s="280"/>
      <c r="L368" s="280"/>
      <c r="M368" s="280"/>
      <c r="N368" s="280"/>
      <c r="O368" s="280"/>
      <c r="P368" s="280"/>
      <c r="Q368" s="280"/>
      <c r="R368" s="280"/>
      <c r="S368" s="280"/>
      <c r="T368" s="280"/>
      <c r="U368" s="280"/>
      <c r="V368" s="280"/>
      <c r="W368" s="280"/>
      <c r="X368" s="280"/>
      <c r="Y368" s="280"/>
      <c r="Z368" s="280"/>
    </row>
    <row r="369">
      <c r="A369" s="284" t="s">
        <v>841</v>
      </c>
      <c r="B369" s="285" t="s">
        <v>254</v>
      </c>
      <c r="C369" s="286">
        <v>0.0</v>
      </c>
      <c r="D369" s="286" t="s">
        <v>454</v>
      </c>
      <c r="E369" s="286">
        <v>0.0</v>
      </c>
      <c r="F369" s="286" t="s">
        <v>454</v>
      </c>
      <c r="G369" s="280"/>
      <c r="H369" s="280"/>
      <c r="I369" s="280"/>
      <c r="J369" s="280"/>
      <c r="K369" s="280"/>
      <c r="L369" s="280"/>
      <c r="M369" s="280"/>
      <c r="N369" s="280"/>
      <c r="O369" s="280"/>
      <c r="P369" s="280"/>
      <c r="Q369" s="280"/>
      <c r="R369" s="280"/>
      <c r="S369" s="280"/>
      <c r="T369" s="280"/>
      <c r="U369" s="280"/>
      <c r="V369" s="280"/>
      <c r="W369" s="280"/>
      <c r="X369" s="280"/>
      <c r="Y369" s="280"/>
      <c r="Z369" s="280"/>
    </row>
    <row r="370">
      <c r="A370" s="284" t="s">
        <v>842</v>
      </c>
      <c r="B370" s="285" t="s">
        <v>254</v>
      </c>
      <c r="C370" s="286" t="s">
        <v>450</v>
      </c>
      <c r="D370" s="286" t="s">
        <v>460</v>
      </c>
      <c r="E370" s="286" t="s">
        <v>450</v>
      </c>
      <c r="F370" s="286" t="s">
        <v>461</v>
      </c>
      <c r="G370" s="280"/>
      <c r="H370" s="280"/>
      <c r="I370" s="280"/>
      <c r="J370" s="280"/>
      <c r="K370" s="280"/>
      <c r="L370" s="280"/>
      <c r="M370" s="280"/>
      <c r="N370" s="280"/>
      <c r="O370" s="280"/>
      <c r="P370" s="280"/>
      <c r="Q370" s="280"/>
      <c r="R370" s="280"/>
      <c r="S370" s="280"/>
      <c r="T370" s="280"/>
      <c r="U370" s="280"/>
      <c r="V370" s="280"/>
      <c r="W370" s="280"/>
      <c r="X370" s="280"/>
      <c r="Y370" s="280"/>
      <c r="Z370" s="280"/>
    </row>
    <row r="371">
      <c r="A371" s="287" t="s">
        <v>843</v>
      </c>
      <c r="B371" s="285" t="s">
        <v>254</v>
      </c>
      <c r="C371" s="286" t="s">
        <v>450</v>
      </c>
      <c r="D371" s="286" t="s">
        <v>454</v>
      </c>
      <c r="E371" s="286" t="s">
        <v>450</v>
      </c>
      <c r="F371" s="286" t="s">
        <v>460</v>
      </c>
      <c r="G371" s="280"/>
      <c r="H371" s="280"/>
      <c r="I371" s="280"/>
      <c r="J371" s="280"/>
      <c r="K371" s="280"/>
      <c r="L371" s="280"/>
      <c r="M371" s="280"/>
      <c r="N371" s="280"/>
      <c r="O371" s="280"/>
      <c r="P371" s="280"/>
      <c r="Q371" s="280"/>
      <c r="R371" s="280"/>
      <c r="S371" s="280"/>
      <c r="T371" s="280"/>
      <c r="U371" s="280"/>
      <c r="V371" s="280"/>
      <c r="W371" s="280"/>
      <c r="X371" s="280"/>
      <c r="Y371" s="280"/>
      <c r="Z371" s="280"/>
    </row>
    <row r="372">
      <c r="A372" s="284" t="s">
        <v>844</v>
      </c>
      <c r="B372" s="285" t="s">
        <v>254</v>
      </c>
      <c r="C372" s="286" t="s">
        <v>450</v>
      </c>
      <c r="D372" s="286" t="s">
        <v>456</v>
      </c>
      <c r="E372" s="286">
        <v>0.0</v>
      </c>
      <c r="F372" s="286" t="s">
        <v>461</v>
      </c>
      <c r="G372" s="280"/>
      <c r="H372" s="280"/>
      <c r="I372" s="280"/>
      <c r="J372" s="280"/>
      <c r="K372" s="280"/>
      <c r="L372" s="280"/>
      <c r="M372" s="280"/>
      <c r="N372" s="280"/>
      <c r="O372" s="280"/>
      <c r="P372" s="280"/>
      <c r="Q372" s="280"/>
      <c r="R372" s="280"/>
      <c r="S372" s="280"/>
      <c r="T372" s="280"/>
      <c r="U372" s="280"/>
      <c r="V372" s="280"/>
      <c r="W372" s="280"/>
      <c r="X372" s="280"/>
      <c r="Y372" s="280"/>
      <c r="Z372" s="280"/>
    </row>
    <row r="373">
      <c r="A373" s="284" t="s">
        <v>845</v>
      </c>
      <c r="B373" s="285" t="s">
        <v>846</v>
      </c>
      <c r="C373" s="286">
        <v>0.0</v>
      </c>
      <c r="D373" s="286" t="s">
        <v>461</v>
      </c>
      <c r="E373" s="286">
        <v>0.0</v>
      </c>
      <c r="F373" s="286" t="s">
        <v>450</v>
      </c>
      <c r="G373" s="280"/>
      <c r="H373" s="280"/>
      <c r="I373" s="280"/>
      <c r="J373" s="280"/>
      <c r="K373" s="280"/>
      <c r="L373" s="280"/>
      <c r="M373" s="280"/>
      <c r="N373" s="280"/>
      <c r="O373" s="280"/>
      <c r="P373" s="280"/>
      <c r="Q373" s="280"/>
      <c r="R373" s="280"/>
      <c r="S373" s="280"/>
      <c r="T373" s="280"/>
      <c r="U373" s="280"/>
      <c r="V373" s="280"/>
      <c r="W373" s="280"/>
      <c r="X373" s="280"/>
      <c r="Y373" s="280"/>
      <c r="Z373" s="280"/>
    </row>
    <row r="374">
      <c r="A374" s="284" t="s">
        <v>847</v>
      </c>
      <c r="B374" s="285" t="s">
        <v>848</v>
      </c>
      <c r="C374" s="286" t="s">
        <v>450</v>
      </c>
      <c r="D374" s="286" t="s">
        <v>460</v>
      </c>
      <c r="E374" s="286">
        <v>0.0</v>
      </c>
      <c r="F374" s="286" t="s">
        <v>450</v>
      </c>
      <c r="G374" s="280"/>
      <c r="H374" s="280"/>
      <c r="I374" s="280"/>
      <c r="J374" s="280"/>
      <c r="K374" s="280"/>
      <c r="L374" s="280"/>
      <c r="M374" s="280"/>
      <c r="N374" s="280"/>
      <c r="O374" s="280"/>
      <c r="P374" s="280"/>
      <c r="Q374" s="280"/>
      <c r="R374" s="280"/>
      <c r="S374" s="280"/>
      <c r="T374" s="280"/>
      <c r="U374" s="280"/>
      <c r="V374" s="280"/>
      <c r="W374" s="280"/>
      <c r="X374" s="280"/>
      <c r="Y374" s="280"/>
      <c r="Z374" s="280"/>
    </row>
    <row r="375">
      <c r="A375" s="284" t="s">
        <v>849</v>
      </c>
      <c r="B375" s="285" t="s">
        <v>848</v>
      </c>
      <c r="C375" s="286">
        <v>0.0</v>
      </c>
      <c r="D375" s="286" t="s">
        <v>450</v>
      </c>
      <c r="E375" s="286">
        <v>0.0</v>
      </c>
      <c r="F375" s="286">
        <v>0.0</v>
      </c>
      <c r="G375" s="280"/>
      <c r="H375" s="280"/>
      <c r="I375" s="280"/>
      <c r="J375" s="280"/>
      <c r="K375" s="280"/>
      <c r="L375" s="280"/>
      <c r="M375" s="280"/>
      <c r="N375" s="280"/>
      <c r="O375" s="280"/>
      <c r="P375" s="280"/>
      <c r="Q375" s="280"/>
      <c r="R375" s="280"/>
      <c r="S375" s="280"/>
      <c r="T375" s="280"/>
      <c r="U375" s="280"/>
      <c r="V375" s="280"/>
      <c r="W375" s="280"/>
      <c r="X375" s="280"/>
      <c r="Y375" s="280"/>
      <c r="Z375" s="280"/>
    </row>
    <row r="376">
      <c r="A376" s="284" t="s">
        <v>850</v>
      </c>
      <c r="B376" s="285" t="s">
        <v>851</v>
      </c>
      <c r="C376" s="286">
        <v>0.0</v>
      </c>
      <c r="D376" s="286" t="s">
        <v>450</v>
      </c>
      <c r="E376" s="286">
        <v>0.0</v>
      </c>
      <c r="F376" s="286">
        <v>0.0</v>
      </c>
      <c r="G376" s="280"/>
      <c r="H376" s="280"/>
      <c r="I376" s="280"/>
      <c r="J376" s="280"/>
      <c r="K376" s="280"/>
      <c r="L376" s="280"/>
      <c r="M376" s="280"/>
      <c r="N376" s="280"/>
      <c r="O376" s="280"/>
      <c r="P376" s="280"/>
      <c r="Q376" s="280"/>
      <c r="R376" s="280"/>
      <c r="S376" s="280"/>
      <c r="T376" s="280"/>
      <c r="U376" s="280"/>
      <c r="V376" s="280"/>
      <c r="W376" s="280"/>
      <c r="X376" s="280"/>
      <c r="Y376" s="280"/>
      <c r="Z376" s="280"/>
    </row>
    <row r="377">
      <c r="A377" s="284" t="s">
        <v>852</v>
      </c>
      <c r="B377" s="285" t="s">
        <v>256</v>
      </c>
      <c r="C377" s="286">
        <v>0.0</v>
      </c>
      <c r="D377" s="286" t="s">
        <v>461</v>
      </c>
      <c r="E377" s="286">
        <v>0.0</v>
      </c>
      <c r="F377" s="286" t="s">
        <v>450</v>
      </c>
      <c r="G377" s="280"/>
      <c r="H377" s="280"/>
      <c r="I377" s="280"/>
      <c r="J377" s="280"/>
      <c r="K377" s="280"/>
      <c r="L377" s="280"/>
      <c r="M377" s="280"/>
      <c r="N377" s="280"/>
      <c r="O377" s="280"/>
      <c r="P377" s="280"/>
      <c r="Q377" s="280"/>
      <c r="R377" s="280"/>
      <c r="S377" s="280"/>
      <c r="T377" s="280"/>
      <c r="U377" s="280"/>
      <c r="V377" s="280"/>
      <c r="W377" s="280"/>
      <c r="X377" s="280"/>
      <c r="Y377" s="280"/>
      <c r="Z377" s="280"/>
    </row>
    <row r="378">
      <c r="A378" s="284" t="s">
        <v>853</v>
      </c>
      <c r="B378" s="285" t="s">
        <v>256</v>
      </c>
      <c r="C378" s="286">
        <v>0.0</v>
      </c>
      <c r="D378" s="286" t="s">
        <v>461</v>
      </c>
      <c r="E378" s="286">
        <v>0.0</v>
      </c>
      <c r="F378" s="286" t="s">
        <v>450</v>
      </c>
      <c r="G378" s="280"/>
      <c r="H378" s="280"/>
      <c r="I378" s="280"/>
      <c r="J378" s="280"/>
      <c r="K378" s="280"/>
      <c r="L378" s="280"/>
      <c r="M378" s="280"/>
      <c r="N378" s="280"/>
      <c r="O378" s="280"/>
      <c r="P378" s="280"/>
      <c r="Q378" s="280"/>
      <c r="R378" s="280"/>
      <c r="S378" s="280"/>
      <c r="T378" s="280"/>
      <c r="U378" s="280"/>
      <c r="V378" s="280"/>
      <c r="W378" s="280"/>
      <c r="X378" s="280"/>
      <c r="Y378" s="280"/>
      <c r="Z378" s="280"/>
    </row>
    <row r="379">
      <c r="A379" s="284" t="s">
        <v>854</v>
      </c>
      <c r="B379" s="285" t="s">
        <v>256</v>
      </c>
      <c r="C379" s="286">
        <v>0.0</v>
      </c>
      <c r="D379" s="286" t="s">
        <v>461</v>
      </c>
      <c r="E379" s="286">
        <v>0.0</v>
      </c>
      <c r="F379" s="286" t="s">
        <v>450</v>
      </c>
      <c r="G379" s="280"/>
      <c r="H379" s="280"/>
      <c r="I379" s="280"/>
      <c r="J379" s="280"/>
      <c r="K379" s="280"/>
      <c r="L379" s="280"/>
      <c r="M379" s="280"/>
      <c r="N379" s="280"/>
      <c r="O379" s="280"/>
      <c r="P379" s="280"/>
      <c r="Q379" s="280"/>
      <c r="R379" s="280"/>
      <c r="S379" s="280"/>
      <c r="T379" s="280"/>
      <c r="U379" s="280"/>
      <c r="V379" s="280"/>
      <c r="W379" s="280"/>
      <c r="X379" s="280"/>
      <c r="Y379" s="280"/>
      <c r="Z379" s="280"/>
    </row>
    <row r="380">
      <c r="A380" s="284" t="s">
        <v>855</v>
      </c>
      <c r="B380" s="285" t="s">
        <v>256</v>
      </c>
      <c r="C380" s="286" t="s">
        <v>450</v>
      </c>
      <c r="D380" s="286" t="s">
        <v>454</v>
      </c>
      <c r="E380" s="286">
        <v>0.0</v>
      </c>
      <c r="F380" s="286" t="s">
        <v>461</v>
      </c>
      <c r="G380" s="280"/>
      <c r="H380" s="280"/>
      <c r="I380" s="280"/>
      <c r="J380" s="280"/>
      <c r="K380" s="280"/>
      <c r="L380" s="280"/>
      <c r="M380" s="280"/>
      <c r="N380" s="280"/>
      <c r="O380" s="280"/>
      <c r="P380" s="280"/>
      <c r="Q380" s="280"/>
      <c r="R380" s="280"/>
      <c r="S380" s="280"/>
      <c r="T380" s="280"/>
      <c r="U380" s="280"/>
      <c r="V380" s="280"/>
      <c r="W380" s="280"/>
      <c r="X380" s="280"/>
      <c r="Y380" s="280"/>
      <c r="Z380" s="280"/>
    </row>
    <row r="381">
      <c r="A381" s="284" t="s">
        <v>856</v>
      </c>
      <c r="B381" s="285" t="s">
        <v>256</v>
      </c>
      <c r="C381" s="286" t="s">
        <v>461</v>
      </c>
      <c r="D381" s="286" t="s">
        <v>460</v>
      </c>
      <c r="E381" s="286">
        <v>0.0</v>
      </c>
      <c r="F381" s="286" t="s">
        <v>450</v>
      </c>
      <c r="G381" s="280"/>
      <c r="H381" s="280"/>
      <c r="I381" s="280"/>
      <c r="J381" s="280"/>
      <c r="K381" s="280"/>
      <c r="L381" s="280"/>
      <c r="M381" s="280"/>
      <c r="N381" s="280"/>
      <c r="O381" s="280"/>
      <c r="P381" s="280"/>
      <c r="Q381" s="280"/>
      <c r="R381" s="280"/>
      <c r="S381" s="280"/>
      <c r="T381" s="280"/>
      <c r="U381" s="280"/>
      <c r="V381" s="280"/>
      <c r="W381" s="280"/>
      <c r="X381" s="280"/>
      <c r="Y381" s="280"/>
      <c r="Z381" s="280"/>
    </row>
    <row r="382">
      <c r="A382" s="284" t="s">
        <v>857</v>
      </c>
      <c r="B382" s="285" t="s">
        <v>857</v>
      </c>
      <c r="C382" s="286">
        <v>0.0</v>
      </c>
      <c r="D382" s="286" t="s">
        <v>454</v>
      </c>
      <c r="E382" s="286">
        <v>0.0</v>
      </c>
      <c r="F382" s="286" t="s">
        <v>461</v>
      </c>
      <c r="G382" s="280"/>
      <c r="H382" s="280"/>
      <c r="I382" s="280"/>
      <c r="J382" s="280"/>
      <c r="K382" s="280"/>
      <c r="L382" s="280"/>
      <c r="M382" s="280"/>
      <c r="N382" s="280"/>
      <c r="O382" s="280"/>
      <c r="P382" s="280"/>
      <c r="Q382" s="280"/>
      <c r="R382" s="280"/>
      <c r="S382" s="280"/>
      <c r="T382" s="280"/>
      <c r="U382" s="280"/>
      <c r="V382" s="280"/>
      <c r="W382" s="280"/>
      <c r="X382" s="280"/>
      <c r="Y382" s="280"/>
      <c r="Z382" s="280"/>
    </row>
    <row r="383">
      <c r="A383" s="284" t="s">
        <v>858</v>
      </c>
      <c r="B383" s="285" t="s">
        <v>859</v>
      </c>
      <c r="C383" s="286">
        <v>0.0</v>
      </c>
      <c r="D383" s="286" t="s">
        <v>450</v>
      </c>
      <c r="E383" s="286">
        <v>0.0</v>
      </c>
      <c r="F383" s="286" t="s">
        <v>450</v>
      </c>
      <c r="G383" s="280"/>
      <c r="H383" s="280"/>
      <c r="I383" s="280"/>
      <c r="J383" s="280"/>
      <c r="K383" s="280"/>
      <c r="L383" s="280"/>
      <c r="M383" s="280"/>
      <c r="N383" s="280"/>
      <c r="O383" s="280"/>
      <c r="P383" s="280"/>
      <c r="Q383" s="280"/>
      <c r="R383" s="280"/>
      <c r="S383" s="280"/>
      <c r="T383" s="280"/>
      <c r="U383" s="280"/>
      <c r="V383" s="280"/>
      <c r="W383" s="280"/>
      <c r="X383" s="280"/>
      <c r="Y383" s="280"/>
      <c r="Z383" s="280"/>
    </row>
    <row r="384">
      <c r="A384" s="284" t="s">
        <v>860</v>
      </c>
      <c r="B384" s="285" t="s">
        <v>257</v>
      </c>
      <c r="C384" s="286">
        <v>0.0</v>
      </c>
      <c r="D384" s="286" t="s">
        <v>454</v>
      </c>
      <c r="E384" s="286">
        <v>0.0</v>
      </c>
      <c r="F384" s="286" t="s">
        <v>461</v>
      </c>
      <c r="G384" s="280"/>
      <c r="H384" s="280"/>
      <c r="I384" s="280"/>
      <c r="J384" s="280"/>
      <c r="K384" s="280"/>
      <c r="L384" s="280"/>
      <c r="M384" s="280"/>
      <c r="N384" s="280"/>
      <c r="O384" s="280"/>
      <c r="P384" s="280"/>
      <c r="Q384" s="280"/>
      <c r="R384" s="280"/>
      <c r="S384" s="280"/>
      <c r="T384" s="280"/>
      <c r="U384" s="280"/>
      <c r="V384" s="280"/>
      <c r="W384" s="280"/>
      <c r="X384" s="280"/>
      <c r="Y384" s="280"/>
      <c r="Z384" s="280"/>
    </row>
    <row r="385">
      <c r="A385" s="284" t="s">
        <v>861</v>
      </c>
      <c r="B385" s="285" t="s">
        <v>257</v>
      </c>
      <c r="C385" s="286">
        <v>0.0</v>
      </c>
      <c r="D385" s="286" t="s">
        <v>450</v>
      </c>
      <c r="E385" s="286">
        <v>0.0</v>
      </c>
      <c r="F385" s="286">
        <v>0.0</v>
      </c>
      <c r="G385" s="280"/>
      <c r="H385" s="280"/>
      <c r="I385" s="280"/>
      <c r="J385" s="280"/>
      <c r="K385" s="280"/>
      <c r="L385" s="280"/>
      <c r="M385" s="280"/>
      <c r="N385" s="280"/>
      <c r="O385" s="280"/>
      <c r="P385" s="280"/>
      <c r="Q385" s="280"/>
      <c r="R385" s="280"/>
      <c r="S385" s="280"/>
      <c r="T385" s="280"/>
      <c r="U385" s="280"/>
      <c r="V385" s="280"/>
      <c r="W385" s="280"/>
      <c r="X385" s="280"/>
      <c r="Y385" s="280"/>
      <c r="Z385" s="280"/>
    </row>
    <row r="386">
      <c r="A386" s="284" t="s">
        <v>862</v>
      </c>
      <c r="B386" s="285" t="s">
        <v>257</v>
      </c>
      <c r="C386" s="286">
        <v>0.0</v>
      </c>
      <c r="D386" s="286" t="s">
        <v>461</v>
      </c>
      <c r="E386" s="286">
        <v>0.0</v>
      </c>
      <c r="F386" s="286" t="s">
        <v>461</v>
      </c>
      <c r="G386" s="280"/>
      <c r="H386" s="280"/>
      <c r="I386" s="280"/>
      <c r="J386" s="280"/>
      <c r="K386" s="280"/>
      <c r="L386" s="280"/>
      <c r="M386" s="280"/>
      <c r="N386" s="280"/>
      <c r="O386" s="280"/>
      <c r="P386" s="280"/>
      <c r="Q386" s="280"/>
      <c r="R386" s="280"/>
      <c r="S386" s="280"/>
      <c r="T386" s="280"/>
      <c r="U386" s="280"/>
      <c r="V386" s="280"/>
      <c r="W386" s="280"/>
      <c r="X386" s="280"/>
      <c r="Y386" s="280"/>
      <c r="Z386" s="280"/>
    </row>
    <row r="387">
      <c r="A387" s="284" t="s">
        <v>863</v>
      </c>
      <c r="B387" s="285" t="s">
        <v>257</v>
      </c>
      <c r="C387" s="286">
        <v>0.0</v>
      </c>
      <c r="D387" s="286" t="s">
        <v>461</v>
      </c>
      <c r="E387" s="286">
        <v>0.0</v>
      </c>
      <c r="F387" s="286" t="s">
        <v>461</v>
      </c>
      <c r="G387" s="280"/>
      <c r="H387" s="280"/>
      <c r="I387" s="280"/>
      <c r="J387" s="280"/>
      <c r="K387" s="280"/>
      <c r="L387" s="280"/>
      <c r="M387" s="280"/>
      <c r="N387" s="280"/>
      <c r="O387" s="280"/>
      <c r="P387" s="280"/>
      <c r="Q387" s="280"/>
      <c r="R387" s="280"/>
      <c r="S387" s="280"/>
      <c r="T387" s="280"/>
      <c r="U387" s="280"/>
      <c r="V387" s="280"/>
      <c r="W387" s="280"/>
      <c r="X387" s="280"/>
      <c r="Y387" s="280"/>
      <c r="Z387" s="280"/>
    </row>
    <row r="388">
      <c r="A388" s="284" t="s">
        <v>864</v>
      </c>
      <c r="B388" s="285" t="s">
        <v>257</v>
      </c>
      <c r="C388" s="286">
        <v>0.0</v>
      </c>
      <c r="D388" s="286" t="s">
        <v>502</v>
      </c>
      <c r="E388" s="286">
        <v>0.0</v>
      </c>
      <c r="F388" s="286" t="s">
        <v>454</v>
      </c>
      <c r="G388" s="280"/>
      <c r="H388" s="280"/>
      <c r="I388" s="280"/>
      <c r="J388" s="280"/>
      <c r="K388" s="280"/>
      <c r="L388" s="280"/>
      <c r="M388" s="280"/>
      <c r="N388" s="280"/>
      <c r="O388" s="280"/>
      <c r="P388" s="280"/>
      <c r="Q388" s="280"/>
      <c r="R388" s="280"/>
      <c r="S388" s="280"/>
      <c r="T388" s="280"/>
      <c r="U388" s="280"/>
      <c r="V388" s="280"/>
      <c r="W388" s="280"/>
      <c r="X388" s="280"/>
      <c r="Y388" s="280"/>
      <c r="Z388" s="280"/>
    </row>
    <row r="389">
      <c r="A389" s="284" t="s">
        <v>865</v>
      </c>
      <c r="B389" s="285" t="s">
        <v>257</v>
      </c>
      <c r="C389" s="286">
        <v>0.0</v>
      </c>
      <c r="D389" s="286" t="s">
        <v>482</v>
      </c>
      <c r="E389" s="286">
        <v>0.0</v>
      </c>
      <c r="F389" s="286" t="s">
        <v>454</v>
      </c>
      <c r="G389" s="280"/>
      <c r="H389" s="280"/>
      <c r="I389" s="280"/>
      <c r="J389" s="280"/>
      <c r="K389" s="280"/>
      <c r="L389" s="280"/>
      <c r="M389" s="280"/>
      <c r="N389" s="280"/>
      <c r="O389" s="280"/>
      <c r="P389" s="280"/>
      <c r="Q389" s="280"/>
      <c r="R389" s="280"/>
      <c r="S389" s="280"/>
      <c r="T389" s="280"/>
      <c r="U389" s="280"/>
      <c r="V389" s="280"/>
      <c r="W389" s="280"/>
      <c r="X389" s="280"/>
      <c r="Y389" s="280"/>
      <c r="Z389" s="280"/>
    </row>
    <row r="390">
      <c r="A390" s="284" t="s">
        <v>866</v>
      </c>
      <c r="B390" s="285" t="s">
        <v>257</v>
      </c>
      <c r="C390" s="286">
        <v>0.0</v>
      </c>
      <c r="D390" s="286" t="s">
        <v>516</v>
      </c>
      <c r="E390" s="286">
        <v>0.0</v>
      </c>
      <c r="F390" s="286" t="s">
        <v>450</v>
      </c>
      <c r="G390" s="280"/>
      <c r="H390" s="280"/>
      <c r="I390" s="280"/>
      <c r="J390" s="280"/>
      <c r="K390" s="280"/>
      <c r="L390" s="280"/>
      <c r="M390" s="280"/>
      <c r="N390" s="280"/>
      <c r="O390" s="280"/>
      <c r="P390" s="280"/>
      <c r="Q390" s="280"/>
      <c r="R390" s="280"/>
      <c r="S390" s="280"/>
      <c r="T390" s="280"/>
      <c r="U390" s="280"/>
      <c r="V390" s="280"/>
      <c r="W390" s="280"/>
      <c r="X390" s="280"/>
      <c r="Y390" s="280"/>
      <c r="Z390" s="280"/>
    </row>
    <row r="391">
      <c r="A391" s="284" t="s">
        <v>867</v>
      </c>
      <c r="B391" s="285" t="s">
        <v>258</v>
      </c>
      <c r="C391" s="286">
        <v>0.0</v>
      </c>
      <c r="D391" s="286" t="s">
        <v>460</v>
      </c>
      <c r="E391" s="286">
        <v>0.0</v>
      </c>
      <c r="F391" s="286" t="s">
        <v>461</v>
      </c>
      <c r="G391" s="280"/>
      <c r="H391" s="280"/>
      <c r="I391" s="280"/>
      <c r="J391" s="280"/>
      <c r="K391" s="280"/>
      <c r="L391" s="280"/>
      <c r="M391" s="280"/>
      <c r="N391" s="280"/>
      <c r="O391" s="280"/>
      <c r="P391" s="280"/>
      <c r="Q391" s="280"/>
      <c r="R391" s="280"/>
      <c r="S391" s="280"/>
      <c r="T391" s="280"/>
      <c r="U391" s="280"/>
      <c r="V391" s="280"/>
      <c r="W391" s="280"/>
      <c r="X391" s="280"/>
      <c r="Y391" s="280"/>
      <c r="Z391" s="280"/>
    </row>
    <row r="392">
      <c r="A392" s="284" t="s">
        <v>868</v>
      </c>
      <c r="B392" s="285" t="s">
        <v>258</v>
      </c>
      <c r="C392" s="286" t="s">
        <v>450</v>
      </c>
      <c r="D392" s="286" t="s">
        <v>460</v>
      </c>
      <c r="E392" s="286" t="s">
        <v>450</v>
      </c>
      <c r="F392" s="286" t="s">
        <v>461</v>
      </c>
      <c r="G392" s="280"/>
      <c r="H392" s="280"/>
      <c r="I392" s="280"/>
      <c r="J392" s="280"/>
      <c r="K392" s="280"/>
      <c r="L392" s="280"/>
      <c r="M392" s="280"/>
      <c r="N392" s="280"/>
      <c r="O392" s="280"/>
      <c r="P392" s="280"/>
      <c r="Q392" s="280"/>
      <c r="R392" s="280"/>
      <c r="S392" s="280"/>
      <c r="T392" s="280"/>
      <c r="U392" s="280"/>
      <c r="V392" s="280"/>
      <c r="W392" s="280"/>
      <c r="X392" s="280"/>
      <c r="Y392" s="280"/>
      <c r="Z392" s="280"/>
    </row>
    <row r="393">
      <c r="A393" s="284" t="s">
        <v>869</v>
      </c>
      <c r="B393" s="285" t="s">
        <v>258</v>
      </c>
      <c r="C393" s="286">
        <v>0.0</v>
      </c>
      <c r="D393" s="286" t="s">
        <v>454</v>
      </c>
      <c r="E393" s="286">
        <v>0.0</v>
      </c>
      <c r="F393" s="286" t="s">
        <v>450</v>
      </c>
      <c r="G393" s="280"/>
      <c r="H393" s="280"/>
      <c r="I393" s="280"/>
      <c r="J393" s="280"/>
      <c r="K393" s="280"/>
      <c r="L393" s="280"/>
      <c r="M393" s="280"/>
      <c r="N393" s="280"/>
      <c r="O393" s="280"/>
      <c r="P393" s="280"/>
      <c r="Q393" s="280"/>
      <c r="R393" s="280"/>
      <c r="S393" s="280"/>
      <c r="T393" s="280"/>
      <c r="U393" s="280"/>
      <c r="V393" s="280"/>
      <c r="W393" s="280"/>
      <c r="X393" s="280"/>
      <c r="Y393" s="280"/>
      <c r="Z393" s="280"/>
    </row>
    <row r="394">
      <c r="A394" s="284" t="s">
        <v>870</v>
      </c>
      <c r="B394" s="285" t="s">
        <v>258</v>
      </c>
      <c r="C394" s="286">
        <v>0.0</v>
      </c>
      <c r="D394" s="286" t="s">
        <v>461</v>
      </c>
      <c r="E394" s="286">
        <v>0.0</v>
      </c>
      <c r="F394" s="286" t="s">
        <v>461</v>
      </c>
      <c r="G394" s="280"/>
      <c r="H394" s="280"/>
      <c r="I394" s="280"/>
      <c r="J394" s="280"/>
      <c r="K394" s="280"/>
      <c r="L394" s="280"/>
      <c r="M394" s="280"/>
      <c r="N394" s="280"/>
      <c r="O394" s="280"/>
      <c r="P394" s="280"/>
      <c r="Q394" s="280"/>
      <c r="R394" s="280"/>
      <c r="S394" s="280"/>
      <c r="T394" s="280"/>
      <c r="U394" s="280"/>
      <c r="V394" s="280"/>
      <c r="W394" s="280"/>
      <c r="X394" s="280"/>
      <c r="Y394" s="280"/>
      <c r="Z394" s="280"/>
    </row>
    <row r="395">
      <c r="A395" s="284" t="s">
        <v>871</v>
      </c>
      <c r="B395" s="285" t="s">
        <v>258</v>
      </c>
      <c r="C395" s="286" t="s">
        <v>450</v>
      </c>
      <c r="D395" s="286" t="s">
        <v>458</v>
      </c>
      <c r="E395" s="286" t="s">
        <v>450</v>
      </c>
      <c r="F395" s="286" t="s">
        <v>454</v>
      </c>
      <c r="G395" s="280"/>
      <c r="H395" s="280"/>
      <c r="I395" s="280"/>
      <c r="J395" s="280"/>
      <c r="K395" s="280"/>
      <c r="L395" s="280"/>
      <c r="M395" s="280"/>
      <c r="N395" s="280"/>
      <c r="O395" s="280"/>
      <c r="P395" s="280"/>
      <c r="Q395" s="280"/>
      <c r="R395" s="280"/>
      <c r="S395" s="280"/>
      <c r="T395" s="280"/>
      <c r="U395" s="280"/>
      <c r="V395" s="280"/>
      <c r="W395" s="280"/>
      <c r="X395" s="280"/>
      <c r="Y395" s="280"/>
      <c r="Z395" s="280"/>
    </row>
    <row r="396">
      <c r="A396" s="284" t="s">
        <v>872</v>
      </c>
      <c r="B396" s="285" t="s">
        <v>258</v>
      </c>
      <c r="C396" s="286" t="s">
        <v>450</v>
      </c>
      <c r="D396" s="286" t="s">
        <v>450</v>
      </c>
      <c r="E396" s="286">
        <v>0.0</v>
      </c>
      <c r="F396" s="286" t="s">
        <v>450</v>
      </c>
      <c r="G396" s="280"/>
      <c r="H396" s="280"/>
      <c r="I396" s="280"/>
      <c r="J396" s="280"/>
      <c r="K396" s="280"/>
      <c r="L396" s="280"/>
      <c r="M396" s="280"/>
      <c r="N396" s="280"/>
      <c r="O396" s="280"/>
      <c r="P396" s="280"/>
      <c r="Q396" s="280"/>
      <c r="R396" s="280"/>
      <c r="S396" s="280"/>
      <c r="T396" s="280"/>
      <c r="U396" s="280"/>
      <c r="V396" s="280"/>
      <c r="W396" s="280"/>
      <c r="X396" s="280"/>
      <c r="Y396" s="280"/>
      <c r="Z396" s="280"/>
    </row>
    <row r="397">
      <c r="A397" s="284" t="s">
        <v>873</v>
      </c>
      <c r="B397" s="285" t="s">
        <v>258</v>
      </c>
      <c r="C397" s="286" t="s">
        <v>450</v>
      </c>
      <c r="D397" s="286" t="s">
        <v>450</v>
      </c>
      <c r="E397" s="286">
        <v>0.0</v>
      </c>
      <c r="F397" s="286">
        <v>0.0</v>
      </c>
      <c r="G397" s="280"/>
      <c r="H397" s="280"/>
      <c r="I397" s="280"/>
      <c r="J397" s="280"/>
      <c r="K397" s="280"/>
      <c r="L397" s="280"/>
      <c r="M397" s="280"/>
      <c r="N397" s="280"/>
      <c r="O397" s="280"/>
      <c r="P397" s="280"/>
      <c r="Q397" s="280"/>
      <c r="R397" s="280"/>
      <c r="S397" s="280"/>
      <c r="T397" s="280"/>
      <c r="U397" s="280"/>
      <c r="V397" s="280"/>
      <c r="W397" s="280"/>
      <c r="X397" s="280"/>
      <c r="Y397" s="280"/>
      <c r="Z397" s="280"/>
    </row>
    <row r="398">
      <c r="A398" s="284" t="s">
        <v>874</v>
      </c>
      <c r="B398" s="285" t="s">
        <v>875</v>
      </c>
      <c r="C398" s="286">
        <v>0.0</v>
      </c>
      <c r="D398" s="286" t="s">
        <v>450</v>
      </c>
      <c r="E398" s="286">
        <v>0.0</v>
      </c>
      <c r="F398" s="286" t="s">
        <v>461</v>
      </c>
      <c r="G398" s="280"/>
      <c r="H398" s="280"/>
      <c r="I398" s="280"/>
      <c r="J398" s="280"/>
      <c r="K398" s="280"/>
      <c r="L398" s="280"/>
      <c r="M398" s="280"/>
      <c r="N398" s="280"/>
      <c r="O398" s="280"/>
      <c r="P398" s="280"/>
      <c r="Q398" s="280"/>
      <c r="R398" s="280"/>
      <c r="S398" s="280"/>
      <c r="T398" s="280"/>
      <c r="U398" s="280"/>
      <c r="V398" s="280"/>
      <c r="W398" s="280"/>
      <c r="X398" s="280"/>
      <c r="Y398" s="280"/>
      <c r="Z398" s="280"/>
    </row>
    <row r="399">
      <c r="A399" s="284" t="s">
        <v>876</v>
      </c>
      <c r="B399" s="285" t="s">
        <v>876</v>
      </c>
      <c r="C399" s="286" t="s">
        <v>450</v>
      </c>
      <c r="D399" s="286" t="s">
        <v>454</v>
      </c>
      <c r="E399" s="286" t="s">
        <v>450</v>
      </c>
      <c r="F399" s="286" t="s">
        <v>450</v>
      </c>
      <c r="G399" s="280"/>
      <c r="H399" s="280"/>
      <c r="I399" s="280"/>
      <c r="J399" s="280"/>
      <c r="K399" s="280"/>
      <c r="L399" s="280"/>
      <c r="M399" s="280"/>
      <c r="N399" s="280"/>
      <c r="O399" s="280"/>
      <c r="P399" s="280"/>
      <c r="Q399" s="280"/>
      <c r="R399" s="280"/>
      <c r="S399" s="280"/>
      <c r="T399" s="280"/>
      <c r="U399" s="280"/>
      <c r="V399" s="280"/>
      <c r="W399" s="280"/>
      <c r="X399" s="280"/>
      <c r="Y399" s="280"/>
      <c r="Z399" s="280"/>
    </row>
    <row r="400">
      <c r="A400" s="284" t="s">
        <v>877</v>
      </c>
      <c r="B400" s="285" t="s">
        <v>877</v>
      </c>
      <c r="C400" s="286" t="s">
        <v>450</v>
      </c>
      <c r="D400" s="286" t="s">
        <v>461</v>
      </c>
      <c r="E400" s="286">
        <v>0.0</v>
      </c>
      <c r="F400" s="286" t="s">
        <v>450</v>
      </c>
      <c r="G400" s="280"/>
      <c r="H400" s="280"/>
      <c r="I400" s="280"/>
      <c r="J400" s="280"/>
      <c r="K400" s="280"/>
      <c r="L400" s="280"/>
      <c r="M400" s="280"/>
      <c r="N400" s="280"/>
      <c r="O400" s="280"/>
      <c r="P400" s="280"/>
      <c r="Q400" s="280"/>
      <c r="R400" s="280"/>
      <c r="S400" s="280"/>
      <c r="T400" s="280"/>
      <c r="U400" s="280"/>
      <c r="V400" s="280"/>
      <c r="W400" s="280"/>
      <c r="X400" s="280"/>
      <c r="Y400" s="280"/>
      <c r="Z400" s="280"/>
    </row>
    <row r="401">
      <c r="A401" s="284" t="s">
        <v>878</v>
      </c>
      <c r="B401" s="285" t="s">
        <v>878</v>
      </c>
      <c r="C401" s="286" t="s">
        <v>450</v>
      </c>
      <c r="D401" s="286" t="s">
        <v>454</v>
      </c>
      <c r="E401" s="286">
        <v>0.0</v>
      </c>
      <c r="F401" s="286" t="s">
        <v>450</v>
      </c>
      <c r="G401" s="280"/>
      <c r="H401" s="280"/>
      <c r="I401" s="280"/>
      <c r="J401" s="280"/>
      <c r="K401" s="280"/>
      <c r="L401" s="280"/>
      <c r="M401" s="280"/>
      <c r="N401" s="280"/>
      <c r="O401" s="280"/>
      <c r="P401" s="280"/>
      <c r="Q401" s="280"/>
      <c r="R401" s="280"/>
      <c r="S401" s="280"/>
      <c r="T401" s="280"/>
      <c r="U401" s="280"/>
      <c r="V401" s="280"/>
      <c r="W401" s="280"/>
      <c r="X401" s="280"/>
      <c r="Y401" s="280"/>
      <c r="Z401" s="280"/>
    </row>
    <row r="402">
      <c r="A402" s="284" t="s">
        <v>879</v>
      </c>
      <c r="B402" s="285" t="s">
        <v>259</v>
      </c>
      <c r="C402" s="286" t="s">
        <v>450</v>
      </c>
      <c r="D402" s="286" t="s">
        <v>454</v>
      </c>
      <c r="E402" s="286">
        <v>0.0</v>
      </c>
      <c r="F402" s="286" t="s">
        <v>450</v>
      </c>
      <c r="G402" s="280"/>
      <c r="H402" s="280"/>
      <c r="I402" s="280"/>
      <c r="J402" s="280"/>
      <c r="K402" s="280"/>
      <c r="L402" s="280"/>
      <c r="M402" s="280"/>
      <c r="N402" s="280"/>
      <c r="O402" s="280"/>
      <c r="P402" s="280"/>
      <c r="Q402" s="280"/>
      <c r="R402" s="280"/>
      <c r="S402" s="280"/>
      <c r="T402" s="280"/>
      <c r="U402" s="280"/>
      <c r="V402" s="280"/>
      <c r="W402" s="280"/>
      <c r="X402" s="280"/>
      <c r="Y402" s="280"/>
      <c r="Z402" s="280"/>
    </row>
    <row r="403">
      <c r="A403" s="284" t="s">
        <v>880</v>
      </c>
      <c r="B403" s="285" t="s">
        <v>259</v>
      </c>
      <c r="C403" s="286">
        <v>0.0</v>
      </c>
      <c r="D403" s="286" t="s">
        <v>461</v>
      </c>
      <c r="E403" s="286">
        <v>0.0</v>
      </c>
      <c r="F403" s="286">
        <v>0.0</v>
      </c>
      <c r="G403" s="280"/>
      <c r="H403" s="280"/>
      <c r="I403" s="280"/>
      <c r="J403" s="280"/>
      <c r="K403" s="280"/>
      <c r="L403" s="280"/>
      <c r="M403" s="280"/>
      <c r="N403" s="280"/>
      <c r="O403" s="280"/>
      <c r="P403" s="280"/>
      <c r="Q403" s="280"/>
      <c r="R403" s="280"/>
      <c r="S403" s="280"/>
      <c r="T403" s="280"/>
      <c r="U403" s="280"/>
      <c r="V403" s="280"/>
      <c r="W403" s="280"/>
      <c r="X403" s="280"/>
      <c r="Y403" s="280"/>
      <c r="Z403" s="280"/>
    </row>
    <row r="404">
      <c r="A404" s="284" t="s">
        <v>881</v>
      </c>
      <c r="B404" s="285" t="s">
        <v>259</v>
      </c>
      <c r="C404" s="286" t="s">
        <v>450</v>
      </c>
      <c r="D404" s="286" t="s">
        <v>516</v>
      </c>
      <c r="E404" s="286">
        <v>0.0</v>
      </c>
      <c r="F404" s="286" t="s">
        <v>450</v>
      </c>
      <c r="G404" s="280"/>
      <c r="H404" s="280"/>
      <c r="I404" s="280"/>
      <c r="J404" s="280"/>
      <c r="K404" s="280"/>
      <c r="L404" s="280"/>
      <c r="M404" s="280"/>
      <c r="N404" s="280"/>
      <c r="O404" s="280"/>
      <c r="P404" s="280"/>
      <c r="Q404" s="280"/>
      <c r="R404" s="280"/>
      <c r="S404" s="280"/>
      <c r="T404" s="280"/>
      <c r="U404" s="280"/>
      <c r="V404" s="280"/>
      <c r="W404" s="280"/>
      <c r="X404" s="280"/>
      <c r="Y404" s="280"/>
      <c r="Z404" s="280"/>
    </row>
    <row r="405">
      <c r="A405" s="284" t="s">
        <v>882</v>
      </c>
      <c r="B405" s="285" t="s">
        <v>259</v>
      </c>
      <c r="C405" s="286">
        <v>0.0</v>
      </c>
      <c r="D405" s="286" t="s">
        <v>516</v>
      </c>
      <c r="E405" s="286">
        <v>0.0</v>
      </c>
      <c r="F405" s="286" t="s">
        <v>450</v>
      </c>
      <c r="G405" s="280"/>
      <c r="H405" s="280"/>
      <c r="I405" s="280"/>
      <c r="J405" s="280"/>
      <c r="K405" s="280"/>
      <c r="L405" s="280"/>
      <c r="M405" s="280"/>
      <c r="N405" s="280"/>
      <c r="O405" s="280"/>
      <c r="P405" s="280"/>
      <c r="Q405" s="280"/>
      <c r="R405" s="280"/>
      <c r="S405" s="280"/>
      <c r="T405" s="280"/>
      <c r="U405" s="280"/>
      <c r="V405" s="280"/>
      <c r="W405" s="280"/>
      <c r="X405" s="280"/>
      <c r="Y405" s="280"/>
      <c r="Z405" s="280"/>
    </row>
    <row r="406">
      <c r="A406" s="284" t="s">
        <v>883</v>
      </c>
      <c r="B406" s="285" t="s">
        <v>259</v>
      </c>
      <c r="C406" s="286">
        <v>0.0</v>
      </c>
      <c r="D406" s="286" t="s">
        <v>454</v>
      </c>
      <c r="E406" s="286">
        <v>0.0</v>
      </c>
      <c r="F406" s="286" t="s">
        <v>450</v>
      </c>
      <c r="G406" s="280"/>
      <c r="H406" s="280"/>
      <c r="I406" s="280"/>
      <c r="J406" s="280"/>
      <c r="K406" s="280"/>
      <c r="L406" s="280"/>
      <c r="M406" s="280"/>
      <c r="N406" s="280"/>
      <c r="O406" s="280"/>
      <c r="P406" s="280"/>
      <c r="Q406" s="280"/>
      <c r="R406" s="280"/>
      <c r="S406" s="280"/>
      <c r="T406" s="280"/>
      <c r="U406" s="280"/>
      <c r="V406" s="280"/>
      <c r="W406" s="280"/>
      <c r="X406" s="280"/>
      <c r="Y406" s="280"/>
      <c r="Z406" s="280"/>
    </row>
    <row r="407">
      <c r="A407" s="284" t="s">
        <v>884</v>
      </c>
      <c r="B407" s="285" t="s">
        <v>884</v>
      </c>
      <c r="C407" s="286">
        <v>0.0</v>
      </c>
      <c r="D407" s="286">
        <v>0.0</v>
      </c>
      <c r="E407" s="286">
        <v>0.0</v>
      </c>
      <c r="F407" s="286" t="s">
        <v>450</v>
      </c>
      <c r="G407" s="280"/>
      <c r="H407" s="280"/>
      <c r="I407" s="280"/>
      <c r="J407" s="280"/>
      <c r="K407" s="280"/>
      <c r="L407" s="280"/>
      <c r="M407" s="280"/>
      <c r="N407" s="280"/>
      <c r="O407" s="280"/>
      <c r="P407" s="280"/>
      <c r="Q407" s="280"/>
      <c r="R407" s="280"/>
      <c r="S407" s="280"/>
      <c r="T407" s="280"/>
      <c r="U407" s="280"/>
      <c r="V407" s="280"/>
      <c r="W407" s="280"/>
      <c r="X407" s="280"/>
      <c r="Y407" s="280"/>
      <c r="Z407" s="280"/>
    </row>
    <row r="408">
      <c r="A408" s="284" t="s">
        <v>885</v>
      </c>
      <c r="B408" s="285" t="s">
        <v>886</v>
      </c>
      <c r="C408" s="286">
        <v>0.0</v>
      </c>
      <c r="D408" s="286" t="s">
        <v>461</v>
      </c>
      <c r="E408" s="286">
        <v>0.0</v>
      </c>
      <c r="F408" s="286" t="s">
        <v>450</v>
      </c>
      <c r="G408" s="280"/>
      <c r="H408" s="280"/>
      <c r="I408" s="280"/>
      <c r="J408" s="280"/>
      <c r="K408" s="280"/>
      <c r="L408" s="280"/>
      <c r="M408" s="280"/>
      <c r="N408" s="280"/>
      <c r="O408" s="280"/>
      <c r="P408" s="280"/>
      <c r="Q408" s="280"/>
      <c r="R408" s="280"/>
      <c r="S408" s="280"/>
      <c r="T408" s="280"/>
      <c r="U408" s="280"/>
      <c r="V408" s="280"/>
      <c r="W408" s="280"/>
      <c r="X408" s="280"/>
      <c r="Y408" s="280"/>
      <c r="Z408" s="280"/>
    </row>
    <row r="409">
      <c r="A409" s="284" t="s">
        <v>887</v>
      </c>
      <c r="B409" s="285" t="s">
        <v>888</v>
      </c>
      <c r="C409" s="286">
        <v>0.0</v>
      </c>
      <c r="D409" s="286" t="s">
        <v>450</v>
      </c>
      <c r="E409" s="286">
        <v>0.0</v>
      </c>
      <c r="F409" s="286" t="s">
        <v>450</v>
      </c>
      <c r="G409" s="280"/>
      <c r="H409" s="280"/>
      <c r="I409" s="280"/>
      <c r="J409" s="280"/>
      <c r="K409" s="280"/>
      <c r="L409" s="280"/>
      <c r="M409" s="280"/>
      <c r="N409" s="280"/>
      <c r="O409" s="280"/>
      <c r="P409" s="280"/>
      <c r="Q409" s="280"/>
      <c r="R409" s="280"/>
      <c r="S409" s="280"/>
      <c r="T409" s="280"/>
      <c r="U409" s="280"/>
      <c r="V409" s="280"/>
      <c r="W409" s="280"/>
      <c r="X409" s="280"/>
      <c r="Y409" s="280"/>
      <c r="Z409" s="280"/>
    </row>
    <row r="410">
      <c r="A410" s="284" t="s">
        <v>889</v>
      </c>
      <c r="B410" s="285" t="s">
        <v>261</v>
      </c>
      <c r="C410" s="286">
        <v>0.0</v>
      </c>
      <c r="D410" s="286" t="s">
        <v>460</v>
      </c>
      <c r="E410" s="286">
        <v>0.0</v>
      </c>
      <c r="F410" s="286" t="s">
        <v>461</v>
      </c>
      <c r="G410" s="280"/>
      <c r="H410" s="280"/>
      <c r="I410" s="280"/>
      <c r="J410" s="280"/>
      <c r="K410" s="280"/>
      <c r="L410" s="280"/>
      <c r="M410" s="280"/>
      <c r="N410" s="280"/>
      <c r="O410" s="280"/>
      <c r="P410" s="280"/>
      <c r="Q410" s="280"/>
      <c r="R410" s="280"/>
      <c r="S410" s="280"/>
      <c r="T410" s="280"/>
      <c r="U410" s="280"/>
      <c r="V410" s="280"/>
      <c r="W410" s="280"/>
      <c r="X410" s="280"/>
      <c r="Y410" s="280"/>
      <c r="Z410" s="280"/>
    </row>
    <row r="411">
      <c r="A411" s="284" t="s">
        <v>890</v>
      </c>
      <c r="B411" s="285" t="s">
        <v>261</v>
      </c>
      <c r="C411" s="286">
        <v>0.0</v>
      </c>
      <c r="D411" s="286" t="s">
        <v>461</v>
      </c>
      <c r="E411" s="286">
        <v>0.0</v>
      </c>
      <c r="F411" s="286" t="s">
        <v>450</v>
      </c>
      <c r="G411" s="280"/>
      <c r="H411" s="280"/>
      <c r="I411" s="280"/>
      <c r="J411" s="280"/>
      <c r="K411" s="280"/>
      <c r="L411" s="280"/>
      <c r="M411" s="280"/>
      <c r="N411" s="280"/>
      <c r="O411" s="280"/>
      <c r="P411" s="280"/>
      <c r="Q411" s="280"/>
      <c r="R411" s="280"/>
      <c r="S411" s="280"/>
      <c r="T411" s="280"/>
      <c r="U411" s="280"/>
      <c r="V411" s="280"/>
      <c r="W411" s="280"/>
      <c r="X411" s="280"/>
      <c r="Y411" s="280"/>
      <c r="Z411" s="280"/>
    </row>
    <row r="412">
      <c r="A412" s="284" t="s">
        <v>891</v>
      </c>
      <c r="B412" s="285" t="s">
        <v>261</v>
      </c>
      <c r="C412" s="286">
        <v>0.0</v>
      </c>
      <c r="D412" s="286" t="s">
        <v>461</v>
      </c>
      <c r="E412" s="286">
        <v>0.0</v>
      </c>
      <c r="F412" s="286" t="s">
        <v>450</v>
      </c>
      <c r="G412" s="280"/>
      <c r="H412" s="280"/>
      <c r="I412" s="280"/>
      <c r="J412" s="280"/>
      <c r="K412" s="280"/>
      <c r="L412" s="280"/>
      <c r="M412" s="280"/>
      <c r="N412" s="280"/>
      <c r="O412" s="280"/>
      <c r="P412" s="280"/>
      <c r="Q412" s="280"/>
      <c r="R412" s="280"/>
      <c r="S412" s="280"/>
      <c r="T412" s="280"/>
      <c r="U412" s="280"/>
      <c r="V412" s="280"/>
      <c r="W412" s="280"/>
      <c r="X412" s="280"/>
      <c r="Y412" s="280"/>
      <c r="Z412" s="280"/>
    </row>
    <row r="413">
      <c r="A413" s="284" t="s">
        <v>892</v>
      </c>
      <c r="B413" s="285" t="s">
        <v>261</v>
      </c>
      <c r="C413" s="286" t="s">
        <v>450</v>
      </c>
      <c r="D413" s="286" t="s">
        <v>461</v>
      </c>
      <c r="E413" s="286">
        <v>0.0</v>
      </c>
      <c r="F413" s="286" t="s">
        <v>461</v>
      </c>
      <c r="G413" s="280"/>
      <c r="H413" s="280"/>
      <c r="I413" s="280"/>
      <c r="J413" s="280"/>
      <c r="K413" s="280"/>
      <c r="L413" s="280"/>
      <c r="M413" s="280"/>
      <c r="N413" s="280"/>
      <c r="O413" s="280"/>
      <c r="P413" s="280"/>
      <c r="Q413" s="280"/>
      <c r="R413" s="280"/>
      <c r="S413" s="280"/>
      <c r="T413" s="280"/>
      <c r="U413" s="280"/>
      <c r="V413" s="280"/>
      <c r="W413" s="280"/>
      <c r="X413" s="280"/>
      <c r="Y413" s="280"/>
      <c r="Z413" s="280"/>
    </row>
    <row r="414">
      <c r="A414" s="284" t="s">
        <v>893</v>
      </c>
      <c r="B414" s="285" t="s">
        <v>261</v>
      </c>
      <c r="C414" s="286">
        <v>0.0</v>
      </c>
      <c r="D414" s="286" t="s">
        <v>461</v>
      </c>
      <c r="E414" s="286">
        <v>0.0</v>
      </c>
      <c r="F414" s="286" t="s">
        <v>450</v>
      </c>
      <c r="G414" s="280"/>
      <c r="H414" s="280"/>
      <c r="I414" s="280"/>
      <c r="J414" s="280"/>
      <c r="K414" s="280"/>
      <c r="L414" s="280"/>
      <c r="M414" s="280"/>
      <c r="N414" s="280"/>
      <c r="O414" s="280"/>
      <c r="P414" s="280"/>
      <c r="Q414" s="280"/>
      <c r="R414" s="280"/>
      <c r="S414" s="280"/>
      <c r="T414" s="280"/>
      <c r="U414" s="280"/>
      <c r="V414" s="280"/>
      <c r="W414" s="280"/>
      <c r="X414" s="280"/>
      <c r="Y414" s="280"/>
      <c r="Z414" s="280"/>
    </row>
    <row r="415">
      <c r="A415" s="284" t="s">
        <v>894</v>
      </c>
      <c r="B415" s="285" t="s">
        <v>261</v>
      </c>
      <c r="C415" s="286">
        <v>0.0</v>
      </c>
      <c r="D415" s="286" t="s">
        <v>450</v>
      </c>
      <c r="E415" s="286">
        <v>0.0</v>
      </c>
      <c r="F415" s="286" t="s">
        <v>450</v>
      </c>
      <c r="G415" s="280"/>
      <c r="H415" s="280"/>
      <c r="I415" s="280"/>
      <c r="J415" s="280"/>
      <c r="K415" s="280"/>
      <c r="L415" s="280"/>
      <c r="M415" s="280"/>
      <c r="N415" s="280"/>
      <c r="O415" s="280"/>
      <c r="P415" s="280"/>
      <c r="Q415" s="280"/>
      <c r="R415" s="280"/>
      <c r="S415" s="280"/>
      <c r="T415" s="280"/>
      <c r="U415" s="280"/>
      <c r="V415" s="280"/>
      <c r="W415" s="280"/>
      <c r="X415" s="280"/>
      <c r="Y415" s="280"/>
      <c r="Z415" s="280"/>
    </row>
    <row r="416">
      <c r="A416" s="284" t="s">
        <v>895</v>
      </c>
      <c r="B416" s="285" t="s">
        <v>261</v>
      </c>
      <c r="C416" s="286">
        <v>0.0</v>
      </c>
      <c r="D416" s="286" t="s">
        <v>461</v>
      </c>
      <c r="E416" s="286">
        <v>0.0</v>
      </c>
      <c r="F416" s="286" t="s">
        <v>450</v>
      </c>
      <c r="G416" s="280"/>
      <c r="H416" s="280"/>
      <c r="I416" s="280"/>
      <c r="J416" s="280"/>
      <c r="K416" s="280"/>
      <c r="L416" s="280"/>
      <c r="M416" s="280"/>
      <c r="N416" s="280"/>
      <c r="O416" s="280"/>
      <c r="P416" s="280"/>
      <c r="Q416" s="280"/>
      <c r="R416" s="280"/>
      <c r="S416" s="280"/>
      <c r="T416" s="280"/>
      <c r="U416" s="280"/>
      <c r="V416" s="280"/>
      <c r="W416" s="280"/>
      <c r="X416" s="280"/>
      <c r="Y416" s="280"/>
      <c r="Z416" s="280"/>
    </row>
    <row r="417">
      <c r="A417" s="284" t="s">
        <v>896</v>
      </c>
      <c r="B417" s="285" t="s">
        <v>261</v>
      </c>
      <c r="C417" s="286">
        <v>0.0</v>
      </c>
      <c r="D417" s="286" t="s">
        <v>450</v>
      </c>
      <c r="E417" s="286">
        <v>0.0</v>
      </c>
      <c r="F417" s="286" t="s">
        <v>450</v>
      </c>
      <c r="G417" s="280"/>
      <c r="H417" s="280"/>
      <c r="I417" s="280"/>
      <c r="J417" s="280"/>
      <c r="K417" s="280"/>
      <c r="L417" s="280"/>
      <c r="M417" s="280"/>
      <c r="N417" s="280"/>
      <c r="O417" s="280"/>
      <c r="P417" s="280"/>
      <c r="Q417" s="280"/>
      <c r="R417" s="280"/>
      <c r="S417" s="280"/>
      <c r="T417" s="280"/>
      <c r="U417" s="280"/>
      <c r="V417" s="280"/>
      <c r="W417" s="280"/>
      <c r="X417" s="280"/>
      <c r="Y417" s="280"/>
      <c r="Z417" s="280"/>
    </row>
    <row r="418">
      <c r="A418" s="284" t="s">
        <v>897</v>
      </c>
      <c r="B418" s="285" t="s">
        <v>261</v>
      </c>
      <c r="C418" s="286">
        <v>0.0</v>
      </c>
      <c r="D418" s="286" t="s">
        <v>461</v>
      </c>
      <c r="E418" s="286">
        <v>0.0</v>
      </c>
      <c r="F418" s="286" t="s">
        <v>450</v>
      </c>
      <c r="G418" s="280"/>
      <c r="H418" s="280"/>
      <c r="I418" s="280"/>
      <c r="J418" s="280"/>
      <c r="K418" s="280"/>
      <c r="L418" s="280"/>
      <c r="M418" s="280"/>
      <c r="N418" s="280"/>
      <c r="O418" s="280"/>
      <c r="P418" s="280"/>
      <c r="Q418" s="280"/>
      <c r="R418" s="280"/>
      <c r="S418" s="280"/>
      <c r="T418" s="280"/>
      <c r="U418" s="280"/>
      <c r="V418" s="280"/>
      <c r="W418" s="280"/>
      <c r="X418" s="280"/>
      <c r="Y418" s="280"/>
      <c r="Z418" s="280"/>
    </row>
    <row r="419">
      <c r="A419" s="284" t="s">
        <v>898</v>
      </c>
      <c r="B419" s="285" t="s">
        <v>261</v>
      </c>
      <c r="C419" s="286">
        <v>0.0</v>
      </c>
      <c r="D419" s="286" t="s">
        <v>461</v>
      </c>
      <c r="E419" s="286">
        <v>0.0</v>
      </c>
      <c r="F419" s="286" t="s">
        <v>461</v>
      </c>
      <c r="G419" s="280"/>
      <c r="H419" s="280"/>
      <c r="I419" s="280"/>
      <c r="J419" s="280"/>
      <c r="K419" s="280"/>
      <c r="L419" s="280"/>
      <c r="M419" s="280"/>
      <c r="N419" s="280"/>
      <c r="O419" s="280"/>
      <c r="P419" s="280"/>
      <c r="Q419" s="280"/>
      <c r="R419" s="280"/>
      <c r="S419" s="280"/>
      <c r="T419" s="280"/>
      <c r="U419" s="280"/>
      <c r="V419" s="280"/>
      <c r="W419" s="280"/>
      <c r="X419" s="280"/>
      <c r="Y419" s="280"/>
      <c r="Z419" s="280"/>
    </row>
    <row r="420">
      <c r="A420" s="284" t="s">
        <v>899</v>
      </c>
      <c r="B420" s="285" t="s">
        <v>261</v>
      </c>
      <c r="C420" s="286">
        <v>0.0</v>
      </c>
      <c r="D420" s="286" t="s">
        <v>461</v>
      </c>
      <c r="E420" s="286">
        <v>0.0</v>
      </c>
      <c r="F420" s="286" t="s">
        <v>450</v>
      </c>
      <c r="G420" s="280"/>
      <c r="H420" s="280"/>
      <c r="I420" s="280"/>
      <c r="J420" s="280"/>
      <c r="K420" s="280"/>
      <c r="L420" s="280"/>
      <c r="M420" s="280"/>
      <c r="N420" s="280"/>
      <c r="O420" s="280"/>
      <c r="P420" s="280"/>
      <c r="Q420" s="280"/>
      <c r="R420" s="280"/>
      <c r="S420" s="280"/>
      <c r="T420" s="280"/>
      <c r="U420" s="280"/>
      <c r="V420" s="280"/>
      <c r="W420" s="280"/>
      <c r="X420" s="280"/>
      <c r="Y420" s="280"/>
      <c r="Z420" s="280"/>
    </row>
    <row r="421">
      <c r="A421" s="284" t="s">
        <v>900</v>
      </c>
      <c r="B421" s="285" t="s">
        <v>261</v>
      </c>
      <c r="C421" s="286" t="s">
        <v>450</v>
      </c>
      <c r="D421" s="286" t="s">
        <v>461</v>
      </c>
      <c r="E421" s="286">
        <v>0.0</v>
      </c>
      <c r="F421" s="286" t="s">
        <v>450</v>
      </c>
      <c r="G421" s="280"/>
      <c r="H421" s="280"/>
      <c r="I421" s="280"/>
      <c r="J421" s="280"/>
      <c r="K421" s="280"/>
      <c r="L421" s="280"/>
      <c r="M421" s="280"/>
      <c r="N421" s="280"/>
      <c r="O421" s="280"/>
      <c r="P421" s="280"/>
      <c r="Q421" s="280"/>
      <c r="R421" s="280"/>
      <c r="S421" s="280"/>
      <c r="T421" s="280"/>
      <c r="U421" s="280"/>
      <c r="V421" s="280"/>
      <c r="W421" s="280"/>
      <c r="X421" s="280"/>
      <c r="Y421" s="280"/>
      <c r="Z421" s="280"/>
    </row>
    <row r="422">
      <c r="A422" s="284" t="s">
        <v>901</v>
      </c>
      <c r="B422" s="285" t="s">
        <v>261</v>
      </c>
      <c r="C422" s="286">
        <v>0.0</v>
      </c>
      <c r="D422" s="286" t="s">
        <v>461</v>
      </c>
      <c r="E422" s="286">
        <v>0.0</v>
      </c>
      <c r="F422" s="286" t="s">
        <v>450</v>
      </c>
      <c r="G422" s="280"/>
      <c r="H422" s="280"/>
      <c r="I422" s="280"/>
      <c r="J422" s="280"/>
      <c r="K422" s="280"/>
      <c r="L422" s="280"/>
      <c r="M422" s="280"/>
      <c r="N422" s="280"/>
      <c r="O422" s="280"/>
      <c r="P422" s="280"/>
      <c r="Q422" s="280"/>
      <c r="R422" s="280"/>
      <c r="S422" s="280"/>
      <c r="T422" s="280"/>
      <c r="U422" s="280"/>
      <c r="V422" s="280"/>
      <c r="W422" s="280"/>
      <c r="X422" s="280"/>
      <c r="Y422" s="280"/>
      <c r="Z422" s="280"/>
    </row>
    <row r="423">
      <c r="A423" s="284" t="s">
        <v>902</v>
      </c>
      <c r="B423" s="285" t="s">
        <v>261</v>
      </c>
      <c r="C423" s="286">
        <v>0.0</v>
      </c>
      <c r="D423" s="286" t="s">
        <v>516</v>
      </c>
      <c r="E423" s="286">
        <v>0.0</v>
      </c>
      <c r="F423" s="286" t="s">
        <v>450</v>
      </c>
      <c r="G423" s="280"/>
      <c r="H423" s="280"/>
      <c r="I423" s="280"/>
      <c r="J423" s="280"/>
      <c r="K423" s="280"/>
      <c r="L423" s="280"/>
      <c r="M423" s="280"/>
      <c r="N423" s="280"/>
      <c r="O423" s="280"/>
      <c r="P423" s="280"/>
      <c r="Q423" s="280"/>
      <c r="R423" s="280"/>
      <c r="S423" s="280"/>
      <c r="T423" s="280"/>
      <c r="U423" s="280"/>
      <c r="V423" s="280"/>
      <c r="W423" s="280"/>
      <c r="X423" s="280"/>
      <c r="Y423" s="280"/>
      <c r="Z423" s="280"/>
    </row>
    <row r="424">
      <c r="A424" s="284" t="s">
        <v>903</v>
      </c>
      <c r="B424" s="285" t="s">
        <v>261</v>
      </c>
      <c r="C424" s="286">
        <v>0.0</v>
      </c>
      <c r="D424" s="286" t="s">
        <v>450</v>
      </c>
      <c r="E424" s="286">
        <v>0.0</v>
      </c>
      <c r="F424" s="286" t="s">
        <v>450</v>
      </c>
      <c r="G424" s="280"/>
      <c r="H424" s="280"/>
      <c r="I424" s="280"/>
      <c r="J424" s="280"/>
      <c r="K424" s="280"/>
      <c r="L424" s="280"/>
      <c r="M424" s="280"/>
      <c r="N424" s="280"/>
      <c r="O424" s="280"/>
      <c r="P424" s="280"/>
      <c r="Q424" s="280"/>
      <c r="R424" s="280"/>
      <c r="S424" s="280"/>
      <c r="T424" s="280"/>
      <c r="U424" s="280"/>
      <c r="V424" s="280"/>
      <c r="W424" s="280"/>
      <c r="X424" s="280"/>
      <c r="Y424" s="280"/>
      <c r="Z424" s="280"/>
    </row>
    <row r="425">
      <c r="A425" s="284" t="s">
        <v>904</v>
      </c>
      <c r="B425" s="285" t="s">
        <v>261</v>
      </c>
      <c r="C425" s="286">
        <v>0.0</v>
      </c>
      <c r="D425" s="286" t="s">
        <v>450</v>
      </c>
      <c r="E425" s="286">
        <v>0.0</v>
      </c>
      <c r="F425" s="286" t="s">
        <v>450</v>
      </c>
      <c r="G425" s="280"/>
      <c r="H425" s="280"/>
      <c r="I425" s="280"/>
      <c r="J425" s="280"/>
      <c r="K425" s="280"/>
      <c r="L425" s="280"/>
      <c r="M425" s="280"/>
      <c r="N425" s="280"/>
      <c r="O425" s="280"/>
      <c r="P425" s="280"/>
      <c r="Q425" s="280"/>
      <c r="R425" s="280"/>
      <c r="S425" s="280"/>
      <c r="T425" s="280"/>
      <c r="U425" s="280"/>
      <c r="V425" s="280"/>
      <c r="W425" s="280"/>
      <c r="X425" s="280"/>
      <c r="Y425" s="280"/>
      <c r="Z425" s="280"/>
    </row>
    <row r="426">
      <c r="A426" s="284" t="s">
        <v>905</v>
      </c>
      <c r="B426" s="285" t="s">
        <v>261</v>
      </c>
      <c r="C426" s="286" t="s">
        <v>450</v>
      </c>
      <c r="D426" s="286" t="s">
        <v>461</v>
      </c>
      <c r="E426" s="286">
        <v>0.0</v>
      </c>
      <c r="F426" s="286" t="s">
        <v>450</v>
      </c>
      <c r="G426" s="280"/>
      <c r="H426" s="280"/>
      <c r="I426" s="280"/>
      <c r="J426" s="280"/>
      <c r="K426" s="280"/>
      <c r="L426" s="280"/>
      <c r="M426" s="280"/>
      <c r="N426" s="280"/>
      <c r="O426" s="280"/>
      <c r="P426" s="280"/>
      <c r="Q426" s="280"/>
      <c r="R426" s="280"/>
      <c r="S426" s="280"/>
      <c r="T426" s="280"/>
      <c r="U426" s="280"/>
      <c r="V426" s="280"/>
      <c r="W426" s="280"/>
      <c r="X426" s="280"/>
      <c r="Y426" s="280"/>
      <c r="Z426" s="280"/>
    </row>
    <row r="427">
      <c r="A427" s="284" t="s">
        <v>906</v>
      </c>
      <c r="B427" s="285" t="s">
        <v>261</v>
      </c>
      <c r="C427" s="286" t="s">
        <v>450</v>
      </c>
      <c r="D427" s="286" t="s">
        <v>461</v>
      </c>
      <c r="E427" s="286">
        <v>0.0</v>
      </c>
      <c r="F427" s="286" t="s">
        <v>460</v>
      </c>
      <c r="G427" s="280"/>
      <c r="H427" s="280"/>
      <c r="I427" s="280"/>
      <c r="J427" s="280"/>
      <c r="K427" s="280"/>
      <c r="L427" s="280"/>
      <c r="M427" s="280"/>
      <c r="N427" s="280"/>
      <c r="O427" s="280"/>
      <c r="P427" s="280"/>
      <c r="Q427" s="280"/>
      <c r="R427" s="280"/>
      <c r="S427" s="280"/>
      <c r="T427" s="280"/>
      <c r="U427" s="280"/>
      <c r="V427" s="280"/>
      <c r="W427" s="280"/>
      <c r="X427" s="280"/>
      <c r="Y427" s="280"/>
      <c r="Z427" s="280"/>
    </row>
    <row r="428">
      <c r="A428" s="284" t="s">
        <v>907</v>
      </c>
      <c r="B428" s="285" t="s">
        <v>261</v>
      </c>
      <c r="C428" s="286">
        <v>0.0</v>
      </c>
      <c r="D428" s="286">
        <v>0.0</v>
      </c>
      <c r="E428" s="286">
        <v>0.0</v>
      </c>
      <c r="F428" s="286" t="s">
        <v>450</v>
      </c>
      <c r="G428" s="280"/>
      <c r="H428" s="280"/>
      <c r="I428" s="280"/>
      <c r="J428" s="280"/>
      <c r="K428" s="280"/>
      <c r="L428" s="280"/>
      <c r="M428" s="280"/>
      <c r="N428" s="280"/>
      <c r="O428" s="280"/>
      <c r="P428" s="280"/>
      <c r="Q428" s="280"/>
      <c r="R428" s="280"/>
      <c r="S428" s="280"/>
      <c r="T428" s="280"/>
      <c r="U428" s="280"/>
      <c r="V428" s="280"/>
      <c r="W428" s="280"/>
      <c r="X428" s="280"/>
      <c r="Y428" s="280"/>
      <c r="Z428" s="280"/>
    </row>
    <row r="429">
      <c r="A429" s="284" t="s">
        <v>908</v>
      </c>
      <c r="B429" s="285" t="s">
        <v>261</v>
      </c>
      <c r="C429" s="286">
        <v>0.0</v>
      </c>
      <c r="D429" s="286" t="s">
        <v>461</v>
      </c>
      <c r="E429" s="286">
        <v>0.0</v>
      </c>
      <c r="F429" s="286" t="s">
        <v>450</v>
      </c>
      <c r="G429" s="280"/>
      <c r="H429" s="280"/>
      <c r="I429" s="280"/>
      <c r="J429" s="280"/>
      <c r="K429" s="280"/>
      <c r="L429" s="280"/>
      <c r="M429" s="280"/>
      <c r="N429" s="280"/>
      <c r="O429" s="280"/>
      <c r="P429" s="280"/>
      <c r="Q429" s="280"/>
      <c r="R429" s="280"/>
      <c r="S429" s="280"/>
      <c r="T429" s="280"/>
      <c r="U429" s="280"/>
      <c r="V429" s="280"/>
      <c r="W429" s="280"/>
      <c r="X429" s="280"/>
      <c r="Y429" s="280"/>
      <c r="Z429" s="280"/>
    </row>
    <row r="430">
      <c r="A430" s="284" t="s">
        <v>909</v>
      </c>
      <c r="B430" s="285" t="s">
        <v>909</v>
      </c>
      <c r="C430" s="286">
        <v>0.0</v>
      </c>
      <c r="D430" s="286" t="s">
        <v>450</v>
      </c>
      <c r="E430" s="286" t="s">
        <v>450</v>
      </c>
      <c r="F430" s="286" t="s">
        <v>461</v>
      </c>
      <c r="G430" s="280"/>
      <c r="H430" s="280"/>
      <c r="I430" s="280"/>
      <c r="J430" s="280"/>
      <c r="K430" s="280"/>
      <c r="L430" s="280"/>
      <c r="M430" s="280"/>
      <c r="N430" s="280"/>
      <c r="O430" s="280"/>
      <c r="P430" s="280"/>
      <c r="Q430" s="280"/>
      <c r="R430" s="280"/>
      <c r="S430" s="280"/>
      <c r="T430" s="280"/>
      <c r="U430" s="280"/>
      <c r="V430" s="280"/>
      <c r="W430" s="280"/>
      <c r="X430" s="280"/>
      <c r="Y430" s="280"/>
      <c r="Z430" s="280"/>
    </row>
    <row r="431">
      <c r="A431" s="284" t="s">
        <v>910</v>
      </c>
      <c r="B431" s="285" t="s">
        <v>263</v>
      </c>
      <c r="C431" s="286" t="s">
        <v>450</v>
      </c>
      <c r="D431" s="286" t="s">
        <v>461</v>
      </c>
      <c r="E431" s="286">
        <v>0.0</v>
      </c>
      <c r="F431" s="286" t="s">
        <v>450</v>
      </c>
      <c r="G431" s="280"/>
      <c r="H431" s="280"/>
      <c r="I431" s="280"/>
      <c r="J431" s="280"/>
      <c r="K431" s="280"/>
      <c r="L431" s="280"/>
      <c r="M431" s="280"/>
      <c r="N431" s="280"/>
      <c r="O431" s="280"/>
      <c r="P431" s="280"/>
      <c r="Q431" s="280"/>
      <c r="R431" s="280"/>
      <c r="S431" s="280"/>
      <c r="T431" s="280"/>
      <c r="U431" s="280"/>
      <c r="V431" s="280"/>
      <c r="W431" s="280"/>
      <c r="X431" s="280"/>
      <c r="Y431" s="280"/>
      <c r="Z431" s="280"/>
    </row>
    <row r="432">
      <c r="A432" s="284" t="s">
        <v>911</v>
      </c>
      <c r="B432" s="285" t="s">
        <v>263</v>
      </c>
      <c r="C432" s="286">
        <v>0.0</v>
      </c>
      <c r="D432" s="286" t="s">
        <v>456</v>
      </c>
      <c r="E432" s="286" t="s">
        <v>450</v>
      </c>
      <c r="F432" s="286" t="s">
        <v>461</v>
      </c>
      <c r="G432" s="280"/>
      <c r="H432" s="280"/>
      <c r="I432" s="280"/>
      <c r="J432" s="280"/>
      <c r="K432" s="280"/>
      <c r="L432" s="280"/>
      <c r="M432" s="280"/>
      <c r="N432" s="280"/>
      <c r="O432" s="280"/>
      <c r="P432" s="280"/>
      <c r="Q432" s="280"/>
      <c r="R432" s="280"/>
      <c r="S432" s="280"/>
      <c r="T432" s="280"/>
      <c r="U432" s="280"/>
      <c r="V432" s="280"/>
      <c r="W432" s="280"/>
      <c r="X432" s="280"/>
      <c r="Y432" s="280"/>
      <c r="Z432" s="280"/>
    </row>
    <row r="433">
      <c r="A433" s="284" t="s">
        <v>912</v>
      </c>
      <c r="B433" s="285" t="s">
        <v>263</v>
      </c>
      <c r="C433" s="286">
        <v>0.0</v>
      </c>
      <c r="D433" s="286" t="s">
        <v>461</v>
      </c>
      <c r="E433" s="286">
        <v>0.0</v>
      </c>
      <c r="F433" s="286" t="s">
        <v>450</v>
      </c>
      <c r="G433" s="280"/>
      <c r="H433" s="280"/>
      <c r="I433" s="280"/>
      <c r="J433" s="280"/>
      <c r="K433" s="280"/>
      <c r="L433" s="280"/>
      <c r="M433" s="280"/>
      <c r="N433" s="280"/>
      <c r="O433" s="280"/>
      <c r="P433" s="280"/>
      <c r="Q433" s="280"/>
      <c r="R433" s="280"/>
      <c r="S433" s="280"/>
      <c r="T433" s="280"/>
      <c r="U433" s="280"/>
      <c r="V433" s="280"/>
      <c r="W433" s="280"/>
      <c r="X433" s="280"/>
      <c r="Y433" s="280"/>
      <c r="Z433" s="280"/>
    </row>
    <row r="434">
      <c r="A434" s="284" t="s">
        <v>913</v>
      </c>
      <c r="B434" s="285" t="s">
        <v>263</v>
      </c>
      <c r="C434" s="286">
        <v>0.0</v>
      </c>
      <c r="D434" s="286" t="s">
        <v>450</v>
      </c>
      <c r="E434" s="286">
        <v>0.0</v>
      </c>
      <c r="F434" s="286" t="s">
        <v>450</v>
      </c>
      <c r="G434" s="280"/>
      <c r="H434" s="280"/>
      <c r="I434" s="280"/>
      <c r="J434" s="280"/>
      <c r="K434" s="280"/>
      <c r="L434" s="280"/>
      <c r="M434" s="280"/>
      <c r="N434" s="280"/>
      <c r="O434" s="280"/>
      <c r="P434" s="280"/>
      <c r="Q434" s="280"/>
      <c r="R434" s="280"/>
      <c r="S434" s="280"/>
      <c r="T434" s="280"/>
      <c r="U434" s="280"/>
      <c r="V434" s="280"/>
      <c r="W434" s="280"/>
      <c r="X434" s="280"/>
      <c r="Y434" s="280"/>
      <c r="Z434" s="280"/>
    </row>
    <row r="435">
      <c r="A435" s="284" t="s">
        <v>914</v>
      </c>
      <c r="B435" s="285" t="s">
        <v>263</v>
      </c>
      <c r="C435" s="286">
        <v>0.0</v>
      </c>
      <c r="D435" s="286" t="s">
        <v>450</v>
      </c>
      <c r="E435" s="286">
        <v>0.0</v>
      </c>
      <c r="F435" s="286" t="s">
        <v>450</v>
      </c>
      <c r="G435" s="280"/>
      <c r="H435" s="280"/>
      <c r="I435" s="280"/>
      <c r="J435" s="280"/>
      <c r="K435" s="280"/>
      <c r="L435" s="280"/>
      <c r="M435" s="280"/>
      <c r="N435" s="280"/>
      <c r="O435" s="280"/>
      <c r="P435" s="280"/>
      <c r="Q435" s="280"/>
      <c r="R435" s="280"/>
      <c r="S435" s="280"/>
      <c r="T435" s="280"/>
      <c r="U435" s="280"/>
      <c r="V435" s="280"/>
      <c r="W435" s="280"/>
      <c r="X435" s="280"/>
      <c r="Y435" s="280"/>
      <c r="Z435" s="280"/>
    </row>
    <row r="436">
      <c r="A436" s="284" t="s">
        <v>915</v>
      </c>
      <c r="B436" s="285" t="s">
        <v>263</v>
      </c>
      <c r="C436" s="286">
        <v>0.0</v>
      </c>
      <c r="D436" s="286" t="s">
        <v>456</v>
      </c>
      <c r="E436" s="286">
        <v>0.0</v>
      </c>
      <c r="F436" s="286" t="s">
        <v>461</v>
      </c>
      <c r="G436" s="280"/>
      <c r="H436" s="280"/>
      <c r="I436" s="280"/>
      <c r="J436" s="280"/>
      <c r="K436" s="280"/>
      <c r="L436" s="280"/>
      <c r="M436" s="280"/>
      <c r="N436" s="280"/>
      <c r="O436" s="280"/>
      <c r="P436" s="280"/>
      <c r="Q436" s="280"/>
      <c r="R436" s="280"/>
      <c r="S436" s="280"/>
      <c r="T436" s="280"/>
      <c r="U436" s="280"/>
      <c r="V436" s="280"/>
      <c r="W436" s="280"/>
      <c r="X436" s="280"/>
      <c r="Y436" s="280"/>
      <c r="Z436" s="280"/>
    </row>
    <row r="437">
      <c r="A437" s="284" t="s">
        <v>916</v>
      </c>
      <c r="B437" s="285" t="s">
        <v>264</v>
      </c>
      <c r="C437" s="286" t="s">
        <v>450</v>
      </c>
      <c r="D437" s="286" t="s">
        <v>461</v>
      </c>
      <c r="E437" s="286">
        <v>0.0</v>
      </c>
      <c r="F437" s="286" t="s">
        <v>461</v>
      </c>
      <c r="G437" s="280"/>
      <c r="H437" s="280"/>
      <c r="I437" s="280"/>
      <c r="J437" s="280"/>
      <c r="K437" s="280"/>
      <c r="L437" s="280"/>
      <c r="M437" s="280"/>
      <c r="N437" s="280"/>
      <c r="O437" s="280"/>
      <c r="P437" s="280"/>
      <c r="Q437" s="280"/>
      <c r="R437" s="280"/>
      <c r="S437" s="280"/>
      <c r="T437" s="280"/>
      <c r="U437" s="280"/>
      <c r="V437" s="280"/>
      <c r="W437" s="280"/>
      <c r="X437" s="280"/>
      <c r="Y437" s="280"/>
      <c r="Z437" s="280"/>
    </row>
    <row r="438">
      <c r="A438" s="284" t="s">
        <v>917</v>
      </c>
      <c r="B438" s="285" t="s">
        <v>264</v>
      </c>
      <c r="C438" s="286">
        <v>0.0</v>
      </c>
      <c r="D438" s="286" t="s">
        <v>460</v>
      </c>
      <c r="E438" s="286" t="s">
        <v>450</v>
      </c>
      <c r="F438" s="286" t="s">
        <v>450</v>
      </c>
      <c r="G438" s="280"/>
      <c r="H438" s="280"/>
      <c r="I438" s="280"/>
      <c r="J438" s="280"/>
      <c r="K438" s="280"/>
      <c r="L438" s="280"/>
      <c r="M438" s="280"/>
      <c r="N438" s="280"/>
      <c r="O438" s="280"/>
      <c r="P438" s="280"/>
      <c r="Q438" s="280"/>
      <c r="R438" s="280"/>
      <c r="S438" s="280"/>
      <c r="T438" s="280"/>
      <c r="U438" s="280"/>
      <c r="V438" s="280"/>
      <c r="W438" s="280"/>
      <c r="X438" s="280"/>
      <c r="Y438" s="280"/>
      <c r="Z438" s="280"/>
    </row>
    <row r="439">
      <c r="A439" s="284" t="s">
        <v>918</v>
      </c>
      <c r="B439" s="285" t="s">
        <v>264</v>
      </c>
      <c r="C439" s="286">
        <v>0.0</v>
      </c>
      <c r="D439" s="286" t="s">
        <v>454</v>
      </c>
      <c r="E439" s="286" t="s">
        <v>450</v>
      </c>
      <c r="F439" s="286" t="s">
        <v>461</v>
      </c>
      <c r="G439" s="280"/>
      <c r="H439" s="280"/>
      <c r="I439" s="280"/>
      <c r="J439" s="280"/>
      <c r="K439" s="280"/>
      <c r="L439" s="280"/>
      <c r="M439" s="280"/>
      <c r="N439" s="280"/>
      <c r="O439" s="280"/>
      <c r="P439" s="280"/>
      <c r="Q439" s="280"/>
      <c r="R439" s="280"/>
      <c r="S439" s="280"/>
      <c r="T439" s="280"/>
      <c r="U439" s="280"/>
      <c r="V439" s="280"/>
      <c r="W439" s="280"/>
      <c r="X439" s="280"/>
      <c r="Y439" s="280"/>
      <c r="Z439" s="280"/>
    </row>
    <row r="440">
      <c r="A440" s="284" t="s">
        <v>919</v>
      </c>
      <c r="B440" s="285" t="s">
        <v>264</v>
      </c>
      <c r="C440" s="286" t="s">
        <v>450</v>
      </c>
      <c r="D440" s="286" t="s">
        <v>482</v>
      </c>
      <c r="E440" s="286">
        <v>0.0</v>
      </c>
      <c r="F440" s="286" t="s">
        <v>454</v>
      </c>
      <c r="G440" s="280"/>
      <c r="H440" s="280"/>
      <c r="I440" s="280"/>
      <c r="J440" s="280"/>
      <c r="K440" s="280"/>
      <c r="L440" s="280"/>
      <c r="M440" s="280"/>
      <c r="N440" s="280"/>
      <c r="O440" s="280"/>
      <c r="P440" s="280"/>
      <c r="Q440" s="280"/>
      <c r="R440" s="280"/>
      <c r="S440" s="280"/>
      <c r="T440" s="280"/>
      <c r="U440" s="280"/>
      <c r="V440" s="280"/>
      <c r="W440" s="280"/>
      <c r="X440" s="280"/>
      <c r="Y440" s="280"/>
      <c r="Z440" s="280"/>
    </row>
    <row r="441">
      <c r="A441" s="284" t="s">
        <v>920</v>
      </c>
      <c r="B441" s="285" t="s">
        <v>264</v>
      </c>
      <c r="C441" s="286">
        <v>0.0</v>
      </c>
      <c r="D441" s="286" t="s">
        <v>450</v>
      </c>
      <c r="E441" s="286">
        <v>0.0</v>
      </c>
      <c r="F441" s="286">
        <v>0.0</v>
      </c>
      <c r="G441" s="280"/>
      <c r="H441" s="280"/>
      <c r="I441" s="280"/>
      <c r="J441" s="280"/>
      <c r="K441" s="280"/>
      <c r="L441" s="280"/>
      <c r="M441" s="280"/>
      <c r="N441" s="280"/>
      <c r="O441" s="280"/>
      <c r="P441" s="280"/>
      <c r="Q441" s="280"/>
      <c r="R441" s="280"/>
      <c r="S441" s="280"/>
      <c r="T441" s="280"/>
      <c r="U441" s="280"/>
      <c r="V441" s="280"/>
      <c r="W441" s="280"/>
      <c r="X441" s="280"/>
      <c r="Y441" s="280"/>
      <c r="Z441" s="280"/>
    </row>
    <row r="442">
      <c r="A442" s="284" t="s">
        <v>921</v>
      </c>
      <c r="B442" s="285" t="s">
        <v>264</v>
      </c>
      <c r="C442" s="286" t="s">
        <v>461</v>
      </c>
      <c r="D442" s="286" t="s">
        <v>482</v>
      </c>
      <c r="E442" s="286">
        <v>0.0</v>
      </c>
      <c r="F442" s="286" t="s">
        <v>454</v>
      </c>
      <c r="G442" s="280"/>
      <c r="H442" s="280"/>
      <c r="I442" s="280"/>
      <c r="J442" s="280"/>
      <c r="K442" s="280"/>
      <c r="L442" s="280"/>
      <c r="M442" s="280"/>
      <c r="N442" s="280"/>
      <c r="O442" s="280"/>
      <c r="P442" s="280"/>
      <c r="Q442" s="280"/>
      <c r="R442" s="280"/>
      <c r="S442" s="280"/>
      <c r="T442" s="280"/>
      <c r="U442" s="280"/>
      <c r="V442" s="280"/>
      <c r="W442" s="280"/>
      <c r="X442" s="280"/>
      <c r="Y442" s="280"/>
      <c r="Z442" s="280"/>
    </row>
    <row r="443">
      <c r="A443" s="284" t="s">
        <v>922</v>
      </c>
      <c r="B443" s="285" t="s">
        <v>265</v>
      </c>
      <c r="C443" s="286">
        <v>0.0</v>
      </c>
      <c r="D443" s="286" t="s">
        <v>461</v>
      </c>
      <c r="E443" s="286" t="s">
        <v>450</v>
      </c>
      <c r="F443" s="286" t="s">
        <v>461</v>
      </c>
      <c r="G443" s="280"/>
      <c r="H443" s="280"/>
      <c r="I443" s="280"/>
      <c r="J443" s="280"/>
      <c r="K443" s="280"/>
      <c r="L443" s="280"/>
      <c r="M443" s="280"/>
      <c r="N443" s="280"/>
      <c r="O443" s="280"/>
      <c r="P443" s="280"/>
      <c r="Q443" s="280"/>
      <c r="R443" s="280"/>
      <c r="S443" s="280"/>
      <c r="T443" s="280"/>
      <c r="U443" s="280"/>
      <c r="V443" s="280"/>
      <c r="W443" s="280"/>
      <c r="X443" s="280"/>
      <c r="Y443" s="280"/>
      <c r="Z443" s="280"/>
    </row>
    <row r="444">
      <c r="A444" s="284" t="s">
        <v>923</v>
      </c>
      <c r="B444" s="285" t="s">
        <v>265</v>
      </c>
      <c r="C444" s="286" t="s">
        <v>450</v>
      </c>
      <c r="D444" s="286" t="s">
        <v>461</v>
      </c>
      <c r="E444" s="286">
        <v>0.0</v>
      </c>
      <c r="F444" s="286" t="s">
        <v>450</v>
      </c>
      <c r="G444" s="280"/>
      <c r="H444" s="280"/>
      <c r="I444" s="280"/>
      <c r="J444" s="280"/>
      <c r="K444" s="280"/>
      <c r="L444" s="280"/>
      <c r="M444" s="280"/>
      <c r="N444" s="280"/>
      <c r="O444" s="280"/>
      <c r="P444" s="280"/>
      <c r="Q444" s="280"/>
      <c r="R444" s="280"/>
      <c r="S444" s="280"/>
      <c r="T444" s="280"/>
      <c r="U444" s="280"/>
      <c r="V444" s="280"/>
      <c r="W444" s="280"/>
      <c r="X444" s="280"/>
      <c r="Y444" s="280"/>
      <c r="Z444" s="280"/>
    </row>
    <row r="445">
      <c r="A445" s="284" t="s">
        <v>924</v>
      </c>
      <c r="B445" s="285" t="s">
        <v>265</v>
      </c>
      <c r="C445" s="286">
        <v>0.0</v>
      </c>
      <c r="D445" s="286" t="s">
        <v>461</v>
      </c>
      <c r="E445" s="286">
        <v>0.0</v>
      </c>
      <c r="F445" s="286" t="s">
        <v>450</v>
      </c>
      <c r="G445" s="280"/>
      <c r="H445" s="280"/>
      <c r="I445" s="280"/>
      <c r="J445" s="280"/>
      <c r="K445" s="280"/>
      <c r="L445" s="280"/>
      <c r="M445" s="280"/>
      <c r="N445" s="280"/>
      <c r="O445" s="280"/>
      <c r="P445" s="280"/>
      <c r="Q445" s="280"/>
      <c r="R445" s="280"/>
      <c r="S445" s="280"/>
      <c r="T445" s="280"/>
      <c r="U445" s="280"/>
      <c r="V445" s="280"/>
      <c r="W445" s="280"/>
      <c r="X445" s="280"/>
      <c r="Y445" s="280"/>
      <c r="Z445" s="280"/>
    </row>
    <row r="446">
      <c r="A446" s="284" t="s">
        <v>925</v>
      </c>
      <c r="B446" s="285" t="s">
        <v>265</v>
      </c>
      <c r="C446" s="286">
        <v>0.0</v>
      </c>
      <c r="D446" s="286" t="s">
        <v>450</v>
      </c>
      <c r="E446" s="286">
        <v>0.0</v>
      </c>
      <c r="F446" s="286" t="s">
        <v>450</v>
      </c>
      <c r="G446" s="280"/>
      <c r="H446" s="280"/>
      <c r="I446" s="280"/>
      <c r="J446" s="280"/>
      <c r="K446" s="280"/>
      <c r="L446" s="280"/>
      <c r="M446" s="280"/>
      <c r="N446" s="280"/>
      <c r="O446" s="280"/>
      <c r="P446" s="280"/>
      <c r="Q446" s="280"/>
      <c r="R446" s="280"/>
      <c r="S446" s="280"/>
      <c r="T446" s="280"/>
      <c r="U446" s="280"/>
      <c r="V446" s="280"/>
      <c r="W446" s="280"/>
      <c r="X446" s="280"/>
      <c r="Y446" s="280"/>
      <c r="Z446" s="280"/>
    </row>
    <row r="447">
      <c r="A447" s="284" t="s">
        <v>926</v>
      </c>
      <c r="B447" s="285" t="s">
        <v>265</v>
      </c>
      <c r="C447" s="286">
        <v>0.0</v>
      </c>
      <c r="D447" s="286" t="s">
        <v>454</v>
      </c>
      <c r="E447" s="286">
        <v>0.0</v>
      </c>
      <c r="F447" s="286" t="s">
        <v>450</v>
      </c>
      <c r="G447" s="280"/>
      <c r="H447" s="280"/>
      <c r="I447" s="280"/>
      <c r="J447" s="280"/>
      <c r="K447" s="280"/>
      <c r="L447" s="280"/>
      <c r="M447" s="280"/>
      <c r="N447" s="280"/>
      <c r="O447" s="280"/>
      <c r="P447" s="280"/>
      <c r="Q447" s="280"/>
      <c r="R447" s="280"/>
      <c r="S447" s="280"/>
      <c r="T447" s="280"/>
      <c r="U447" s="280"/>
      <c r="V447" s="280"/>
      <c r="W447" s="280"/>
      <c r="X447" s="280"/>
      <c r="Y447" s="280"/>
      <c r="Z447" s="280"/>
    </row>
    <row r="448">
      <c r="A448" s="284" t="s">
        <v>927</v>
      </c>
      <c r="B448" s="285" t="s">
        <v>265</v>
      </c>
      <c r="C448" s="286" t="s">
        <v>450</v>
      </c>
      <c r="D448" s="286" t="s">
        <v>461</v>
      </c>
      <c r="E448" s="286" t="s">
        <v>450</v>
      </c>
      <c r="F448" s="286" t="s">
        <v>461</v>
      </c>
      <c r="G448" s="280"/>
      <c r="H448" s="280"/>
      <c r="I448" s="280"/>
      <c r="J448" s="280"/>
      <c r="K448" s="280"/>
      <c r="L448" s="280"/>
      <c r="M448" s="280"/>
      <c r="N448" s="280"/>
      <c r="O448" s="280"/>
      <c r="P448" s="280"/>
      <c r="Q448" s="280"/>
      <c r="R448" s="280"/>
      <c r="S448" s="280"/>
      <c r="T448" s="280"/>
      <c r="U448" s="280"/>
      <c r="V448" s="280"/>
      <c r="W448" s="280"/>
      <c r="X448" s="280"/>
      <c r="Y448" s="280"/>
      <c r="Z448" s="280"/>
    </row>
    <row r="449">
      <c r="A449" s="284" t="s">
        <v>928</v>
      </c>
      <c r="B449" s="285" t="s">
        <v>265</v>
      </c>
      <c r="C449" s="286">
        <v>0.0</v>
      </c>
      <c r="D449" s="286" t="s">
        <v>450</v>
      </c>
      <c r="E449" s="286">
        <v>0.0</v>
      </c>
      <c r="F449" s="286">
        <v>0.0</v>
      </c>
      <c r="G449" s="280"/>
      <c r="H449" s="280"/>
      <c r="I449" s="280"/>
      <c r="J449" s="280"/>
      <c r="K449" s="280"/>
      <c r="L449" s="280"/>
      <c r="M449" s="280"/>
      <c r="N449" s="280"/>
      <c r="O449" s="280"/>
      <c r="P449" s="280"/>
      <c r="Q449" s="280"/>
      <c r="R449" s="280"/>
      <c r="S449" s="280"/>
      <c r="T449" s="280"/>
      <c r="U449" s="280"/>
      <c r="V449" s="280"/>
      <c r="W449" s="280"/>
      <c r="X449" s="280"/>
      <c r="Y449" s="280"/>
      <c r="Z449" s="280"/>
    </row>
    <row r="450">
      <c r="A450" s="284" t="s">
        <v>929</v>
      </c>
      <c r="B450" s="285" t="s">
        <v>265</v>
      </c>
      <c r="C450" s="286" t="s">
        <v>450</v>
      </c>
      <c r="D450" s="286" t="s">
        <v>454</v>
      </c>
      <c r="E450" s="286" t="s">
        <v>450</v>
      </c>
      <c r="F450" s="286" t="s">
        <v>460</v>
      </c>
      <c r="G450" s="280"/>
      <c r="H450" s="280"/>
      <c r="I450" s="280"/>
      <c r="J450" s="280"/>
      <c r="K450" s="280"/>
      <c r="L450" s="280"/>
      <c r="M450" s="280"/>
      <c r="N450" s="280"/>
      <c r="O450" s="280"/>
      <c r="P450" s="280"/>
      <c r="Q450" s="280"/>
      <c r="R450" s="280"/>
      <c r="S450" s="280"/>
      <c r="T450" s="280"/>
      <c r="U450" s="280"/>
      <c r="V450" s="280"/>
      <c r="W450" s="280"/>
      <c r="X450" s="280"/>
      <c r="Y450" s="280"/>
      <c r="Z450" s="280"/>
    </row>
    <row r="451">
      <c r="A451" s="284" t="s">
        <v>930</v>
      </c>
      <c r="B451" s="285" t="s">
        <v>265</v>
      </c>
      <c r="C451" s="286">
        <v>0.0</v>
      </c>
      <c r="D451" s="286" t="s">
        <v>461</v>
      </c>
      <c r="E451" s="286" t="s">
        <v>450</v>
      </c>
      <c r="F451" s="286" t="s">
        <v>460</v>
      </c>
      <c r="G451" s="280"/>
      <c r="H451" s="280"/>
      <c r="I451" s="280"/>
      <c r="J451" s="280"/>
      <c r="K451" s="280"/>
      <c r="L451" s="280"/>
      <c r="M451" s="280"/>
      <c r="N451" s="280"/>
      <c r="O451" s="280"/>
      <c r="P451" s="280"/>
      <c r="Q451" s="280"/>
      <c r="R451" s="280"/>
      <c r="S451" s="280"/>
      <c r="T451" s="280"/>
      <c r="U451" s="280"/>
      <c r="V451" s="280"/>
      <c r="W451" s="280"/>
      <c r="X451" s="280"/>
      <c r="Y451" s="280"/>
      <c r="Z451" s="280"/>
    </row>
    <row r="452">
      <c r="A452" s="284" t="s">
        <v>931</v>
      </c>
      <c r="B452" s="285" t="s">
        <v>265</v>
      </c>
      <c r="C452" s="286" t="s">
        <v>450</v>
      </c>
      <c r="D452" s="286" t="s">
        <v>461</v>
      </c>
      <c r="E452" s="286">
        <v>0.0</v>
      </c>
      <c r="F452" s="286" t="s">
        <v>461</v>
      </c>
      <c r="G452" s="280"/>
      <c r="H452" s="280"/>
      <c r="I452" s="280"/>
      <c r="J452" s="280"/>
      <c r="K452" s="280"/>
      <c r="L452" s="280"/>
      <c r="M452" s="280"/>
      <c r="N452" s="280"/>
      <c r="O452" s="280"/>
      <c r="P452" s="280"/>
      <c r="Q452" s="280"/>
      <c r="R452" s="280"/>
      <c r="S452" s="280"/>
      <c r="T452" s="280"/>
      <c r="U452" s="280"/>
      <c r="V452" s="280"/>
      <c r="W452" s="280"/>
      <c r="X452" s="280"/>
      <c r="Y452" s="280"/>
      <c r="Z452" s="280"/>
    </row>
    <row r="453">
      <c r="A453" s="284" t="s">
        <v>932</v>
      </c>
      <c r="B453" s="285" t="s">
        <v>933</v>
      </c>
      <c r="C453" s="286" t="s">
        <v>450</v>
      </c>
      <c r="D453" s="286" t="s">
        <v>934</v>
      </c>
      <c r="E453" s="286" t="s">
        <v>450</v>
      </c>
      <c r="F453" s="286" t="s">
        <v>935</v>
      </c>
      <c r="G453" s="280"/>
      <c r="H453" s="280"/>
      <c r="I453" s="280"/>
      <c r="J453" s="280"/>
      <c r="K453" s="280"/>
      <c r="L453" s="280"/>
      <c r="M453" s="280"/>
      <c r="N453" s="280"/>
      <c r="O453" s="280"/>
      <c r="P453" s="280"/>
      <c r="Q453" s="280"/>
      <c r="R453" s="280"/>
      <c r="S453" s="280"/>
      <c r="T453" s="280"/>
      <c r="U453" s="280"/>
      <c r="V453" s="280"/>
      <c r="W453" s="280"/>
      <c r="X453" s="280"/>
      <c r="Y453" s="280"/>
      <c r="Z453" s="280"/>
    </row>
    <row r="454">
      <c r="A454" s="288"/>
      <c r="B454" s="289" t="s">
        <v>936</v>
      </c>
      <c r="C454" s="290" t="s">
        <v>937</v>
      </c>
      <c r="D454" s="290" t="s">
        <v>938</v>
      </c>
      <c r="E454" s="290" t="s">
        <v>674</v>
      </c>
      <c r="F454" s="290" t="s">
        <v>939</v>
      </c>
      <c r="G454" s="280"/>
      <c r="H454" s="280"/>
      <c r="I454" s="280"/>
      <c r="J454" s="280"/>
      <c r="K454" s="280"/>
      <c r="L454" s="280"/>
      <c r="M454" s="280"/>
      <c r="N454" s="280"/>
      <c r="O454" s="280"/>
      <c r="P454" s="280"/>
      <c r="Q454" s="280"/>
      <c r="R454" s="280"/>
      <c r="S454" s="280"/>
      <c r="T454" s="280"/>
      <c r="U454" s="280"/>
      <c r="V454" s="280"/>
      <c r="W454" s="280"/>
      <c r="X454" s="280"/>
      <c r="Y454" s="280"/>
      <c r="Z454" s="280"/>
    </row>
    <row r="455">
      <c r="A455" s="291" t="s">
        <v>940</v>
      </c>
      <c r="B455" s="111"/>
      <c r="C455" s="111"/>
      <c r="D455" s="111"/>
      <c r="E455" s="111"/>
      <c r="F455" s="41"/>
      <c r="G455" s="280"/>
      <c r="H455" s="280"/>
      <c r="I455" s="280"/>
      <c r="J455" s="280"/>
      <c r="K455" s="280"/>
      <c r="L455" s="280"/>
      <c r="M455" s="280"/>
      <c r="N455" s="280"/>
      <c r="O455" s="280"/>
      <c r="P455" s="280"/>
      <c r="Q455" s="280"/>
      <c r="R455" s="280"/>
      <c r="S455" s="280"/>
      <c r="T455" s="280"/>
      <c r="U455" s="280"/>
      <c r="V455" s="280"/>
      <c r="W455" s="280"/>
      <c r="X455" s="280"/>
      <c r="Y455" s="280"/>
      <c r="Z455" s="280"/>
    </row>
    <row r="456">
      <c r="A456" s="284" t="s">
        <v>941</v>
      </c>
      <c r="B456" s="285" t="s">
        <v>449</v>
      </c>
      <c r="C456" s="286">
        <v>0.0</v>
      </c>
      <c r="D456" s="286" t="s">
        <v>450</v>
      </c>
      <c r="E456" s="286">
        <v>0.0</v>
      </c>
      <c r="F456" s="286">
        <v>0.0</v>
      </c>
      <c r="G456" s="280"/>
      <c r="H456" s="280"/>
      <c r="I456" s="280"/>
      <c r="J456" s="280"/>
      <c r="K456" s="280"/>
      <c r="L456" s="280"/>
      <c r="M456" s="280"/>
      <c r="N456" s="280"/>
      <c r="O456" s="280"/>
      <c r="P456" s="280"/>
      <c r="Q456" s="280"/>
      <c r="R456" s="280"/>
      <c r="S456" s="280"/>
      <c r="T456" s="280"/>
      <c r="U456" s="280"/>
      <c r="V456" s="280"/>
      <c r="W456" s="280"/>
      <c r="X456" s="280"/>
      <c r="Y456" s="280"/>
      <c r="Z456" s="280"/>
    </row>
    <row r="457">
      <c r="A457" s="284" t="s">
        <v>451</v>
      </c>
      <c r="B457" s="285" t="s">
        <v>449</v>
      </c>
      <c r="C457" s="286">
        <v>0.0</v>
      </c>
      <c r="D457" s="286" t="s">
        <v>460</v>
      </c>
      <c r="E457" s="286">
        <v>0.0</v>
      </c>
      <c r="F457" s="286" t="s">
        <v>450</v>
      </c>
      <c r="G457" s="280"/>
      <c r="H457" s="280"/>
      <c r="I457" s="280"/>
      <c r="J457" s="280"/>
      <c r="K457" s="280"/>
      <c r="L457" s="280"/>
      <c r="M457" s="280"/>
      <c r="N457" s="280"/>
      <c r="O457" s="280"/>
      <c r="P457" s="280"/>
      <c r="Q457" s="280"/>
      <c r="R457" s="280"/>
      <c r="S457" s="280"/>
      <c r="T457" s="280"/>
      <c r="U457" s="280"/>
      <c r="V457" s="280"/>
      <c r="W457" s="280"/>
      <c r="X457" s="280"/>
      <c r="Y457" s="280"/>
      <c r="Z457" s="280"/>
    </row>
    <row r="458">
      <c r="A458" s="284" t="s">
        <v>452</v>
      </c>
      <c r="B458" s="285" t="s">
        <v>449</v>
      </c>
      <c r="C458" s="286">
        <v>0.0</v>
      </c>
      <c r="D458" s="286" t="s">
        <v>461</v>
      </c>
      <c r="E458" s="286">
        <v>0.0</v>
      </c>
      <c r="F458" s="286" t="s">
        <v>450</v>
      </c>
      <c r="G458" s="280"/>
      <c r="H458" s="280"/>
      <c r="I458" s="280"/>
      <c r="J458" s="280"/>
      <c r="K458" s="280"/>
      <c r="L458" s="280"/>
      <c r="M458" s="280"/>
      <c r="N458" s="280"/>
      <c r="O458" s="280"/>
      <c r="P458" s="280"/>
      <c r="Q458" s="280"/>
      <c r="R458" s="280"/>
      <c r="S458" s="280"/>
      <c r="T458" s="280"/>
      <c r="U458" s="280"/>
      <c r="V458" s="280"/>
      <c r="W458" s="280"/>
      <c r="X458" s="280"/>
      <c r="Y458" s="280"/>
      <c r="Z458" s="280"/>
    </row>
    <row r="459">
      <c r="A459" s="284" t="s">
        <v>453</v>
      </c>
      <c r="B459" s="285" t="s">
        <v>449</v>
      </c>
      <c r="C459" s="286">
        <v>0.0</v>
      </c>
      <c r="D459" s="286" t="s">
        <v>942</v>
      </c>
      <c r="E459" s="286">
        <v>0.0</v>
      </c>
      <c r="F459" s="286" t="s">
        <v>461</v>
      </c>
      <c r="G459" s="280"/>
      <c r="H459" s="280"/>
      <c r="I459" s="280"/>
      <c r="J459" s="280"/>
      <c r="K459" s="280"/>
      <c r="L459" s="280"/>
      <c r="M459" s="280"/>
      <c r="N459" s="280"/>
      <c r="O459" s="280"/>
      <c r="P459" s="280"/>
      <c r="Q459" s="280"/>
      <c r="R459" s="280"/>
      <c r="S459" s="280"/>
      <c r="T459" s="280"/>
      <c r="U459" s="280"/>
      <c r="V459" s="280"/>
      <c r="W459" s="280"/>
      <c r="X459" s="280"/>
      <c r="Y459" s="280"/>
      <c r="Z459" s="280"/>
    </row>
    <row r="460">
      <c r="A460" s="284" t="s">
        <v>455</v>
      </c>
      <c r="B460" s="285" t="s">
        <v>227</v>
      </c>
      <c r="C460" s="286">
        <v>0.0</v>
      </c>
      <c r="D460" s="286" t="s">
        <v>494</v>
      </c>
      <c r="E460" s="286">
        <v>0.0</v>
      </c>
      <c r="F460" s="286" t="s">
        <v>450</v>
      </c>
      <c r="G460" s="280"/>
      <c r="H460" s="280"/>
      <c r="I460" s="280"/>
      <c r="J460" s="280"/>
      <c r="K460" s="280"/>
      <c r="L460" s="280"/>
      <c r="M460" s="280"/>
      <c r="N460" s="280"/>
      <c r="O460" s="280"/>
      <c r="P460" s="280"/>
      <c r="Q460" s="280"/>
      <c r="R460" s="280"/>
      <c r="S460" s="280"/>
      <c r="T460" s="280"/>
      <c r="U460" s="280"/>
      <c r="V460" s="280"/>
      <c r="W460" s="280"/>
      <c r="X460" s="280"/>
      <c r="Y460" s="280"/>
      <c r="Z460" s="280"/>
    </row>
    <row r="461">
      <c r="A461" s="284" t="s">
        <v>457</v>
      </c>
      <c r="B461" s="285" t="s">
        <v>227</v>
      </c>
      <c r="C461" s="286">
        <v>0.0</v>
      </c>
      <c r="D461" s="286" t="s">
        <v>461</v>
      </c>
      <c r="E461" s="286">
        <v>0.0</v>
      </c>
      <c r="F461" s="286" t="s">
        <v>450</v>
      </c>
      <c r="G461" s="280"/>
      <c r="H461" s="280"/>
      <c r="I461" s="280"/>
      <c r="J461" s="280"/>
      <c r="K461" s="280"/>
      <c r="L461" s="280"/>
      <c r="M461" s="280"/>
      <c r="N461" s="280"/>
      <c r="O461" s="280"/>
      <c r="P461" s="280"/>
      <c r="Q461" s="280"/>
      <c r="R461" s="280"/>
      <c r="S461" s="280"/>
      <c r="T461" s="280"/>
      <c r="U461" s="280"/>
      <c r="V461" s="280"/>
      <c r="W461" s="280"/>
      <c r="X461" s="280"/>
      <c r="Y461" s="280"/>
      <c r="Z461" s="280"/>
    </row>
    <row r="462">
      <c r="A462" s="284" t="s">
        <v>459</v>
      </c>
      <c r="B462" s="285" t="s">
        <v>227</v>
      </c>
      <c r="C462" s="286">
        <v>0.0</v>
      </c>
      <c r="D462" s="286" t="s">
        <v>450</v>
      </c>
      <c r="E462" s="286">
        <v>0.0</v>
      </c>
      <c r="F462" s="286">
        <v>0.0</v>
      </c>
      <c r="G462" s="280"/>
      <c r="H462" s="280"/>
      <c r="I462" s="280"/>
      <c r="J462" s="280"/>
      <c r="K462" s="280"/>
      <c r="L462" s="280"/>
      <c r="M462" s="280"/>
      <c r="N462" s="280"/>
      <c r="O462" s="280"/>
      <c r="P462" s="280"/>
      <c r="Q462" s="280"/>
      <c r="R462" s="280"/>
      <c r="S462" s="280"/>
      <c r="T462" s="280"/>
      <c r="U462" s="280"/>
      <c r="V462" s="280"/>
      <c r="W462" s="280"/>
      <c r="X462" s="280"/>
      <c r="Y462" s="280"/>
      <c r="Z462" s="280"/>
    </row>
    <row r="463">
      <c r="A463" s="284" t="s">
        <v>462</v>
      </c>
      <c r="B463" s="285" t="s">
        <v>227</v>
      </c>
      <c r="C463" s="286">
        <v>0.0</v>
      </c>
      <c r="D463" s="286" t="s">
        <v>461</v>
      </c>
      <c r="E463" s="286">
        <v>0.0</v>
      </c>
      <c r="F463" s="286">
        <v>0.0</v>
      </c>
      <c r="G463" s="280"/>
      <c r="H463" s="280"/>
      <c r="I463" s="280"/>
      <c r="J463" s="280"/>
      <c r="K463" s="280"/>
      <c r="L463" s="280"/>
      <c r="M463" s="280"/>
      <c r="N463" s="280"/>
      <c r="O463" s="280"/>
      <c r="P463" s="280"/>
      <c r="Q463" s="280"/>
      <c r="R463" s="280"/>
      <c r="S463" s="280"/>
      <c r="T463" s="280"/>
      <c r="U463" s="280"/>
      <c r="V463" s="280"/>
      <c r="W463" s="280"/>
      <c r="X463" s="280"/>
      <c r="Y463" s="280"/>
      <c r="Z463" s="280"/>
    </row>
    <row r="464">
      <c r="A464" s="284" t="s">
        <v>463</v>
      </c>
      <c r="B464" s="285" t="s">
        <v>227</v>
      </c>
      <c r="C464" s="286">
        <v>0.0</v>
      </c>
      <c r="D464" s="286" t="s">
        <v>450</v>
      </c>
      <c r="E464" s="286">
        <v>0.0</v>
      </c>
      <c r="F464" s="286">
        <v>0.0</v>
      </c>
      <c r="G464" s="280"/>
      <c r="H464" s="280"/>
      <c r="I464" s="280"/>
      <c r="J464" s="280"/>
      <c r="K464" s="280"/>
      <c r="L464" s="280"/>
      <c r="M464" s="280"/>
      <c r="N464" s="280"/>
      <c r="O464" s="280"/>
      <c r="P464" s="280"/>
      <c r="Q464" s="280"/>
      <c r="R464" s="280"/>
      <c r="S464" s="280"/>
      <c r="T464" s="280"/>
      <c r="U464" s="280"/>
      <c r="V464" s="280"/>
      <c r="W464" s="280"/>
      <c r="X464" s="280"/>
      <c r="Y464" s="280"/>
      <c r="Z464" s="280"/>
    </row>
    <row r="465">
      <c r="A465" s="284" t="s">
        <v>464</v>
      </c>
      <c r="B465" s="285" t="s">
        <v>227</v>
      </c>
      <c r="C465" s="286">
        <v>0.0</v>
      </c>
      <c r="D465" s="286" t="s">
        <v>450</v>
      </c>
      <c r="E465" s="286">
        <v>0.0</v>
      </c>
      <c r="F465" s="286">
        <v>0.0</v>
      </c>
      <c r="G465" s="280"/>
      <c r="H465" s="280"/>
      <c r="I465" s="280"/>
      <c r="J465" s="280"/>
      <c r="K465" s="280"/>
      <c r="L465" s="280"/>
      <c r="M465" s="280"/>
      <c r="N465" s="280"/>
      <c r="O465" s="280"/>
      <c r="P465" s="280"/>
      <c r="Q465" s="280"/>
      <c r="R465" s="280"/>
      <c r="S465" s="280"/>
      <c r="T465" s="280"/>
      <c r="U465" s="280"/>
      <c r="V465" s="280"/>
      <c r="W465" s="280"/>
      <c r="X465" s="280"/>
      <c r="Y465" s="280"/>
      <c r="Z465" s="280"/>
    </row>
    <row r="466">
      <c r="A466" s="284" t="s">
        <v>465</v>
      </c>
      <c r="B466" s="285" t="s">
        <v>466</v>
      </c>
      <c r="C466" s="286" t="s">
        <v>450</v>
      </c>
      <c r="D466" s="286" t="s">
        <v>460</v>
      </c>
      <c r="E466" s="286">
        <v>0.0</v>
      </c>
      <c r="F466" s="286" t="s">
        <v>450</v>
      </c>
      <c r="G466" s="280"/>
      <c r="H466" s="280"/>
      <c r="I466" s="280"/>
      <c r="J466" s="280"/>
      <c r="K466" s="280"/>
      <c r="L466" s="280"/>
      <c r="M466" s="280"/>
      <c r="N466" s="280"/>
      <c r="O466" s="280"/>
      <c r="P466" s="280"/>
      <c r="Q466" s="280"/>
      <c r="R466" s="280"/>
      <c r="S466" s="280"/>
      <c r="T466" s="280"/>
      <c r="U466" s="280"/>
      <c r="V466" s="280"/>
      <c r="W466" s="280"/>
      <c r="X466" s="280"/>
      <c r="Y466" s="280"/>
      <c r="Z466" s="280"/>
    </row>
    <row r="467">
      <c r="A467" s="284" t="s">
        <v>467</v>
      </c>
      <c r="B467" s="285" t="s">
        <v>466</v>
      </c>
      <c r="C467" s="286" t="s">
        <v>450</v>
      </c>
      <c r="D467" s="286" t="s">
        <v>461</v>
      </c>
      <c r="E467" s="286">
        <v>0.0</v>
      </c>
      <c r="F467" s="286">
        <v>0.0</v>
      </c>
      <c r="G467" s="280"/>
      <c r="H467" s="280"/>
      <c r="I467" s="280"/>
      <c r="J467" s="280"/>
      <c r="K467" s="280"/>
      <c r="L467" s="280"/>
      <c r="M467" s="280"/>
      <c r="N467" s="280"/>
      <c r="O467" s="280"/>
      <c r="P467" s="280"/>
      <c r="Q467" s="280"/>
      <c r="R467" s="280"/>
      <c r="S467" s="280"/>
      <c r="T467" s="280"/>
      <c r="U467" s="280"/>
      <c r="V467" s="280"/>
      <c r="W467" s="280"/>
      <c r="X467" s="280"/>
      <c r="Y467" s="280"/>
      <c r="Z467" s="280"/>
    </row>
    <row r="468">
      <c r="A468" s="284" t="s">
        <v>468</v>
      </c>
      <c r="B468" s="285" t="s">
        <v>469</v>
      </c>
      <c r="C468" s="286">
        <v>0.0</v>
      </c>
      <c r="D468" s="286" t="s">
        <v>456</v>
      </c>
      <c r="E468" s="286">
        <v>0.0</v>
      </c>
      <c r="F468" s="286" t="s">
        <v>450</v>
      </c>
      <c r="G468" s="280"/>
      <c r="H468" s="280"/>
      <c r="I468" s="280"/>
      <c r="J468" s="280"/>
      <c r="K468" s="280"/>
      <c r="L468" s="280"/>
      <c r="M468" s="280"/>
      <c r="N468" s="280"/>
      <c r="O468" s="280"/>
      <c r="P468" s="280"/>
      <c r="Q468" s="280"/>
      <c r="R468" s="280"/>
      <c r="S468" s="280"/>
      <c r="T468" s="280"/>
      <c r="U468" s="280"/>
      <c r="V468" s="280"/>
      <c r="W468" s="280"/>
      <c r="X468" s="280"/>
      <c r="Y468" s="280"/>
      <c r="Z468" s="280"/>
    </row>
    <row r="469">
      <c r="A469" s="284" t="s">
        <v>470</v>
      </c>
      <c r="B469" s="285" t="s">
        <v>471</v>
      </c>
      <c r="C469" s="286">
        <v>0.0</v>
      </c>
      <c r="D469" s="286" t="s">
        <v>454</v>
      </c>
      <c r="E469" s="286">
        <v>0.0</v>
      </c>
      <c r="F469" s="286" t="s">
        <v>450</v>
      </c>
      <c r="G469" s="280"/>
      <c r="H469" s="280"/>
      <c r="I469" s="280"/>
      <c r="J469" s="280"/>
      <c r="K469" s="280"/>
      <c r="L469" s="280"/>
      <c r="M469" s="280"/>
      <c r="N469" s="280"/>
      <c r="O469" s="280"/>
      <c r="P469" s="280"/>
      <c r="Q469" s="280"/>
      <c r="R469" s="280"/>
      <c r="S469" s="280"/>
      <c r="T469" s="280"/>
      <c r="U469" s="280"/>
      <c r="V469" s="280"/>
      <c r="W469" s="280"/>
      <c r="X469" s="280"/>
      <c r="Y469" s="280"/>
      <c r="Z469" s="280"/>
    </row>
    <row r="470">
      <c r="A470" s="284" t="s">
        <v>472</v>
      </c>
      <c r="B470" s="285" t="s">
        <v>471</v>
      </c>
      <c r="C470" s="286">
        <v>0.0</v>
      </c>
      <c r="D470" s="286" t="s">
        <v>454</v>
      </c>
      <c r="E470" s="286">
        <v>0.0</v>
      </c>
      <c r="F470" s="286">
        <v>0.0</v>
      </c>
      <c r="G470" s="280"/>
      <c r="H470" s="280"/>
      <c r="I470" s="280"/>
      <c r="J470" s="280"/>
      <c r="K470" s="280"/>
      <c r="L470" s="280"/>
      <c r="M470" s="280"/>
      <c r="N470" s="280"/>
      <c r="O470" s="280"/>
      <c r="P470" s="280"/>
      <c r="Q470" s="280"/>
      <c r="R470" s="280"/>
      <c r="S470" s="280"/>
      <c r="T470" s="280"/>
      <c r="U470" s="280"/>
      <c r="V470" s="280"/>
      <c r="W470" s="280"/>
      <c r="X470" s="280"/>
      <c r="Y470" s="280"/>
      <c r="Z470" s="280"/>
    </row>
    <row r="471">
      <c r="A471" s="284" t="s">
        <v>473</v>
      </c>
      <c r="B471" s="285" t="s">
        <v>471</v>
      </c>
      <c r="C471" s="286" t="s">
        <v>450</v>
      </c>
      <c r="D471" s="286" t="s">
        <v>482</v>
      </c>
      <c r="E471" s="286">
        <v>0.0</v>
      </c>
      <c r="F471" s="286" t="s">
        <v>450</v>
      </c>
      <c r="G471" s="280"/>
      <c r="H471" s="280"/>
      <c r="I471" s="280"/>
      <c r="J471" s="280"/>
      <c r="K471" s="280"/>
      <c r="L471" s="280"/>
      <c r="M471" s="280"/>
      <c r="N471" s="280"/>
      <c r="O471" s="280"/>
      <c r="P471" s="280"/>
      <c r="Q471" s="280"/>
      <c r="R471" s="280"/>
      <c r="S471" s="280"/>
      <c r="T471" s="280"/>
      <c r="U471" s="280"/>
      <c r="V471" s="280"/>
      <c r="W471" s="280"/>
      <c r="X471" s="280"/>
      <c r="Y471" s="280"/>
      <c r="Z471" s="280"/>
    </row>
    <row r="472">
      <c r="A472" s="284" t="s">
        <v>474</v>
      </c>
      <c r="B472" s="285" t="s">
        <v>471</v>
      </c>
      <c r="C472" s="286">
        <v>0.0</v>
      </c>
      <c r="D472" s="286" t="s">
        <v>458</v>
      </c>
      <c r="E472" s="286">
        <v>0.0</v>
      </c>
      <c r="F472" s="286" t="s">
        <v>450</v>
      </c>
      <c r="G472" s="280"/>
      <c r="H472" s="280"/>
      <c r="I472" s="280"/>
      <c r="J472" s="280"/>
      <c r="K472" s="280"/>
      <c r="L472" s="280"/>
      <c r="M472" s="280"/>
      <c r="N472" s="280"/>
      <c r="O472" s="280"/>
      <c r="P472" s="280"/>
      <c r="Q472" s="280"/>
      <c r="R472" s="280"/>
      <c r="S472" s="280"/>
      <c r="T472" s="280"/>
      <c r="U472" s="280"/>
      <c r="V472" s="280"/>
      <c r="W472" s="280"/>
      <c r="X472" s="280"/>
      <c r="Y472" s="280"/>
      <c r="Z472" s="280"/>
    </row>
    <row r="473">
      <c r="A473" s="284" t="s">
        <v>475</v>
      </c>
      <c r="B473" s="285" t="s">
        <v>471</v>
      </c>
      <c r="C473" s="286">
        <v>0.0</v>
      </c>
      <c r="D473" s="286" t="s">
        <v>454</v>
      </c>
      <c r="E473" s="286">
        <v>0.0</v>
      </c>
      <c r="F473" s="286">
        <v>0.0</v>
      </c>
      <c r="G473" s="280"/>
      <c r="H473" s="280"/>
      <c r="I473" s="280"/>
      <c r="J473" s="280"/>
      <c r="K473" s="280"/>
      <c r="L473" s="280"/>
      <c r="M473" s="280"/>
      <c r="N473" s="280"/>
      <c r="O473" s="280"/>
      <c r="P473" s="280"/>
      <c r="Q473" s="280"/>
      <c r="R473" s="280"/>
      <c r="S473" s="280"/>
      <c r="T473" s="280"/>
      <c r="U473" s="280"/>
      <c r="V473" s="280"/>
      <c r="W473" s="280"/>
      <c r="X473" s="280"/>
      <c r="Y473" s="280"/>
      <c r="Z473" s="280"/>
    </row>
    <row r="474">
      <c r="A474" s="284" t="s">
        <v>476</v>
      </c>
      <c r="B474" s="285" t="s">
        <v>471</v>
      </c>
      <c r="C474" s="286">
        <v>0.0</v>
      </c>
      <c r="D474" s="286" t="s">
        <v>454</v>
      </c>
      <c r="E474" s="286">
        <v>0.0</v>
      </c>
      <c r="F474" s="286" t="s">
        <v>450</v>
      </c>
      <c r="G474" s="280"/>
      <c r="H474" s="280"/>
      <c r="I474" s="280"/>
      <c r="J474" s="280"/>
      <c r="K474" s="280"/>
      <c r="L474" s="280"/>
      <c r="M474" s="280"/>
      <c r="N474" s="280"/>
      <c r="O474" s="280"/>
      <c r="P474" s="280"/>
      <c r="Q474" s="280"/>
      <c r="R474" s="280"/>
      <c r="S474" s="280"/>
      <c r="T474" s="280"/>
      <c r="U474" s="280"/>
      <c r="V474" s="280"/>
      <c r="W474" s="280"/>
      <c r="X474" s="280"/>
      <c r="Y474" s="280"/>
      <c r="Z474" s="280"/>
    </row>
    <row r="475">
      <c r="A475" s="284" t="s">
        <v>477</v>
      </c>
      <c r="B475" s="285" t="s">
        <v>478</v>
      </c>
      <c r="C475" s="286">
        <v>0.0</v>
      </c>
      <c r="D475" s="286" t="s">
        <v>450</v>
      </c>
      <c r="E475" s="286">
        <v>0.0</v>
      </c>
      <c r="F475" s="286" t="s">
        <v>450</v>
      </c>
      <c r="G475" s="280"/>
      <c r="H475" s="280"/>
      <c r="I475" s="280"/>
      <c r="J475" s="280"/>
      <c r="K475" s="280"/>
      <c r="L475" s="280"/>
      <c r="M475" s="280"/>
      <c r="N475" s="280"/>
      <c r="O475" s="280"/>
      <c r="P475" s="280"/>
      <c r="Q475" s="280"/>
      <c r="R475" s="280"/>
      <c r="S475" s="280"/>
      <c r="T475" s="280"/>
      <c r="U475" s="280"/>
      <c r="V475" s="280"/>
      <c r="W475" s="280"/>
      <c r="X475" s="280"/>
      <c r="Y475" s="280"/>
      <c r="Z475" s="280"/>
    </row>
    <row r="476">
      <c r="A476" s="284" t="s">
        <v>479</v>
      </c>
      <c r="B476" s="285" t="s">
        <v>478</v>
      </c>
      <c r="C476" s="286">
        <v>0.0</v>
      </c>
      <c r="D476" s="286" t="s">
        <v>461</v>
      </c>
      <c r="E476" s="286">
        <v>0.0</v>
      </c>
      <c r="F476" s="286" t="s">
        <v>450</v>
      </c>
      <c r="G476" s="280"/>
      <c r="H476" s="280"/>
      <c r="I476" s="280"/>
      <c r="J476" s="280"/>
      <c r="K476" s="280"/>
      <c r="L476" s="280"/>
      <c r="M476" s="280"/>
      <c r="N476" s="280"/>
      <c r="O476" s="280"/>
      <c r="P476" s="280"/>
      <c r="Q476" s="280"/>
      <c r="R476" s="280"/>
      <c r="S476" s="280"/>
      <c r="T476" s="280"/>
      <c r="U476" s="280"/>
      <c r="V476" s="280"/>
      <c r="W476" s="280"/>
      <c r="X476" s="280"/>
      <c r="Y476" s="280"/>
      <c r="Z476" s="280"/>
    </row>
    <row r="477">
      <c r="A477" s="284" t="s">
        <v>480</v>
      </c>
      <c r="B477" s="285" t="s">
        <v>478</v>
      </c>
      <c r="C477" s="286" t="s">
        <v>450</v>
      </c>
      <c r="D477" s="286" t="s">
        <v>454</v>
      </c>
      <c r="E477" s="286">
        <v>0.0</v>
      </c>
      <c r="F477" s="286" t="s">
        <v>450</v>
      </c>
      <c r="G477" s="280"/>
      <c r="H477" s="280"/>
      <c r="I477" s="280"/>
      <c r="J477" s="280"/>
      <c r="K477" s="280"/>
      <c r="L477" s="280"/>
      <c r="M477" s="280"/>
      <c r="N477" s="280"/>
      <c r="O477" s="280"/>
      <c r="P477" s="280"/>
      <c r="Q477" s="280"/>
      <c r="R477" s="280"/>
      <c r="S477" s="280"/>
      <c r="T477" s="280"/>
      <c r="U477" s="280"/>
      <c r="V477" s="280"/>
      <c r="W477" s="280"/>
      <c r="X477" s="280"/>
      <c r="Y477" s="280"/>
      <c r="Z477" s="280"/>
    </row>
    <row r="478">
      <c r="A478" s="284" t="s">
        <v>481</v>
      </c>
      <c r="B478" s="285" t="s">
        <v>478</v>
      </c>
      <c r="C478" s="286">
        <v>0.0</v>
      </c>
      <c r="D478" s="286" t="s">
        <v>454</v>
      </c>
      <c r="E478" s="286">
        <v>0.0</v>
      </c>
      <c r="F478" s="286" t="s">
        <v>450</v>
      </c>
      <c r="G478" s="280"/>
      <c r="H478" s="280"/>
      <c r="I478" s="280"/>
      <c r="J478" s="280"/>
      <c r="K478" s="280"/>
      <c r="L478" s="280"/>
      <c r="M478" s="280"/>
      <c r="N478" s="280"/>
      <c r="O478" s="280"/>
      <c r="P478" s="280"/>
      <c r="Q478" s="280"/>
      <c r="R478" s="280"/>
      <c r="S478" s="280"/>
      <c r="T478" s="280"/>
      <c r="U478" s="280"/>
      <c r="V478" s="280"/>
      <c r="W478" s="280"/>
      <c r="X478" s="280"/>
      <c r="Y478" s="280"/>
      <c r="Z478" s="280"/>
    </row>
    <row r="479">
      <c r="A479" s="284" t="s">
        <v>483</v>
      </c>
      <c r="B479" s="285" t="s">
        <v>478</v>
      </c>
      <c r="C479" s="286" t="s">
        <v>450</v>
      </c>
      <c r="D479" s="286" t="s">
        <v>943</v>
      </c>
      <c r="E479" s="286">
        <v>0.0</v>
      </c>
      <c r="F479" s="286" t="s">
        <v>450</v>
      </c>
      <c r="G479" s="280"/>
      <c r="H479" s="280"/>
      <c r="I479" s="280"/>
      <c r="J479" s="280"/>
      <c r="K479" s="280"/>
      <c r="L479" s="280"/>
      <c r="M479" s="280"/>
      <c r="N479" s="280"/>
      <c r="O479" s="280"/>
      <c r="P479" s="280"/>
      <c r="Q479" s="280"/>
      <c r="R479" s="280"/>
      <c r="S479" s="280"/>
      <c r="T479" s="280"/>
      <c r="U479" s="280"/>
      <c r="V479" s="280"/>
      <c r="W479" s="280"/>
      <c r="X479" s="280"/>
      <c r="Y479" s="280"/>
      <c r="Z479" s="280"/>
    </row>
    <row r="480">
      <c r="A480" s="284" t="s">
        <v>484</v>
      </c>
      <c r="B480" s="285" t="s">
        <v>478</v>
      </c>
      <c r="C480" s="286">
        <v>0.0</v>
      </c>
      <c r="D480" s="286" t="s">
        <v>454</v>
      </c>
      <c r="E480" s="286">
        <v>0.0</v>
      </c>
      <c r="F480" s="286" t="s">
        <v>450</v>
      </c>
      <c r="G480" s="280"/>
      <c r="H480" s="280"/>
      <c r="I480" s="280"/>
      <c r="J480" s="280"/>
      <c r="K480" s="280"/>
      <c r="L480" s="280"/>
      <c r="M480" s="280"/>
      <c r="N480" s="280"/>
      <c r="O480" s="280"/>
      <c r="P480" s="280"/>
      <c r="Q480" s="280"/>
      <c r="R480" s="280"/>
      <c r="S480" s="280"/>
      <c r="T480" s="280"/>
      <c r="U480" s="280"/>
      <c r="V480" s="280"/>
      <c r="W480" s="280"/>
      <c r="X480" s="280"/>
      <c r="Y480" s="280"/>
      <c r="Z480" s="280"/>
    </row>
    <row r="481">
      <c r="A481" s="284" t="s">
        <v>485</v>
      </c>
      <c r="B481" s="285" t="s">
        <v>229</v>
      </c>
      <c r="C481" s="286">
        <v>0.0</v>
      </c>
      <c r="D481" s="286" t="s">
        <v>450</v>
      </c>
      <c r="E481" s="286">
        <v>0.0</v>
      </c>
      <c r="F481" s="286" t="s">
        <v>450</v>
      </c>
      <c r="G481" s="280"/>
      <c r="H481" s="280"/>
      <c r="I481" s="280"/>
      <c r="J481" s="280"/>
      <c r="K481" s="280"/>
      <c r="L481" s="280"/>
      <c r="M481" s="280"/>
      <c r="N481" s="280"/>
      <c r="O481" s="280"/>
      <c r="P481" s="280"/>
      <c r="Q481" s="280"/>
      <c r="R481" s="280"/>
      <c r="S481" s="280"/>
      <c r="T481" s="280"/>
      <c r="U481" s="280"/>
      <c r="V481" s="280"/>
      <c r="W481" s="280"/>
      <c r="X481" s="280"/>
      <c r="Y481" s="280"/>
      <c r="Z481" s="280"/>
    </row>
    <row r="482">
      <c r="A482" s="284" t="s">
        <v>486</v>
      </c>
      <c r="B482" s="285" t="s">
        <v>229</v>
      </c>
      <c r="C482" s="286" t="s">
        <v>450</v>
      </c>
      <c r="D482" s="286" t="s">
        <v>482</v>
      </c>
      <c r="E482" s="286">
        <v>0.0</v>
      </c>
      <c r="F482" s="286">
        <v>0.0</v>
      </c>
      <c r="G482" s="280"/>
      <c r="H482" s="280"/>
      <c r="I482" s="280"/>
      <c r="J482" s="280"/>
      <c r="K482" s="280"/>
      <c r="L482" s="280"/>
      <c r="M482" s="280"/>
      <c r="N482" s="280"/>
      <c r="O482" s="280"/>
      <c r="P482" s="280"/>
      <c r="Q482" s="280"/>
      <c r="R482" s="280"/>
      <c r="S482" s="280"/>
      <c r="T482" s="280"/>
      <c r="U482" s="280"/>
      <c r="V482" s="280"/>
      <c r="W482" s="280"/>
      <c r="X482" s="280"/>
      <c r="Y482" s="280"/>
      <c r="Z482" s="280"/>
    </row>
    <row r="483">
      <c r="A483" s="284" t="s">
        <v>487</v>
      </c>
      <c r="B483" s="285" t="s">
        <v>229</v>
      </c>
      <c r="C483" s="286">
        <v>0.0</v>
      </c>
      <c r="D483" s="286" t="s">
        <v>516</v>
      </c>
      <c r="E483" s="286">
        <v>0.0</v>
      </c>
      <c r="F483" s="286">
        <v>0.0</v>
      </c>
      <c r="G483" s="280"/>
      <c r="H483" s="280"/>
      <c r="I483" s="280"/>
      <c r="J483" s="280"/>
      <c r="K483" s="280"/>
      <c r="L483" s="280"/>
      <c r="M483" s="280"/>
      <c r="N483" s="280"/>
      <c r="O483" s="280"/>
      <c r="P483" s="280"/>
      <c r="Q483" s="280"/>
      <c r="R483" s="280"/>
      <c r="S483" s="280"/>
      <c r="T483" s="280"/>
      <c r="U483" s="280"/>
      <c r="V483" s="280"/>
      <c r="W483" s="280"/>
      <c r="X483" s="280"/>
      <c r="Y483" s="280"/>
      <c r="Z483" s="280"/>
    </row>
    <row r="484">
      <c r="A484" s="284" t="s">
        <v>488</v>
      </c>
      <c r="B484" s="285" t="s">
        <v>229</v>
      </c>
      <c r="C484" s="286">
        <v>0.0</v>
      </c>
      <c r="D484" s="286" t="s">
        <v>450</v>
      </c>
      <c r="E484" s="286">
        <v>0.0</v>
      </c>
      <c r="F484" s="286" t="s">
        <v>450</v>
      </c>
      <c r="G484" s="280"/>
      <c r="H484" s="280"/>
      <c r="I484" s="280"/>
      <c r="J484" s="280"/>
      <c r="K484" s="280"/>
      <c r="L484" s="280"/>
      <c r="M484" s="280"/>
      <c r="N484" s="280"/>
      <c r="O484" s="280"/>
      <c r="P484" s="280"/>
      <c r="Q484" s="280"/>
      <c r="R484" s="280"/>
      <c r="S484" s="280"/>
      <c r="T484" s="280"/>
      <c r="U484" s="280"/>
      <c r="V484" s="280"/>
      <c r="W484" s="280"/>
      <c r="X484" s="280"/>
      <c r="Y484" s="280"/>
      <c r="Z484" s="280"/>
    </row>
    <row r="485">
      <c r="A485" s="284" t="s">
        <v>489</v>
      </c>
      <c r="B485" s="285" t="s">
        <v>229</v>
      </c>
      <c r="C485" s="286">
        <v>0.0</v>
      </c>
      <c r="D485" s="286" t="s">
        <v>461</v>
      </c>
      <c r="E485" s="286">
        <v>0.0</v>
      </c>
      <c r="F485" s="286">
        <v>0.0</v>
      </c>
      <c r="G485" s="280"/>
      <c r="H485" s="280"/>
      <c r="I485" s="280"/>
      <c r="J485" s="280"/>
      <c r="K485" s="280"/>
      <c r="L485" s="280"/>
      <c r="M485" s="280"/>
      <c r="N485" s="280"/>
      <c r="O485" s="280"/>
      <c r="P485" s="280"/>
      <c r="Q485" s="280"/>
      <c r="R485" s="280"/>
      <c r="S485" s="280"/>
      <c r="T485" s="280"/>
      <c r="U485" s="280"/>
      <c r="V485" s="280"/>
      <c r="W485" s="280"/>
      <c r="X485" s="280"/>
      <c r="Y485" s="280"/>
      <c r="Z485" s="280"/>
    </row>
    <row r="486">
      <c r="A486" s="284" t="s">
        <v>493</v>
      </c>
      <c r="B486" s="285" t="s">
        <v>491</v>
      </c>
      <c r="C486" s="286">
        <v>0.0</v>
      </c>
      <c r="D486" s="286" t="s">
        <v>942</v>
      </c>
      <c r="E486" s="286">
        <v>0.0</v>
      </c>
      <c r="F486" s="286" t="s">
        <v>450</v>
      </c>
      <c r="G486" s="280"/>
      <c r="H486" s="280"/>
      <c r="I486" s="280"/>
      <c r="J486" s="280"/>
      <c r="K486" s="280"/>
      <c r="L486" s="280"/>
      <c r="M486" s="280"/>
      <c r="N486" s="280"/>
      <c r="O486" s="280"/>
      <c r="P486" s="280"/>
      <c r="Q486" s="280"/>
      <c r="R486" s="280"/>
      <c r="S486" s="280"/>
      <c r="T486" s="280"/>
      <c r="U486" s="280"/>
      <c r="V486" s="280"/>
      <c r="W486" s="280"/>
      <c r="X486" s="280"/>
      <c r="Y486" s="280"/>
      <c r="Z486" s="280"/>
    </row>
    <row r="487">
      <c r="A487" s="284" t="s">
        <v>495</v>
      </c>
      <c r="B487" s="285" t="s">
        <v>491</v>
      </c>
      <c r="C487" s="286">
        <v>0.0</v>
      </c>
      <c r="D487" s="286" t="s">
        <v>450</v>
      </c>
      <c r="E487" s="286">
        <v>0.0</v>
      </c>
      <c r="F487" s="286">
        <v>0.0</v>
      </c>
      <c r="G487" s="280"/>
      <c r="H487" s="280"/>
      <c r="I487" s="280"/>
      <c r="J487" s="280"/>
      <c r="K487" s="280"/>
      <c r="L487" s="280"/>
      <c r="M487" s="280"/>
      <c r="N487" s="280"/>
      <c r="O487" s="280"/>
      <c r="P487" s="280"/>
      <c r="Q487" s="280"/>
      <c r="R487" s="280"/>
      <c r="S487" s="280"/>
      <c r="T487" s="280"/>
      <c r="U487" s="280"/>
      <c r="V487" s="280"/>
      <c r="W487" s="280"/>
      <c r="X487" s="280"/>
      <c r="Y487" s="280"/>
      <c r="Z487" s="280"/>
    </row>
    <row r="488">
      <c r="A488" s="284" t="s">
        <v>496</v>
      </c>
      <c r="B488" s="285" t="s">
        <v>491</v>
      </c>
      <c r="C488" s="286">
        <v>0.0</v>
      </c>
      <c r="D488" s="286" t="s">
        <v>450</v>
      </c>
      <c r="E488" s="286">
        <v>0.0</v>
      </c>
      <c r="F488" s="286">
        <v>0.0</v>
      </c>
      <c r="G488" s="280"/>
      <c r="H488" s="280"/>
      <c r="I488" s="280"/>
      <c r="J488" s="280"/>
      <c r="K488" s="280"/>
      <c r="L488" s="280"/>
      <c r="M488" s="280"/>
      <c r="N488" s="280"/>
      <c r="O488" s="280"/>
      <c r="P488" s="280"/>
      <c r="Q488" s="280"/>
      <c r="R488" s="280"/>
      <c r="S488" s="280"/>
      <c r="T488" s="280"/>
      <c r="U488" s="280"/>
      <c r="V488" s="280"/>
      <c r="W488" s="280"/>
      <c r="X488" s="280"/>
      <c r="Y488" s="280"/>
      <c r="Z488" s="280"/>
    </row>
    <row r="489">
      <c r="A489" s="284" t="s">
        <v>497</v>
      </c>
      <c r="B489" s="285" t="s">
        <v>491</v>
      </c>
      <c r="C489" s="286" t="s">
        <v>450</v>
      </c>
      <c r="D489" s="286" t="s">
        <v>450</v>
      </c>
      <c r="E489" s="286" t="s">
        <v>450</v>
      </c>
      <c r="F489" s="286" t="s">
        <v>450</v>
      </c>
      <c r="G489" s="280"/>
      <c r="H489" s="280"/>
      <c r="I489" s="280"/>
      <c r="J489" s="280"/>
      <c r="K489" s="280"/>
      <c r="L489" s="280"/>
      <c r="M489" s="280"/>
      <c r="N489" s="280"/>
      <c r="O489" s="280"/>
      <c r="P489" s="280"/>
      <c r="Q489" s="280"/>
      <c r="R489" s="280"/>
      <c r="S489" s="280"/>
      <c r="T489" s="280"/>
      <c r="U489" s="280"/>
      <c r="V489" s="280"/>
      <c r="W489" s="280"/>
      <c r="X489" s="280"/>
      <c r="Y489" s="280"/>
      <c r="Z489" s="280"/>
    </row>
    <row r="490">
      <c r="A490" s="284" t="s">
        <v>498</v>
      </c>
      <c r="B490" s="285" t="s">
        <v>491</v>
      </c>
      <c r="C490" s="286">
        <v>0.0</v>
      </c>
      <c r="D490" s="286" t="s">
        <v>450</v>
      </c>
      <c r="E490" s="286">
        <v>0.0</v>
      </c>
      <c r="F490" s="286">
        <v>0.0</v>
      </c>
      <c r="G490" s="280"/>
      <c r="H490" s="280"/>
      <c r="I490" s="280"/>
      <c r="J490" s="280"/>
      <c r="K490" s="280"/>
      <c r="L490" s="280"/>
      <c r="M490" s="280"/>
      <c r="N490" s="280"/>
      <c r="O490" s="280"/>
      <c r="P490" s="280"/>
      <c r="Q490" s="280"/>
      <c r="R490" s="280"/>
      <c r="S490" s="280"/>
      <c r="T490" s="280"/>
      <c r="U490" s="280"/>
      <c r="V490" s="280"/>
      <c r="W490" s="280"/>
      <c r="X490" s="280"/>
      <c r="Y490" s="280"/>
      <c r="Z490" s="280"/>
    </row>
    <row r="491">
      <c r="A491" s="284" t="s">
        <v>500</v>
      </c>
      <c r="B491" s="285" t="s">
        <v>491</v>
      </c>
      <c r="C491" s="286">
        <v>0.0</v>
      </c>
      <c r="D491" s="286" t="s">
        <v>450</v>
      </c>
      <c r="E491" s="286">
        <v>0.0</v>
      </c>
      <c r="F491" s="286" t="s">
        <v>450</v>
      </c>
      <c r="G491" s="280"/>
      <c r="H491" s="280"/>
      <c r="I491" s="280"/>
      <c r="J491" s="280"/>
      <c r="K491" s="280"/>
      <c r="L491" s="280"/>
      <c r="M491" s="280"/>
      <c r="N491" s="280"/>
      <c r="O491" s="280"/>
      <c r="P491" s="280"/>
      <c r="Q491" s="280"/>
      <c r="R491" s="280"/>
      <c r="S491" s="280"/>
      <c r="T491" s="280"/>
      <c r="U491" s="280"/>
      <c r="V491" s="280"/>
      <c r="W491" s="280"/>
      <c r="X491" s="280"/>
      <c r="Y491" s="280"/>
      <c r="Z491" s="280"/>
    </row>
    <row r="492">
      <c r="A492" s="284" t="s">
        <v>501</v>
      </c>
      <c r="B492" s="285" t="s">
        <v>491</v>
      </c>
      <c r="C492" s="286">
        <v>0.0</v>
      </c>
      <c r="D492" s="286" t="s">
        <v>942</v>
      </c>
      <c r="E492" s="286">
        <v>0.0</v>
      </c>
      <c r="F492" s="286" t="s">
        <v>450</v>
      </c>
      <c r="G492" s="280"/>
      <c r="H492" s="280"/>
      <c r="I492" s="280"/>
      <c r="J492" s="280"/>
      <c r="K492" s="280"/>
      <c r="L492" s="280"/>
      <c r="M492" s="280"/>
      <c r="N492" s="280"/>
      <c r="O492" s="280"/>
      <c r="P492" s="280"/>
      <c r="Q492" s="280"/>
      <c r="R492" s="280"/>
      <c r="S492" s="280"/>
      <c r="T492" s="280"/>
      <c r="U492" s="280"/>
      <c r="V492" s="280"/>
      <c r="W492" s="280"/>
      <c r="X492" s="280"/>
      <c r="Y492" s="280"/>
      <c r="Z492" s="280"/>
    </row>
    <row r="493">
      <c r="A493" s="284" t="s">
        <v>504</v>
      </c>
      <c r="B493" s="285" t="s">
        <v>491</v>
      </c>
      <c r="C493" s="286" t="s">
        <v>450</v>
      </c>
      <c r="D493" s="286" t="s">
        <v>460</v>
      </c>
      <c r="E493" s="286">
        <v>0.0</v>
      </c>
      <c r="F493" s="286">
        <v>0.0</v>
      </c>
      <c r="G493" s="280"/>
      <c r="H493" s="280"/>
      <c r="I493" s="280"/>
      <c r="J493" s="280"/>
      <c r="K493" s="280"/>
      <c r="L493" s="280"/>
      <c r="M493" s="280"/>
      <c r="N493" s="280"/>
      <c r="O493" s="280"/>
      <c r="P493" s="280"/>
      <c r="Q493" s="280"/>
      <c r="R493" s="280"/>
      <c r="S493" s="280"/>
      <c r="T493" s="280"/>
      <c r="U493" s="280"/>
      <c r="V493" s="280"/>
      <c r="W493" s="280"/>
      <c r="X493" s="280"/>
      <c r="Y493" s="280"/>
      <c r="Z493" s="280"/>
    </row>
    <row r="494">
      <c r="A494" s="284" t="s">
        <v>505</v>
      </c>
      <c r="B494" s="285" t="s">
        <v>491</v>
      </c>
      <c r="C494" s="286">
        <v>0.0</v>
      </c>
      <c r="D494" s="286" t="s">
        <v>450</v>
      </c>
      <c r="E494" s="286">
        <v>0.0</v>
      </c>
      <c r="F494" s="286">
        <v>0.0</v>
      </c>
      <c r="G494" s="280"/>
      <c r="H494" s="280"/>
      <c r="I494" s="280"/>
      <c r="J494" s="280"/>
      <c r="K494" s="280"/>
      <c r="L494" s="280"/>
      <c r="M494" s="280"/>
      <c r="N494" s="280"/>
      <c r="O494" s="280"/>
      <c r="P494" s="280"/>
      <c r="Q494" s="280"/>
      <c r="R494" s="280"/>
      <c r="S494" s="280"/>
      <c r="T494" s="280"/>
      <c r="U494" s="280"/>
      <c r="V494" s="280"/>
      <c r="W494" s="280"/>
      <c r="X494" s="280"/>
      <c r="Y494" s="280"/>
      <c r="Z494" s="280"/>
    </row>
    <row r="495">
      <c r="A495" s="284" t="s">
        <v>507</v>
      </c>
      <c r="B495" s="285" t="s">
        <v>491</v>
      </c>
      <c r="C495" s="286">
        <v>0.0</v>
      </c>
      <c r="D495" s="286" t="s">
        <v>450</v>
      </c>
      <c r="E495" s="286">
        <v>0.0</v>
      </c>
      <c r="F495" s="286">
        <v>0.0</v>
      </c>
      <c r="G495" s="280"/>
      <c r="H495" s="280"/>
      <c r="I495" s="280"/>
      <c r="J495" s="280"/>
      <c r="K495" s="280"/>
      <c r="L495" s="280"/>
      <c r="M495" s="280"/>
      <c r="N495" s="280"/>
      <c r="O495" s="280"/>
      <c r="P495" s="280"/>
      <c r="Q495" s="280"/>
      <c r="R495" s="280"/>
      <c r="S495" s="280"/>
      <c r="T495" s="280"/>
      <c r="U495" s="280"/>
      <c r="V495" s="280"/>
      <c r="W495" s="280"/>
      <c r="X495" s="280"/>
      <c r="Y495" s="280"/>
      <c r="Z495" s="280"/>
    </row>
    <row r="496">
      <c r="A496" s="284" t="s">
        <v>508</v>
      </c>
      <c r="B496" s="285" t="s">
        <v>491</v>
      </c>
      <c r="C496" s="286">
        <v>0.0</v>
      </c>
      <c r="D496" s="286" t="s">
        <v>461</v>
      </c>
      <c r="E496" s="286">
        <v>0.0</v>
      </c>
      <c r="F496" s="286" t="s">
        <v>450</v>
      </c>
      <c r="G496" s="280"/>
      <c r="H496" s="280"/>
      <c r="I496" s="280"/>
      <c r="J496" s="280"/>
      <c r="K496" s="280"/>
      <c r="L496" s="280"/>
      <c r="M496" s="280"/>
      <c r="N496" s="280"/>
      <c r="O496" s="280"/>
      <c r="P496" s="280"/>
      <c r="Q496" s="280"/>
      <c r="R496" s="280"/>
      <c r="S496" s="280"/>
      <c r="T496" s="280"/>
      <c r="U496" s="280"/>
      <c r="V496" s="280"/>
      <c r="W496" s="280"/>
      <c r="X496" s="280"/>
      <c r="Y496" s="280"/>
      <c r="Z496" s="280"/>
    </row>
    <row r="497">
      <c r="A497" s="284" t="s">
        <v>512</v>
      </c>
      <c r="B497" s="285" t="s">
        <v>491</v>
      </c>
      <c r="C497" s="286">
        <v>0.0</v>
      </c>
      <c r="D497" s="286" t="s">
        <v>450</v>
      </c>
      <c r="E497" s="286">
        <v>0.0</v>
      </c>
      <c r="F497" s="286">
        <v>0.0</v>
      </c>
      <c r="G497" s="280"/>
      <c r="H497" s="280"/>
      <c r="I497" s="280"/>
      <c r="J497" s="280"/>
      <c r="K497" s="280"/>
      <c r="L497" s="280"/>
      <c r="M497" s="280"/>
      <c r="N497" s="280"/>
      <c r="O497" s="280"/>
      <c r="P497" s="280"/>
      <c r="Q497" s="280"/>
      <c r="R497" s="280"/>
      <c r="S497" s="280"/>
      <c r="T497" s="280"/>
      <c r="U497" s="280"/>
      <c r="V497" s="280"/>
      <c r="W497" s="280"/>
      <c r="X497" s="280"/>
      <c r="Y497" s="280"/>
      <c r="Z497" s="280"/>
    </row>
    <row r="498">
      <c r="A498" s="284" t="s">
        <v>513</v>
      </c>
      <c r="B498" s="285" t="s">
        <v>491</v>
      </c>
      <c r="C498" s="286">
        <v>0.0</v>
      </c>
      <c r="D498" s="286" t="s">
        <v>450</v>
      </c>
      <c r="E498" s="286">
        <v>0.0</v>
      </c>
      <c r="F498" s="286">
        <v>0.0</v>
      </c>
      <c r="G498" s="280"/>
      <c r="H498" s="280"/>
      <c r="I498" s="280"/>
      <c r="J498" s="280"/>
      <c r="K498" s="280"/>
      <c r="L498" s="280"/>
      <c r="M498" s="280"/>
      <c r="N498" s="280"/>
      <c r="O498" s="280"/>
      <c r="P498" s="280"/>
      <c r="Q498" s="280"/>
      <c r="R498" s="280"/>
      <c r="S498" s="280"/>
      <c r="T498" s="280"/>
      <c r="U498" s="280"/>
      <c r="V498" s="280"/>
      <c r="W498" s="280"/>
      <c r="X498" s="280"/>
      <c r="Y498" s="280"/>
      <c r="Z498" s="280"/>
    </row>
    <row r="499">
      <c r="A499" s="284" t="s">
        <v>514</v>
      </c>
      <c r="B499" s="285" t="s">
        <v>491</v>
      </c>
      <c r="C499" s="286">
        <v>0.0</v>
      </c>
      <c r="D499" s="286" t="s">
        <v>450</v>
      </c>
      <c r="E499" s="286">
        <v>0.0</v>
      </c>
      <c r="F499" s="286">
        <v>0.0</v>
      </c>
      <c r="G499" s="280"/>
      <c r="H499" s="280"/>
      <c r="I499" s="280"/>
      <c r="J499" s="280"/>
      <c r="K499" s="280"/>
      <c r="L499" s="280"/>
      <c r="M499" s="280"/>
      <c r="N499" s="280"/>
      <c r="O499" s="280"/>
      <c r="P499" s="280"/>
      <c r="Q499" s="280"/>
      <c r="R499" s="280"/>
      <c r="S499" s="280"/>
      <c r="T499" s="280"/>
      <c r="U499" s="280"/>
      <c r="V499" s="280"/>
      <c r="W499" s="280"/>
      <c r="X499" s="280"/>
      <c r="Y499" s="280"/>
      <c r="Z499" s="280"/>
    </row>
    <row r="500">
      <c r="A500" s="284" t="s">
        <v>515</v>
      </c>
      <c r="B500" s="285" t="s">
        <v>491</v>
      </c>
      <c r="C500" s="286">
        <v>0.0</v>
      </c>
      <c r="D500" s="286" t="s">
        <v>461</v>
      </c>
      <c r="E500" s="286">
        <v>0.0</v>
      </c>
      <c r="F500" s="286" t="s">
        <v>450</v>
      </c>
      <c r="G500" s="280"/>
      <c r="H500" s="280"/>
      <c r="I500" s="280"/>
      <c r="J500" s="280"/>
      <c r="K500" s="280"/>
      <c r="L500" s="280"/>
      <c r="M500" s="280"/>
      <c r="N500" s="280"/>
      <c r="O500" s="280"/>
      <c r="P500" s="280"/>
      <c r="Q500" s="280"/>
      <c r="R500" s="280"/>
      <c r="S500" s="280"/>
      <c r="T500" s="280"/>
      <c r="U500" s="280"/>
      <c r="V500" s="280"/>
      <c r="W500" s="280"/>
      <c r="X500" s="280"/>
      <c r="Y500" s="280"/>
      <c r="Z500" s="280"/>
    </row>
    <row r="501">
      <c r="A501" s="284" t="s">
        <v>517</v>
      </c>
      <c r="B501" s="285" t="s">
        <v>491</v>
      </c>
      <c r="C501" s="286">
        <v>0.0</v>
      </c>
      <c r="D501" s="286" t="s">
        <v>450</v>
      </c>
      <c r="E501" s="286">
        <v>0.0</v>
      </c>
      <c r="F501" s="286">
        <v>0.0</v>
      </c>
      <c r="G501" s="280"/>
      <c r="H501" s="280"/>
      <c r="I501" s="280"/>
      <c r="J501" s="280"/>
      <c r="K501" s="280"/>
      <c r="L501" s="280"/>
      <c r="M501" s="280"/>
      <c r="N501" s="280"/>
      <c r="O501" s="280"/>
      <c r="P501" s="280"/>
      <c r="Q501" s="280"/>
      <c r="R501" s="280"/>
      <c r="S501" s="280"/>
      <c r="T501" s="280"/>
      <c r="U501" s="280"/>
      <c r="V501" s="280"/>
      <c r="W501" s="280"/>
      <c r="X501" s="280"/>
      <c r="Y501" s="280"/>
      <c r="Z501" s="280"/>
    </row>
    <row r="502">
      <c r="A502" s="284" t="s">
        <v>518</v>
      </c>
      <c r="B502" s="285" t="s">
        <v>491</v>
      </c>
      <c r="C502" s="286">
        <v>0.0</v>
      </c>
      <c r="D502" s="286" t="s">
        <v>450</v>
      </c>
      <c r="E502" s="286">
        <v>0.0</v>
      </c>
      <c r="F502" s="286">
        <v>0.0</v>
      </c>
      <c r="G502" s="280"/>
      <c r="H502" s="280"/>
      <c r="I502" s="280"/>
      <c r="J502" s="280"/>
      <c r="K502" s="280"/>
      <c r="L502" s="280"/>
      <c r="M502" s="280"/>
      <c r="N502" s="280"/>
      <c r="O502" s="280"/>
      <c r="P502" s="280"/>
      <c r="Q502" s="280"/>
      <c r="R502" s="280"/>
      <c r="S502" s="280"/>
      <c r="T502" s="280"/>
      <c r="U502" s="280"/>
      <c r="V502" s="280"/>
      <c r="W502" s="280"/>
      <c r="X502" s="280"/>
      <c r="Y502" s="280"/>
      <c r="Z502" s="280"/>
    </row>
    <row r="503">
      <c r="A503" s="284" t="s">
        <v>519</v>
      </c>
      <c r="B503" s="285" t="s">
        <v>491</v>
      </c>
      <c r="C503" s="286">
        <v>0.0</v>
      </c>
      <c r="D503" s="286" t="s">
        <v>450</v>
      </c>
      <c r="E503" s="286">
        <v>0.0</v>
      </c>
      <c r="F503" s="286">
        <v>0.0</v>
      </c>
      <c r="G503" s="280"/>
      <c r="H503" s="280"/>
      <c r="I503" s="280"/>
      <c r="J503" s="280"/>
      <c r="K503" s="280"/>
      <c r="L503" s="280"/>
      <c r="M503" s="280"/>
      <c r="N503" s="280"/>
      <c r="O503" s="280"/>
      <c r="P503" s="280"/>
      <c r="Q503" s="280"/>
      <c r="R503" s="280"/>
      <c r="S503" s="280"/>
      <c r="T503" s="280"/>
      <c r="U503" s="280"/>
      <c r="V503" s="280"/>
      <c r="W503" s="280"/>
      <c r="X503" s="280"/>
      <c r="Y503" s="280"/>
      <c r="Z503" s="280"/>
    </row>
    <row r="504">
      <c r="A504" s="284" t="s">
        <v>520</v>
      </c>
      <c r="B504" s="285" t="s">
        <v>491</v>
      </c>
      <c r="C504" s="286">
        <v>0.0</v>
      </c>
      <c r="D504" s="286" t="s">
        <v>461</v>
      </c>
      <c r="E504" s="286">
        <v>0.0</v>
      </c>
      <c r="F504" s="286">
        <v>0.0</v>
      </c>
      <c r="G504" s="280"/>
      <c r="H504" s="280"/>
      <c r="I504" s="280"/>
      <c r="J504" s="280"/>
      <c r="K504" s="280"/>
      <c r="L504" s="280"/>
      <c r="M504" s="280"/>
      <c r="N504" s="280"/>
      <c r="O504" s="280"/>
      <c r="P504" s="280"/>
      <c r="Q504" s="280"/>
      <c r="R504" s="280"/>
      <c r="S504" s="280"/>
      <c r="T504" s="280"/>
      <c r="U504" s="280"/>
      <c r="V504" s="280"/>
      <c r="W504" s="280"/>
      <c r="X504" s="280"/>
      <c r="Y504" s="280"/>
      <c r="Z504" s="280"/>
    </row>
    <row r="505">
      <c r="A505" s="284" t="s">
        <v>521</v>
      </c>
      <c r="B505" s="285" t="s">
        <v>491</v>
      </c>
      <c r="C505" s="286">
        <v>0.0</v>
      </c>
      <c r="D505" s="286" t="s">
        <v>450</v>
      </c>
      <c r="E505" s="286">
        <v>0.0</v>
      </c>
      <c r="F505" s="286">
        <v>0.0</v>
      </c>
      <c r="G505" s="280"/>
      <c r="H505" s="280"/>
      <c r="I505" s="280"/>
      <c r="J505" s="280"/>
      <c r="K505" s="280"/>
      <c r="L505" s="280"/>
      <c r="M505" s="280"/>
      <c r="N505" s="280"/>
      <c r="O505" s="280"/>
      <c r="P505" s="280"/>
      <c r="Q505" s="280"/>
      <c r="R505" s="280"/>
      <c r="S505" s="280"/>
      <c r="T505" s="280"/>
      <c r="U505" s="280"/>
      <c r="V505" s="280"/>
      <c r="W505" s="280"/>
      <c r="X505" s="280"/>
      <c r="Y505" s="280"/>
      <c r="Z505" s="280"/>
    </row>
    <row r="506">
      <c r="A506" s="284" t="s">
        <v>522</v>
      </c>
      <c r="B506" s="285" t="s">
        <v>491</v>
      </c>
      <c r="C506" s="286">
        <v>0.0</v>
      </c>
      <c r="D506" s="286" t="s">
        <v>450</v>
      </c>
      <c r="E506" s="286">
        <v>0.0</v>
      </c>
      <c r="F506" s="286">
        <v>0.0</v>
      </c>
      <c r="G506" s="280"/>
      <c r="H506" s="280"/>
      <c r="I506" s="280"/>
      <c r="J506" s="280"/>
      <c r="K506" s="280"/>
      <c r="L506" s="280"/>
      <c r="M506" s="280"/>
      <c r="N506" s="280"/>
      <c r="O506" s="280"/>
      <c r="P506" s="280"/>
      <c r="Q506" s="280"/>
      <c r="R506" s="280"/>
      <c r="S506" s="280"/>
      <c r="T506" s="280"/>
      <c r="U506" s="280"/>
      <c r="V506" s="280"/>
      <c r="W506" s="280"/>
      <c r="X506" s="280"/>
      <c r="Y506" s="280"/>
      <c r="Z506" s="280"/>
    </row>
    <row r="507">
      <c r="A507" s="284" t="s">
        <v>523</v>
      </c>
      <c r="B507" s="285" t="s">
        <v>491</v>
      </c>
      <c r="C507" s="286">
        <v>0.0</v>
      </c>
      <c r="D507" s="286" t="s">
        <v>461</v>
      </c>
      <c r="E507" s="286">
        <v>0.0</v>
      </c>
      <c r="F507" s="286">
        <v>0.0</v>
      </c>
      <c r="G507" s="280"/>
      <c r="H507" s="280"/>
      <c r="I507" s="280"/>
      <c r="J507" s="280"/>
      <c r="K507" s="280"/>
      <c r="L507" s="280"/>
      <c r="M507" s="280"/>
      <c r="N507" s="280"/>
      <c r="O507" s="280"/>
      <c r="P507" s="280"/>
      <c r="Q507" s="280"/>
      <c r="R507" s="280"/>
      <c r="S507" s="280"/>
      <c r="T507" s="280"/>
      <c r="U507" s="280"/>
      <c r="V507" s="280"/>
      <c r="W507" s="280"/>
      <c r="X507" s="280"/>
      <c r="Y507" s="280"/>
      <c r="Z507" s="280"/>
    </row>
    <row r="508">
      <c r="A508" s="284" t="s">
        <v>524</v>
      </c>
      <c r="B508" s="285" t="s">
        <v>491</v>
      </c>
      <c r="C508" s="286">
        <v>0.0</v>
      </c>
      <c r="D508" s="286" t="s">
        <v>454</v>
      </c>
      <c r="E508" s="286">
        <v>0.0</v>
      </c>
      <c r="F508" s="286">
        <v>0.0</v>
      </c>
      <c r="G508" s="280"/>
      <c r="H508" s="280"/>
      <c r="I508" s="280"/>
      <c r="J508" s="280"/>
      <c r="K508" s="280"/>
      <c r="L508" s="280"/>
      <c r="M508" s="280"/>
      <c r="N508" s="280"/>
      <c r="O508" s="280"/>
      <c r="P508" s="280"/>
      <c r="Q508" s="280"/>
      <c r="R508" s="280"/>
      <c r="S508" s="280"/>
      <c r="T508" s="280"/>
      <c r="U508" s="280"/>
      <c r="V508" s="280"/>
      <c r="W508" s="280"/>
      <c r="X508" s="280"/>
      <c r="Y508" s="280"/>
      <c r="Z508" s="280"/>
    </row>
    <row r="509">
      <c r="A509" s="284" t="s">
        <v>525</v>
      </c>
      <c r="B509" s="285" t="s">
        <v>491</v>
      </c>
      <c r="C509" s="286">
        <v>0.0</v>
      </c>
      <c r="D509" s="286" t="s">
        <v>450</v>
      </c>
      <c r="E509" s="286">
        <v>0.0</v>
      </c>
      <c r="F509" s="286">
        <v>0.0</v>
      </c>
      <c r="G509" s="280"/>
      <c r="H509" s="280"/>
      <c r="I509" s="280"/>
      <c r="J509" s="280"/>
      <c r="K509" s="280"/>
      <c r="L509" s="280"/>
      <c r="M509" s="280"/>
      <c r="N509" s="280"/>
      <c r="O509" s="280"/>
      <c r="P509" s="280"/>
      <c r="Q509" s="280"/>
      <c r="R509" s="280"/>
      <c r="S509" s="280"/>
      <c r="T509" s="280"/>
      <c r="U509" s="280"/>
      <c r="V509" s="280"/>
      <c r="W509" s="280"/>
      <c r="X509" s="280"/>
      <c r="Y509" s="280"/>
      <c r="Z509" s="280"/>
    </row>
    <row r="510">
      <c r="A510" s="284" t="s">
        <v>526</v>
      </c>
      <c r="B510" s="285" t="s">
        <v>491</v>
      </c>
      <c r="C510" s="286" t="s">
        <v>450</v>
      </c>
      <c r="D510" s="286" t="s">
        <v>450</v>
      </c>
      <c r="E510" s="286">
        <v>0.0</v>
      </c>
      <c r="F510" s="286">
        <v>0.0</v>
      </c>
      <c r="G510" s="280"/>
      <c r="H510" s="280"/>
      <c r="I510" s="280"/>
      <c r="J510" s="280"/>
      <c r="K510" s="280"/>
      <c r="L510" s="280"/>
      <c r="M510" s="280"/>
      <c r="N510" s="280"/>
      <c r="O510" s="280"/>
      <c r="P510" s="280"/>
      <c r="Q510" s="280"/>
      <c r="R510" s="280"/>
      <c r="S510" s="280"/>
      <c r="T510" s="280"/>
      <c r="U510" s="280"/>
      <c r="V510" s="280"/>
      <c r="W510" s="280"/>
      <c r="X510" s="280"/>
      <c r="Y510" s="280"/>
      <c r="Z510" s="280"/>
    </row>
    <row r="511">
      <c r="A511" s="284" t="s">
        <v>527</v>
      </c>
      <c r="B511" s="285" t="s">
        <v>491</v>
      </c>
      <c r="C511" s="286">
        <v>0.0</v>
      </c>
      <c r="D511" s="286" t="s">
        <v>450</v>
      </c>
      <c r="E511" s="286">
        <v>0.0</v>
      </c>
      <c r="F511" s="286">
        <v>0.0</v>
      </c>
      <c r="G511" s="280"/>
      <c r="H511" s="280"/>
      <c r="I511" s="280"/>
      <c r="J511" s="280"/>
      <c r="K511" s="280"/>
      <c r="L511" s="280"/>
      <c r="M511" s="280"/>
      <c r="N511" s="280"/>
      <c r="O511" s="280"/>
      <c r="P511" s="280"/>
      <c r="Q511" s="280"/>
      <c r="R511" s="280"/>
      <c r="S511" s="280"/>
      <c r="T511" s="280"/>
      <c r="U511" s="280"/>
      <c r="V511" s="280"/>
      <c r="W511" s="280"/>
      <c r="X511" s="280"/>
      <c r="Y511" s="280"/>
      <c r="Z511" s="280"/>
    </row>
    <row r="512">
      <c r="A512" s="284" t="s">
        <v>528</v>
      </c>
      <c r="B512" s="285" t="s">
        <v>491</v>
      </c>
      <c r="C512" s="286" t="s">
        <v>450</v>
      </c>
      <c r="D512" s="286" t="s">
        <v>450</v>
      </c>
      <c r="E512" s="286">
        <v>0.0</v>
      </c>
      <c r="F512" s="286">
        <v>0.0</v>
      </c>
      <c r="G512" s="280"/>
      <c r="H512" s="280"/>
      <c r="I512" s="280"/>
      <c r="J512" s="280"/>
      <c r="K512" s="280"/>
      <c r="L512" s="280"/>
      <c r="M512" s="280"/>
      <c r="N512" s="280"/>
      <c r="O512" s="280"/>
      <c r="P512" s="280"/>
      <c r="Q512" s="280"/>
      <c r="R512" s="280"/>
      <c r="S512" s="280"/>
      <c r="T512" s="280"/>
      <c r="U512" s="280"/>
      <c r="V512" s="280"/>
      <c r="W512" s="280"/>
      <c r="X512" s="280"/>
      <c r="Y512" s="280"/>
      <c r="Z512" s="280"/>
    </row>
    <row r="513">
      <c r="A513" s="284" t="s">
        <v>529</v>
      </c>
      <c r="B513" s="285" t="s">
        <v>491</v>
      </c>
      <c r="C513" s="286" t="s">
        <v>450</v>
      </c>
      <c r="D513" s="286" t="s">
        <v>461</v>
      </c>
      <c r="E513" s="286">
        <v>0.0</v>
      </c>
      <c r="F513" s="286">
        <v>0.0</v>
      </c>
      <c r="G513" s="280"/>
      <c r="H513" s="280"/>
      <c r="I513" s="280"/>
      <c r="J513" s="280"/>
      <c r="K513" s="280"/>
      <c r="L513" s="280"/>
      <c r="M513" s="280"/>
      <c r="N513" s="280"/>
      <c r="O513" s="280"/>
      <c r="P513" s="280"/>
      <c r="Q513" s="280"/>
      <c r="R513" s="280"/>
      <c r="S513" s="280"/>
      <c r="T513" s="280"/>
      <c r="U513" s="280"/>
      <c r="V513" s="280"/>
      <c r="W513" s="280"/>
      <c r="X513" s="280"/>
      <c r="Y513" s="280"/>
      <c r="Z513" s="280"/>
    </row>
    <row r="514">
      <c r="A514" s="284" t="s">
        <v>530</v>
      </c>
      <c r="B514" s="285" t="s">
        <v>230</v>
      </c>
      <c r="C514" s="286">
        <v>0.0</v>
      </c>
      <c r="D514" s="286" t="s">
        <v>450</v>
      </c>
      <c r="E514" s="286">
        <v>0.0</v>
      </c>
      <c r="F514" s="286">
        <v>0.0</v>
      </c>
      <c r="G514" s="280"/>
      <c r="H514" s="280"/>
      <c r="I514" s="280"/>
      <c r="J514" s="280"/>
      <c r="K514" s="280"/>
      <c r="L514" s="280"/>
      <c r="M514" s="280"/>
      <c r="N514" s="280"/>
      <c r="O514" s="280"/>
      <c r="P514" s="280"/>
      <c r="Q514" s="280"/>
      <c r="R514" s="280"/>
      <c r="S514" s="280"/>
      <c r="T514" s="280"/>
      <c r="U514" s="280"/>
      <c r="V514" s="280"/>
      <c r="W514" s="280"/>
      <c r="X514" s="280"/>
      <c r="Y514" s="280"/>
      <c r="Z514" s="280"/>
    </row>
    <row r="515">
      <c r="A515" s="284" t="s">
        <v>531</v>
      </c>
      <c r="B515" s="285" t="s">
        <v>230</v>
      </c>
      <c r="C515" s="286">
        <v>0.0</v>
      </c>
      <c r="D515" s="286" t="s">
        <v>674</v>
      </c>
      <c r="E515" s="286">
        <v>0.0</v>
      </c>
      <c r="F515" s="286" t="s">
        <v>450</v>
      </c>
      <c r="G515" s="280"/>
      <c r="H515" s="280"/>
      <c r="I515" s="280"/>
      <c r="J515" s="280"/>
      <c r="K515" s="280"/>
      <c r="L515" s="280"/>
      <c r="M515" s="280"/>
      <c r="N515" s="280"/>
      <c r="O515" s="280"/>
      <c r="P515" s="280"/>
      <c r="Q515" s="280"/>
      <c r="R515" s="280"/>
      <c r="S515" s="280"/>
      <c r="T515" s="280"/>
      <c r="U515" s="280"/>
      <c r="V515" s="280"/>
      <c r="W515" s="280"/>
      <c r="X515" s="280"/>
      <c r="Y515" s="280"/>
      <c r="Z515" s="280"/>
    </row>
    <row r="516">
      <c r="A516" s="284" t="s">
        <v>532</v>
      </c>
      <c r="B516" s="285" t="s">
        <v>230</v>
      </c>
      <c r="C516" s="286">
        <v>0.0</v>
      </c>
      <c r="D516" s="286" t="s">
        <v>458</v>
      </c>
      <c r="E516" s="286">
        <v>0.0</v>
      </c>
      <c r="F516" s="286" t="s">
        <v>450</v>
      </c>
      <c r="G516" s="280"/>
      <c r="H516" s="280"/>
      <c r="I516" s="280"/>
      <c r="J516" s="280"/>
      <c r="K516" s="280"/>
      <c r="L516" s="280"/>
      <c r="M516" s="280"/>
      <c r="N516" s="280"/>
      <c r="O516" s="280"/>
      <c r="P516" s="280"/>
      <c r="Q516" s="280"/>
      <c r="R516" s="280"/>
      <c r="S516" s="280"/>
      <c r="T516" s="280"/>
      <c r="U516" s="280"/>
      <c r="V516" s="280"/>
      <c r="W516" s="280"/>
      <c r="X516" s="280"/>
      <c r="Y516" s="280"/>
      <c r="Z516" s="280"/>
    </row>
    <row r="517">
      <c r="A517" s="284" t="s">
        <v>533</v>
      </c>
      <c r="B517" s="285" t="s">
        <v>230</v>
      </c>
      <c r="C517" s="286">
        <v>0.0</v>
      </c>
      <c r="D517" s="286" t="s">
        <v>461</v>
      </c>
      <c r="E517" s="286">
        <v>0.0</v>
      </c>
      <c r="F517" s="286" t="s">
        <v>450</v>
      </c>
      <c r="G517" s="280"/>
      <c r="H517" s="280"/>
      <c r="I517" s="280"/>
      <c r="J517" s="280"/>
      <c r="K517" s="280"/>
      <c r="L517" s="280"/>
      <c r="M517" s="280"/>
      <c r="N517" s="280"/>
      <c r="O517" s="280"/>
      <c r="P517" s="280"/>
      <c r="Q517" s="280"/>
      <c r="R517" s="280"/>
      <c r="S517" s="280"/>
      <c r="T517" s="280"/>
      <c r="U517" s="280"/>
      <c r="V517" s="280"/>
      <c r="W517" s="280"/>
      <c r="X517" s="280"/>
      <c r="Y517" s="280"/>
      <c r="Z517" s="280"/>
    </row>
    <row r="518">
      <c r="A518" s="287" t="s">
        <v>535</v>
      </c>
      <c r="B518" s="285" t="s">
        <v>230</v>
      </c>
      <c r="C518" s="286">
        <v>0.0</v>
      </c>
      <c r="D518" s="286" t="s">
        <v>454</v>
      </c>
      <c r="E518" s="286">
        <v>0.0</v>
      </c>
      <c r="F518" s="286">
        <v>0.0</v>
      </c>
      <c r="G518" s="280"/>
      <c r="H518" s="280"/>
      <c r="I518" s="280"/>
      <c r="J518" s="280"/>
      <c r="K518" s="280"/>
      <c r="L518" s="280"/>
      <c r="M518" s="280"/>
      <c r="N518" s="280"/>
      <c r="O518" s="280"/>
      <c r="P518" s="280"/>
      <c r="Q518" s="280"/>
      <c r="R518" s="280"/>
      <c r="S518" s="280"/>
      <c r="T518" s="280"/>
      <c r="U518" s="280"/>
      <c r="V518" s="280"/>
      <c r="W518" s="280"/>
      <c r="X518" s="280"/>
      <c r="Y518" s="280"/>
      <c r="Z518" s="280"/>
    </row>
    <row r="519">
      <c r="A519" s="284" t="s">
        <v>536</v>
      </c>
      <c r="B519" s="285" t="s">
        <v>230</v>
      </c>
      <c r="C519" s="286">
        <v>0.0</v>
      </c>
      <c r="D519" s="286" t="s">
        <v>461</v>
      </c>
      <c r="E519" s="286">
        <v>0.0</v>
      </c>
      <c r="F519" s="286">
        <v>0.0</v>
      </c>
      <c r="G519" s="280"/>
      <c r="H519" s="280"/>
      <c r="I519" s="280"/>
      <c r="J519" s="280"/>
      <c r="K519" s="280"/>
      <c r="L519" s="280"/>
      <c r="M519" s="280"/>
      <c r="N519" s="280"/>
      <c r="O519" s="280"/>
      <c r="P519" s="280"/>
      <c r="Q519" s="280"/>
      <c r="R519" s="280"/>
      <c r="S519" s="280"/>
      <c r="T519" s="280"/>
      <c r="U519" s="280"/>
      <c r="V519" s="280"/>
      <c r="W519" s="280"/>
      <c r="X519" s="280"/>
      <c r="Y519" s="280"/>
      <c r="Z519" s="280"/>
    </row>
    <row r="520">
      <c r="A520" s="284" t="s">
        <v>537</v>
      </c>
      <c r="B520" s="285" t="s">
        <v>538</v>
      </c>
      <c r="C520" s="286">
        <v>0.0</v>
      </c>
      <c r="D520" s="286" t="s">
        <v>460</v>
      </c>
      <c r="E520" s="286">
        <v>0.0</v>
      </c>
      <c r="F520" s="286">
        <v>0.0</v>
      </c>
      <c r="G520" s="280"/>
      <c r="H520" s="280"/>
      <c r="I520" s="280"/>
      <c r="J520" s="280"/>
      <c r="K520" s="280"/>
      <c r="L520" s="280"/>
      <c r="M520" s="280"/>
      <c r="N520" s="280"/>
      <c r="O520" s="280"/>
      <c r="P520" s="280"/>
      <c r="Q520" s="280"/>
      <c r="R520" s="280"/>
      <c r="S520" s="280"/>
      <c r="T520" s="280"/>
      <c r="U520" s="280"/>
      <c r="V520" s="280"/>
      <c r="W520" s="280"/>
      <c r="X520" s="280"/>
      <c r="Y520" s="280"/>
      <c r="Z520" s="280"/>
    </row>
    <row r="521">
      <c r="A521" s="284" t="s">
        <v>539</v>
      </c>
      <c r="B521" s="285" t="s">
        <v>540</v>
      </c>
      <c r="C521" s="286">
        <v>0.0</v>
      </c>
      <c r="D521" s="286" t="s">
        <v>450</v>
      </c>
      <c r="E521" s="286">
        <v>0.0</v>
      </c>
      <c r="F521" s="286">
        <v>0.0</v>
      </c>
      <c r="G521" s="280"/>
      <c r="H521" s="280"/>
      <c r="I521" s="280"/>
      <c r="J521" s="280"/>
      <c r="K521" s="280"/>
      <c r="L521" s="280"/>
      <c r="M521" s="280"/>
      <c r="N521" s="280"/>
      <c r="O521" s="280"/>
      <c r="P521" s="280"/>
      <c r="Q521" s="280"/>
      <c r="R521" s="280"/>
      <c r="S521" s="280"/>
      <c r="T521" s="280"/>
      <c r="U521" s="280"/>
      <c r="V521" s="280"/>
      <c r="W521" s="280"/>
      <c r="X521" s="280"/>
      <c r="Y521" s="280"/>
      <c r="Z521" s="280"/>
    </row>
    <row r="522">
      <c r="A522" s="284" t="s">
        <v>944</v>
      </c>
      <c r="B522" s="285" t="s">
        <v>540</v>
      </c>
      <c r="C522" s="286">
        <v>0.0</v>
      </c>
      <c r="D522" s="286" t="s">
        <v>450</v>
      </c>
      <c r="E522" s="286">
        <v>0.0</v>
      </c>
      <c r="F522" s="286">
        <v>0.0</v>
      </c>
      <c r="G522" s="280"/>
      <c r="H522" s="280"/>
      <c r="I522" s="280"/>
      <c r="J522" s="280"/>
      <c r="K522" s="280"/>
      <c r="L522" s="280"/>
      <c r="M522" s="280"/>
      <c r="N522" s="280"/>
      <c r="O522" s="280"/>
      <c r="P522" s="280"/>
      <c r="Q522" s="280"/>
      <c r="R522" s="280"/>
      <c r="S522" s="280"/>
      <c r="T522" s="280"/>
      <c r="U522" s="280"/>
      <c r="V522" s="280"/>
      <c r="W522" s="280"/>
      <c r="X522" s="280"/>
      <c r="Y522" s="280"/>
      <c r="Z522" s="280"/>
    </row>
    <row r="523">
      <c r="A523" s="284" t="s">
        <v>542</v>
      </c>
      <c r="B523" s="285" t="s">
        <v>540</v>
      </c>
      <c r="C523" s="286" t="s">
        <v>450</v>
      </c>
      <c r="D523" s="286" t="s">
        <v>456</v>
      </c>
      <c r="E523" s="286">
        <v>0.0</v>
      </c>
      <c r="F523" s="286">
        <v>0.0</v>
      </c>
      <c r="G523" s="280"/>
      <c r="H523" s="280"/>
      <c r="I523" s="280"/>
      <c r="J523" s="280"/>
      <c r="K523" s="280"/>
      <c r="L523" s="280"/>
      <c r="M523" s="280"/>
      <c r="N523" s="280"/>
      <c r="O523" s="280"/>
      <c r="P523" s="280"/>
      <c r="Q523" s="280"/>
      <c r="R523" s="280"/>
      <c r="S523" s="280"/>
      <c r="T523" s="280"/>
      <c r="U523" s="280"/>
      <c r="V523" s="280"/>
      <c r="W523" s="280"/>
      <c r="X523" s="280"/>
      <c r="Y523" s="280"/>
      <c r="Z523" s="280"/>
    </row>
    <row r="524">
      <c r="A524" s="284" t="s">
        <v>543</v>
      </c>
      <c r="B524" s="285" t="s">
        <v>540</v>
      </c>
      <c r="C524" s="286">
        <v>0.0</v>
      </c>
      <c r="D524" s="286" t="s">
        <v>461</v>
      </c>
      <c r="E524" s="286">
        <v>0.0</v>
      </c>
      <c r="F524" s="286">
        <v>0.0</v>
      </c>
      <c r="G524" s="280"/>
      <c r="H524" s="280"/>
      <c r="I524" s="280"/>
      <c r="J524" s="280"/>
      <c r="K524" s="280"/>
      <c r="L524" s="280"/>
      <c r="M524" s="280"/>
      <c r="N524" s="280"/>
      <c r="O524" s="280"/>
      <c r="P524" s="280"/>
      <c r="Q524" s="280"/>
      <c r="R524" s="280"/>
      <c r="S524" s="280"/>
      <c r="T524" s="280"/>
      <c r="U524" s="280"/>
      <c r="V524" s="280"/>
      <c r="W524" s="280"/>
      <c r="X524" s="280"/>
      <c r="Y524" s="280"/>
      <c r="Z524" s="280"/>
    </row>
    <row r="525">
      <c r="A525" s="284" t="s">
        <v>544</v>
      </c>
      <c r="B525" s="285" t="s">
        <v>540</v>
      </c>
      <c r="C525" s="286">
        <v>0.0</v>
      </c>
      <c r="D525" s="286" t="s">
        <v>461</v>
      </c>
      <c r="E525" s="286">
        <v>0.0</v>
      </c>
      <c r="F525" s="286">
        <v>0.0</v>
      </c>
      <c r="G525" s="280"/>
      <c r="H525" s="280"/>
      <c r="I525" s="280"/>
      <c r="J525" s="280"/>
      <c r="K525" s="280"/>
      <c r="L525" s="280"/>
      <c r="M525" s="280"/>
      <c r="N525" s="280"/>
      <c r="O525" s="280"/>
      <c r="P525" s="280"/>
      <c r="Q525" s="280"/>
      <c r="R525" s="280"/>
      <c r="S525" s="280"/>
      <c r="T525" s="280"/>
      <c r="U525" s="280"/>
      <c r="V525" s="280"/>
      <c r="W525" s="280"/>
      <c r="X525" s="280"/>
      <c r="Y525" s="280"/>
      <c r="Z525" s="280"/>
    </row>
    <row r="526">
      <c r="A526" s="284" t="s">
        <v>545</v>
      </c>
      <c r="B526" s="285" t="s">
        <v>540</v>
      </c>
      <c r="C526" s="286">
        <v>0.0</v>
      </c>
      <c r="D526" s="286" t="s">
        <v>450</v>
      </c>
      <c r="E526" s="286">
        <v>0.0</v>
      </c>
      <c r="F526" s="286" t="s">
        <v>450</v>
      </c>
      <c r="G526" s="280"/>
      <c r="H526" s="280"/>
      <c r="I526" s="280"/>
      <c r="J526" s="280"/>
      <c r="K526" s="280"/>
      <c r="L526" s="280"/>
      <c r="M526" s="280"/>
      <c r="N526" s="280"/>
      <c r="O526" s="280"/>
      <c r="P526" s="280"/>
      <c r="Q526" s="280"/>
      <c r="R526" s="280"/>
      <c r="S526" s="280"/>
      <c r="T526" s="280"/>
      <c r="U526" s="280"/>
      <c r="V526" s="280"/>
      <c r="W526" s="280"/>
      <c r="X526" s="280"/>
      <c r="Y526" s="280"/>
      <c r="Z526" s="280"/>
    </row>
    <row r="527">
      <c r="A527" s="284" t="s">
        <v>547</v>
      </c>
      <c r="B527" s="285" t="s">
        <v>540</v>
      </c>
      <c r="C527" s="286">
        <v>0.0</v>
      </c>
      <c r="D527" s="286" t="s">
        <v>450</v>
      </c>
      <c r="E527" s="286">
        <v>0.0</v>
      </c>
      <c r="F527" s="286">
        <v>0.0</v>
      </c>
      <c r="G527" s="280"/>
      <c r="H527" s="280"/>
      <c r="I527" s="280"/>
      <c r="J527" s="280"/>
      <c r="K527" s="280"/>
      <c r="L527" s="280"/>
      <c r="M527" s="280"/>
      <c r="N527" s="280"/>
      <c r="O527" s="280"/>
      <c r="P527" s="280"/>
      <c r="Q527" s="280"/>
      <c r="R527" s="280"/>
      <c r="S527" s="280"/>
      <c r="T527" s="280"/>
      <c r="U527" s="280"/>
      <c r="V527" s="280"/>
      <c r="W527" s="280"/>
      <c r="X527" s="280"/>
      <c r="Y527" s="280"/>
      <c r="Z527" s="280"/>
    </row>
    <row r="528">
      <c r="A528" s="284" t="s">
        <v>548</v>
      </c>
      <c r="B528" s="285" t="s">
        <v>232</v>
      </c>
      <c r="C528" s="286" t="s">
        <v>450</v>
      </c>
      <c r="D528" s="286" t="s">
        <v>456</v>
      </c>
      <c r="E528" s="286">
        <v>0.0</v>
      </c>
      <c r="F528" s="286" t="s">
        <v>461</v>
      </c>
      <c r="G528" s="280"/>
      <c r="H528" s="280"/>
      <c r="I528" s="280"/>
      <c r="J528" s="280"/>
      <c r="K528" s="280"/>
      <c r="L528" s="280"/>
      <c r="M528" s="280"/>
      <c r="N528" s="280"/>
      <c r="O528" s="280"/>
      <c r="P528" s="280"/>
      <c r="Q528" s="280"/>
      <c r="R528" s="280"/>
      <c r="S528" s="280"/>
      <c r="T528" s="280"/>
      <c r="U528" s="280"/>
      <c r="V528" s="280"/>
      <c r="W528" s="280"/>
      <c r="X528" s="280"/>
      <c r="Y528" s="280"/>
      <c r="Z528" s="280"/>
    </row>
    <row r="529">
      <c r="A529" s="284" t="s">
        <v>549</v>
      </c>
      <c r="B529" s="285" t="s">
        <v>232</v>
      </c>
      <c r="C529" s="286">
        <v>0.0</v>
      </c>
      <c r="D529" s="286" t="s">
        <v>461</v>
      </c>
      <c r="E529" s="286">
        <v>0.0</v>
      </c>
      <c r="F529" s="286">
        <v>0.0</v>
      </c>
      <c r="G529" s="280"/>
      <c r="H529" s="280"/>
      <c r="I529" s="280"/>
      <c r="J529" s="280"/>
      <c r="K529" s="280"/>
      <c r="L529" s="280"/>
      <c r="M529" s="280"/>
      <c r="N529" s="280"/>
      <c r="O529" s="280"/>
      <c r="P529" s="280"/>
      <c r="Q529" s="280"/>
      <c r="R529" s="280"/>
      <c r="S529" s="280"/>
      <c r="T529" s="280"/>
      <c r="U529" s="280"/>
      <c r="V529" s="280"/>
      <c r="W529" s="280"/>
      <c r="X529" s="280"/>
      <c r="Y529" s="280"/>
      <c r="Z529" s="280"/>
    </row>
    <row r="530">
      <c r="A530" s="284" t="s">
        <v>550</v>
      </c>
      <c r="B530" s="285" t="s">
        <v>232</v>
      </c>
      <c r="C530" s="286">
        <v>0.0</v>
      </c>
      <c r="D530" s="286" t="s">
        <v>942</v>
      </c>
      <c r="E530" s="286">
        <v>0.0</v>
      </c>
      <c r="F530" s="286" t="s">
        <v>461</v>
      </c>
      <c r="G530" s="280"/>
      <c r="H530" s="280"/>
      <c r="I530" s="280"/>
      <c r="J530" s="280"/>
      <c r="K530" s="280"/>
      <c r="L530" s="280"/>
      <c r="M530" s="280"/>
      <c r="N530" s="280"/>
      <c r="O530" s="280"/>
      <c r="P530" s="280"/>
      <c r="Q530" s="280"/>
      <c r="R530" s="280"/>
      <c r="S530" s="280"/>
      <c r="T530" s="280"/>
      <c r="U530" s="280"/>
      <c r="V530" s="280"/>
      <c r="W530" s="280"/>
      <c r="X530" s="280"/>
      <c r="Y530" s="280"/>
      <c r="Z530" s="280"/>
    </row>
    <row r="531">
      <c r="A531" s="284" t="s">
        <v>552</v>
      </c>
      <c r="B531" s="285" t="s">
        <v>232</v>
      </c>
      <c r="C531" s="286" t="s">
        <v>450</v>
      </c>
      <c r="D531" s="286" t="s">
        <v>454</v>
      </c>
      <c r="E531" s="286">
        <v>0.0</v>
      </c>
      <c r="F531" s="286" t="s">
        <v>450</v>
      </c>
      <c r="G531" s="280"/>
      <c r="H531" s="280"/>
      <c r="I531" s="280"/>
      <c r="J531" s="280"/>
      <c r="K531" s="280"/>
      <c r="L531" s="280"/>
      <c r="M531" s="280"/>
      <c r="N531" s="280"/>
      <c r="O531" s="280"/>
      <c r="P531" s="280"/>
      <c r="Q531" s="280"/>
      <c r="R531" s="280"/>
      <c r="S531" s="280"/>
      <c r="T531" s="280"/>
      <c r="U531" s="280"/>
      <c r="V531" s="280"/>
      <c r="W531" s="280"/>
      <c r="X531" s="280"/>
      <c r="Y531" s="280"/>
      <c r="Z531" s="280"/>
    </row>
    <row r="532">
      <c r="A532" s="284" t="s">
        <v>554</v>
      </c>
      <c r="B532" s="285" t="s">
        <v>232</v>
      </c>
      <c r="C532" s="286">
        <v>0.0</v>
      </c>
      <c r="D532" s="286" t="s">
        <v>461</v>
      </c>
      <c r="E532" s="286">
        <v>0.0</v>
      </c>
      <c r="F532" s="286" t="s">
        <v>450</v>
      </c>
      <c r="G532" s="280"/>
      <c r="H532" s="280"/>
      <c r="I532" s="280"/>
      <c r="J532" s="280"/>
      <c r="K532" s="280"/>
      <c r="L532" s="280"/>
      <c r="M532" s="280"/>
      <c r="N532" s="280"/>
      <c r="O532" s="280"/>
      <c r="P532" s="280"/>
      <c r="Q532" s="280"/>
      <c r="R532" s="280"/>
      <c r="S532" s="280"/>
      <c r="T532" s="280"/>
      <c r="U532" s="280"/>
      <c r="V532" s="280"/>
      <c r="W532" s="280"/>
      <c r="X532" s="280"/>
      <c r="Y532" s="280"/>
      <c r="Z532" s="280"/>
    </row>
    <row r="533">
      <c r="A533" s="284" t="s">
        <v>555</v>
      </c>
      <c r="B533" s="285" t="s">
        <v>232</v>
      </c>
      <c r="C533" s="286">
        <v>0.0</v>
      </c>
      <c r="D533" s="286" t="s">
        <v>454</v>
      </c>
      <c r="E533" s="286">
        <v>0.0</v>
      </c>
      <c r="F533" s="286">
        <v>0.0</v>
      </c>
      <c r="G533" s="280"/>
      <c r="H533" s="280"/>
      <c r="I533" s="280"/>
      <c r="J533" s="280"/>
      <c r="K533" s="280"/>
      <c r="L533" s="280"/>
      <c r="M533" s="280"/>
      <c r="N533" s="280"/>
      <c r="O533" s="280"/>
      <c r="P533" s="280"/>
      <c r="Q533" s="280"/>
      <c r="R533" s="280"/>
      <c r="S533" s="280"/>
      <c r="T533" s="280"/>
      <c r="U533" s="280"/>
      <c r="V533" s="280"/>
      <c r="W533" s="280"/>
      <c r="X533" s="280"/>
      <c r="Y533" s="280"/>
      <c r="Z533" s="280"/>
    </row>
    <row r="534">
      <c r="A534" s="284" t="s">
        <v>556</v>
      </c>
      <c r="B534" s="285" t="s">
        <v>232</v>
      </c>
      <c r="C534" s="286">
        <v>0.0</v>
      </c>
      <c r="D534" s="286" t="s">
        <v>461</v>
      </c>
      <c r="E534" s="286">
        <v>0.0</v>
      </c>
      <c r="F534" s="286" t="s">
        <v>450</v>
      </c>
      <c r="G534" s="280"/>
      <c r="H534" s="280"/>
      <c r="I534" s="280"/>
      <c r="J534" s="280"/>
      <c r="K534" s="280"/>
      <c r="L534" s="280"/>
      <c r="M534" s="280"/>
      <c r="N534" s="280"/>
      <c r="O534" s="280"/>
      <c r="P534" s="280"/>
      <c r="Q534" s="280"/>
      <c r="R534" s="280"/>
      <c r="S534" s="280"/>
      <c r="T534" s="280"/>
      <c r="U534" s="280"/>
      <c r="V534" s="280"/>
      <c r="W534" s="280"/>
      <c r="X534" s="280"/>
      <c r="Y534" s="280"/>
      <c r="Z534" s="280"/>
    </row>
    <row r="535">
      <c r="A535" s="284" t="s">
        <v>558</v>
      </c>
      <c r="B535" s="285" t="s">
        <v>233</v>
      </c>
      <c r="C535" s="286">
        <v>0.0</v>
      </c>
      <c r="D535" s="286" t="s">
        <v>450</v>
      </c>
      <c r="E535" s="286">
        <v>0.0</v>
      </c>
      <c r="F535" s="286" t="s">
        <v>450</v>
      </c>
      <c r="G535" s="280"/>
      <c r="H535" s="280"/>
      <c r="I535" s="280"/>
      <c r="J535" s="280"/>
      <c r="K535" s="280"/>
      <c r="L535" s="280"/>
      <c r="M535" s="280"/>
      <c r="N535" s="280"/>
      <c r="O535" s="280"/>
      <c r="P535" s="280"/>
      <c r="Q535" s="280"/>
      <c r="R535" s="280"/>
      <c r="S535" s="280"/>
      <c r="T535" s="280"/>
      <c r="U535" s="280"/>
      <c r="V535" s="280"/>
      <c r="W535" s="280"/>
      <c r="X535" s="280"/>
      <c r="Y535" s="280"/>
      <c r="Z535" s="280"/>
    </row>
    <row r="536">
      <c r="A536" s="284" t="s">
        <v>560</v>
      </c>
      <c r="B536" s="285" t="s">
        <v>233</v>
      </c>
      <c r="C536" s="286" t="s">
        <v>450</v>
      </c>
      <c r="D536" s="286" t="s">
        <v>945</v>
      </c>
      <c r="E536" s="286">
        <v>0.0</v>
      </c>
      <c r="F536" s="286" t="s">
        <v>461</v>
      </c>
      <c r="G536" s="280"/>
      <c r="H536" s="280"/>
      <c r="I536" s="280"/>
      <c r="J536" s="280"/>
      <c r="K536" s="280"/>
      <c r="L536" s="280"/>
      <c r="M536" s="280"/>
      <c r="N536" s="280"/>
      <c r="O536" s="280"/>
      <c r="P536" s="280"/>
      <c r="Q536" s="280"/>
      <c r="R536" s="280"/>
      <c r="S536" s="280"/>
      <c r="T536" s="280"/>
      <c r="U536" s="280"/>
      <c r="V536" s="280"/>
      <c r="W536" s="280"/>
      <c r="X536" s="280"/>
      <c r="Y536" s="280"/>
      <c r="Z536" s="280"/>
    </row>
    <row r="537">
      <c r="A537" s="284" t="s">
        <v>561</v>
      </c>
      <c r="B537" s="285" t="s">
        <v>233</v>
      </c>
      <c r="C537" s="286" t="s">
        <v>450</v>
      </c>
      <c r="D537" s="286" t="s">
        <v>945</v>
      </c>
      <c r="E537" s="286">
        <v>0.0</v>
      </c>
      <c r="F537" s="286" t="s">
        <v>450</v>
      </c>
      <c r="G537" s="280"/>
      <c r="H537" s="280"/>
      <c r="I537" s="280"/>
      <c r="J537" s="280"/>
      <c r="K537" s="280"/>
      <c r="L537" s="280"/>
      <c r="M537" s="280"/>
      <c r="N537" s="280"/>
      <c r="O537" s="280"/>
      <c r="P537" s="280"/>
      <c r="Q537" s="280"/>
      <c r="R537" s="280"/>
      <c r="S537" s="280"/>
      <c r="T537" s="280"/>
      <c r="U537" s="280"/>
      <c r="V537" s="280"/>
      <c r="W537" s="280"/>
      <c r="X537" s="280"/>
      <c r="Y537" s="280"/>
      <c r="Z537" s="280"/>
    </row>
    <row r="538">
      <c r="A538" s="284" t="s">
        <v>946</v>
      </c>
      <c r="B538" s="285" t="s">
        <v>233</v>
      </c>
      <c r="C538" s="286">
        <v>0.0</v>
      </c>
      <c r="D538" s="286" t="s">
        <v>450</v>
      </c>
      <c r="E538" s="286">
        <v>0.0</v>
      </c>
      <c r="F538" s="286" t="s">
        <v>450</v>
      </c>
      <c r="G538" s="280"/>
      <c r="H538" s="280"/>
      <c r="I538" s="280"/>
      <c r="J538" s="280"/>
      <c r="K538" s="280"/>
      <c r="L538" s="280"/>
      <c r="M538" s="280"/>
      <c r="N538" s="280"/>
      <c r="O538" s="280"/>
      <c r="P538" s="280"/>
      <c r="Q538" s="280"/>
      <c r="R538" s="280"/>
      <c r="S538" s="280"/>
      <c r="T538" s="280"/>
      <c r="U538" s="280"/>
      <c r="V538" s="280"/>
      <c r="W538" s="280"/>
      <c r="X538" s="280"/>
      <c r="Y538" s="280"/>
      <c r="Z538" s="280"/>
    </row>
    <row r="539">
      <c r="A539" s="284" t="s">
        <v>562</v>
      </c>
      <c r="B539" s="285" t="s">
        <v>233</v>
      </c>
      <c r="C539" s="286" t="s">
        <v>450</v>
      </c>
      <c r="D539" s="286" t="s">
        <v>454</v>
      </c>
      <c r="E539" s="286">
        <v>0.0</v>
      </c>
      <c r="F539" s="286">
        <v>0.0</v>
      </c>
      <c r="G539" s="280"/>
      <c r="H539" s="280"/>
      <c r="I539" s="280"/>
      <c r="J539" s="280"/>
      <c r="K539" s="280"/>
      <c r="L539" s="280"/>
      <c r="M539" s="280"/>
      <c r="N539" s="280"/>
      <c r="O539" s="280"/>
      <c r="P539" s="280"/>
      <c r="Q539" s="280"/>
      <c r="R539" s="280"/>
      <c r="S539" s="280"/>
      <c r="T539" s="280"/>
      <c r="U539" s="280"/>
      <c r="V539" s="280"/>
      <c r="W539" s="280"/>
      <c r="X539" s="280"/>
      <c r="Y539" s="280"/>
      <c r="Z539" s="280"/>
    </row>
    <row r="540">
      <c r="A540" s="284" t="s">
        <v>563</v>
      </c>
      <c r="B540" s="285" t="s">
        <v>233</v>
      </c>
      <c r="C540" s="286">
        <v>0.0</v>
      </c>
      <c r="D540" s="286" t="s">
        <v>461</v>
      </c>
      <c r="E540" s="286">
        <v>0.0</v>
      </c>
      <c r="F540" s="286">
        <v>0.0</v>
      </c>
      <c r="G540" s="280"/>
      <c r="H540" s="280"/>
      <c r="I540" s="280"/>
      <c r="J540" s="280"/>
      <c r="K540" s="280"/>
      <c r="L540" s="280"/>
      <c r="M540" s="280"/>
      <c r="N540" s="280"/>
      <c r="O540" s="280"/>
      <c r="P540" s="280"/>
      <c r="Q540" s="280"/>
      <c r="R540" s="280"/>
      <c r="S540" s="280"/>
      <c r="T540" s="280"/>
      <c r="U540" s="280"/>
      <c r="V540" s="280"/>
      <c r="W540" s="280"/>
      <c r="X540" s="280"/>
      <c r="Y540" s="280"/>
      <c r="Z540" s="280"/>
    </row>
    <row r="541">
      <c r="A541" s="284" t="s">
        <v>564</v>
      </c>
      <c r="B541" s="285" t="s">
        <v>233</v>
      </c>
      <c r="C541" s="286">
        <v>0.0</v>
      </c>
      <c r="D541" s="286" t="s">
        <v>454</v>
      </c>
      <c r="E541" s="286">
        <v>0.0</v>
      </c>
      <c r="F541" s="286" t="s">
        <v>450</v>
      </c>
      <c r="G541" s="280"/>
      <c r="H541" s="280"/>
      <c r="I541" s="280"/>
      <c r="J541" s="280"/>
      <c r="K541" s="280"/>
      <c r="L541" s="280"/>
      <c r="M541" s="280"/>
      <c r="N541" s="280"/>
      <c r="O541" s="280"/>
      <c r="P541" s="280"/>
      <c r="Q541" s="280"/>
      <c r="R541" s="280"/>
      <c r="S541" s="280"/>
      <c r="T541" s="280"/>
      <c r="U541" s="280"/>
      <c r="V541" s="280"/>
      <c r="W541" s="280"/>
      <c r="X541" s="280"/>
      <c r="Y541" s="280"/>
      <c r="Z541" s="280"/>
    </row>
    <row r="542">
      <c r="A542" s="284" t="s">
        <v>565</v>
      </c>
      <c r="B542" s="285" t="s">
        <v>233</v>
      </c>
      <c r="C542" s="286">
        <v>0.0</v>
      </c>
      <c r="D542" s="286" t="s">
        <v>461</v>
      </c>
      <c r="E542" s="286">
        <v>0.0</v>
      </c>
      <c r="F542" s="286">
        <v>0.0</v>
      </c>
      <c r="G542" s="280"/>
      <c r="H542" s="280"/>
      <c r="I542" s="280"/>
      <c r="J542" s="280"/>
      <c r="K542" s="280"/>
      <c r="L542" s="280"/>
      <c r="M542" s="280"/>
      <c r="N542" s="280"/>
      <c r="O542" s="280"/>
      <c r="P542" s="280"/>
      <c r="Q542" s="280"/>
      <c r="R542" s="280"/>
      <c r="S542" s="280"/>
      <c r="T542" s="280"/>
      <c r="U542" s="280"/>
      <c r="V542" s="280"/>
      <c r="W542" s="280"/>
      <c r="X542" s="280"/>
      <c r="Y542" s="280"/>
      <c r="Z542" s="280"/>
    </row>
    <row r="543">
      <c r="A543" s="284" t="s">
        <v>566</v>
      </c>
      <c r="B543" s="285" t="s">
        <v>233</v>
      </c>
      <c r="C543" s="286">
        <v>0.0</v>
      </c>
      <c r="D543" s="286" t="s">
        <v>461</v>
      </c>
      <c r="E543" s="286">
        <v>0.0</v>
      </c>
      <c r="F543" s="286">
        <v>0.0</v>
      </c>
      <c r="G543" s="280"/>
      <c r="H543" s="280"/>
      <c r="I543" s="280"/>
      <c r="J543" s="280"/>
      <c r="K543" s="280"/>
      <c r="L543" s="280"/>
      <c r="M543" s="280"/>
      <c r="N543" s="280"/>
      <c r="O543" s="280"/>
      <c r="P543" s="280"/>
      <c r="Q543" s="280"/>
      <c r="R543" s="280"/>
      <c r="S543" s="280"/>
      <c r="T543" s="280"/>
      <c r="U543" s="280"/>
      <c r="V543" s="280"/>
      <c r="W543" s="280"/>
      <c r="X543" s="280"/>
      <c r="Y543" s="280"/>
      <c r="Z543" s="280"/>
    </row>
    <row r="544">
      <c r="A544" s="284" t="s">
        <v>567</v>
      </c>
      <c r="B544" s="285" t="s">
        <v>233</v>
      </c>
      <c r="C544" s="286" t="s">
        <v>450</v>
      </c>
      <c r="D544" s="286" t="s">
        <v>454</v>
      </c>
      <c r="E544" s="286">
        <v>0.0</v>
      </c>
      <c r="F544" s="286">
        <v>0.0</v>
      </c>
      <c r="G544" s="280"/>
      <c r="H544" s="280"/>
      <c r="I544" s="280"/>
      <c r="J544" s="280"/>
      <c r="K544" s="280"/>
      <c r="L544" s="280"/>
      <c r="M544" s="280"/>
      <c r="N544" s="280"/>
      <c r="O544" s="280"/>
      <c r="P544" s="280"/>
      <c r="Q544" s="280"/>
      <c r="R544" s="280"/>
      <c r="S544" s="280"/>
      <c r="T544" s="280"/>
      <c r="U544" s="280"/>
      <c r="V544" s="280"/>
      <c r="W544" s="280"/>
      <c r="X544" s="280"/>
      <c r="Y544" s="280"/>
      <c r="Z544" s="280"/>
    </row>
    <row r="545">
      <c r="A545" s="284" t="s">
        <v>568</v>
      </c>
      <c r="B545" s="285" t="s">
        <v>233</v>
      </c>
      <c r="C545" s="286">
        <v>0.0</v>
      </c>
      <c r="D545" s="286" t="s">
        <v>460</v>
      </c>
      <c r="E545" s="286">
        <v>0.0</v>
      </c>
      <c r="F545" s="286" t="s">
        <v>450</v>
      </c>
      <c r="G545" s="280"/>
      <c r="H545" s="280"/>
      <c r="I545" s="280"/>
      <c r="J545" s="280"/>
      <c r="K545" s="280"/>
      <c r="L545" s="280"/>
      <c r="M545" s="280"/>
      <c r="N545" s="280"/>
      <c r="O545" s="280"/>
      <c r="P545" s="280"/>
      <c r="Q545" s="280"/>
      <c r="R545" s="280"/>
      <c r="S545" s="280"/>
      <c r="T545" s="280"/>
      <c r="U545" s="280"/>
      <c r="V545" s="280"/>
      <c r="W545" s="280"/>
      <c r="X545" s="280"/>
      <c r="Y545" s="280"/>
      <c r="Z545" s="280"/>
    </row>
    <row r="546">
      <c r="A546" s="284" t="s">
        <v>569</v>
      </c>
      <c r="B546" s="285" t="s">
        <v>233</v>
      </c>
      <c r="C546" s="286">
        <v>0.0</v>
      </c>
      <c r="D546" s="286" t="s">
        <v>461</v>
      </c>
      <c r="E546" s="286">
        <v>0.0</v>
      </c>
      <c r="F546" s="286" t="s">
        <v>450</v>
      </c>
      <c r="G546" s="280"/>
      <c r="H546" s="280"/>
      <c r="I546" s="280"/>
      <c r="J546" s="280"/>
      <c r="K546" s="280"/>
      <c r="L546" s="280"/>
      <c r="M546" s="280"/>
      <c r="N546" s="280"/>
      <c r="O546" s="280"/>
      <c r="P546" s="280"/>
      <c r="Q546" s="280"/>
      <c r="R546" s="280"/>
      <c r="S546" s="280"/>
      <c r="T546" s="280"/>
      <c r="U546" s="280"/>
      <c r="V546" s="280"/>
      <c r="W546" s="280"/>
      <c r="X546" s="280"/>
      <c r="Y546" s="280"/>
      <c r="Z546" s="280"/>
    </row>
    <row r="547">
      <c r="A547" s="284" t="s">
        <v>570</v>
      </c>
      <c r="B547" s="285" t="s">
        <v>233</v>
      </c>
      <c r="C547" s="286">
        <v>0.0</v>
      </c>
      <c r="D547" s="286" t="s">
        <v>460</v>
      </c>
      <c r="E547" s="286">
        <v>0.0</v>
      </c>
      <c r="F547" s="286" t="s">
        <v>450</v>
      </c>
      <c r="G547" s="280"/>
      <c r="H547" s="280"/>
      <c r="I547" s="280"/>
      <c r="J547" s="280"/>
      <c r="K547" s="280"/>
      <c r="L547" s="280"/>
      <c r="M547" s="280"/>
      <c r="N547" s="280"/>
      <c r="O547" s="280"/>
      <c r="P547" s="280"/>
      <c r="Q547" s="280"/>
      <c r="R547" s="280"/>
      <c r="S547" s="280"/>
      <c r="T547" s="280"/>
      <c r="U547" s="280"/>
      <c r="V547" s="280"/>
      <c r="W547" s="280"/>
      <c r="X547" s="280"/>
      <c r="Y547" s="280"/>
      <c r="Z547" s="280"/>
    </row>
    <row r="548">
      <c r="A548" s="284" t="s">
        <v>571</v>
      </c>
      <c r="B548" s="285" t="s">
        <v>233</v>
      </c>
      <c r="C548" s="286">
        <v>0.0</v>
      </c>
      <c r="D548" s="286" t="s">
        <v>456</v>
      </c>
      <c r="E548" s="286">
        <v>0.0</v>
      </c>
      <c r="F548" s="286" t="s">
        <v>461</v>
      </c>
      <c r="G548" s="280"/>
      <c r="H548" s="280"/>
      <c r="I548" s="280"/>
      <c r="J548" s="280"/>
      <c r="K548" s="280"/>
      <c r="L548" s="280"/>
      <c r="M548" s="280"/>
      <c r="N548" s="280"/>
      <c r="O548" s="280"/>
      <c r="P548" s="280"/>
      <c r="Q548" s="280"/>
      <c r="R548" s="280"/>
      <c r="S548" s="280"/>
      <c r="T548" s="280"/>
      <c r="U548" s="280"/>
      <c r="V548" s="280"/>
      <c r="W548" s="280"/>
      <c r="X548" s="280"/>
      <c r="Y548" s="280"/>
      <c r="Z548" s="280"/>
    </row>
    <row r="549">
      <c r="A549" s="284" t="s">
        <v>572</v>
      </c>
      <c r="B549" s="285" t="s">
        <v>233</v>
      </c>
      <c r="C549" s="286">
        <v>0.0</v>
      </c>
      <c r="D549" s="286" t="s">
        <v>461</v>
      </c>
      <c r="E549" s="286">
        <v>0.0</v>
      </c>
      <c r="F549" s="286">
        <v>0.0</v>
      </c>
      <c r="G549" s="280"/>
      <c r="H549" s="280"/>
      <c r="I549" s="280"/>
      <c r="J549" s="280"/>
      <c r="K549" s="280"/>
      <c r="L549" s="280"/>
      <c r="M549" s="280"/>
      <c r="N549" s="280"/>
      <c r="O549" s="280"/>
      <c r="P549" s="280"/>
      <c r="Q549" s="280"/>
      <c r="R549" s="280"/>
      <c r="S549" s="280"/>
      <c r="T549" s="280"/>
      <c r="U549" s="280"/>
      <c r="V549" s="280"/>
      <c r="W549" s="280"/>
      <c r="X549" s="280"/>
      <c r="Y549" s="280"/>
      <c r="Z549" s="280"/>
    </row>
    <row r="550">
      <c r="A550" s="284" t="s">
        <v>573</v>
      </c>
      <c r="B550" s="285" t="s">
        <v>233</v>
      </c>
      <c r="C550" s="286">
        <v>0.0</v>
      </c>
      <c r="D550" s="286" t="s">
        <v>461</v>
      </c>
      <c r="E550" s="286">
        <v>0.0</v>
      </c>
      <c r="F550" s="286">
        <v>0.0</v>
      </c>
      <c r="G550" s="280"/>
      <c r="H550" s="280"/>
      <c r="I550" s="280"/>
      <c r="J550" s="280"/>
      <c r="K550" s="280"/>
      <c r="L550" s="280"/>
      <c r="M550" s="280"/>
      <c r="N550" s="280"/>
      <c r="O550" s="280"/>
      <c r="P550" s="280"/>
      <c r="Q550" s="280"/>
      <c r="R550" s="280"/>
      <c r="S550" s="280"/>
      <c r="T550" s="280"/>
      <c r="U550" s="280"/>
      <c r="V550" s="280"/>
      <c r="W550" s="280"/>
      <c r="X550" s="280"/>
      <c r="Y550" s="280"/>
      <c r="Z550" s="280"/>
    </row>
    <row r="551">
      <c r="A551" s="284" t="s">
        <v>574</v>
      </c>
      <c r="B551" s="285" t="s">
        <v>233</v>
      </c>
      <c r="C551" s="286">
        <v>0.0</v>
      </c>
      <c r="D551" s="286" t="s">
        <v>454</v>
      </c>
      <c r="E551" s="286">
        <v>0.0</v>
      </c>
      <c r="F551" s="286">
        <v>0.0</v>
      </c>
      <c r="G551" s="280"/>
      <c r="H551" s="280"/>
      <c r="I551" s="280"/>
      <c r="J551" s="280"/>
      <c r="K551" s="280"/>
      <c r="L551" s="280"/>
      <c r="M551" s="280"/>
      <c r="N551" s="280"/>
      <c r="O551" s="280"/>
      <c r="P551" s="280"/>
      <c r="Q551" s="280"/>
      <c r="R551" s="280"/>
      <c r="S551" s="280"/>
      <c r="T551" s="280"/>
      <c r="U551" s="280"/>
      <c r="V551" s="280"/>
      <c r="W551" s="280"/>
      <c r="X551" s="280"/>
      <c r="Y551" s="280"/>
      <c r="Z551" s="280"/>
    </row>
    <row r="552">
      <c r="A552" s="284" t="s">
        <v>575</v>
      </c>
      <c r="B552" s="285" t="s">
        <v>233</v>
      </c>
      <c r="C552" s="286">
        <v>0.0</v>
      </c>
      <c r="D552" s="286" t="s">
        <v>482</v>
      </c>
      <c r="E552" s="286">
        <v>0.0</v>
      </c>
      <c r="F552" s="286" t="s">
        <v>450</v>
      </c>
      <c r="G552" s="280"/>
      <c r="H552" s="280"/>
      <c r="I552" s="280"/>
      <c r="J552" s="280"/>
      <c r="K552" s="280"/>
      <c r="L552" s="280"/>
      <c r="M552" s="280"/>
      <c r="N552" s="280"/>
      <c r="O552" s="280"/>
      <c r="P552" s="280"/>
      <c r="Q552" s="280"/>
      <c r="R552" s="280"/>
      <c r="S552" s="280"/>
      <c r="T552" s="280"/>
      <c r="U552" s="280"/>
      <c r="V552" s="280"/>
      <c r="W552" s="280"/>
      <c r="X552" s="280"/>
      <c r="Y552" s="280"/>
      <c r="Z552" s="280"/>
    </row>
    <row r="553">
      <c r="A553" s="284" t="s">
        <v>577</v>
      </c>
      <c r="B553" s="285" t="s">
        <v>233</v>
      </c>
      <c r="C553" s="286">
        <v>0.0</v>
      </c>
      <c r="D553" s="286" t="s">
        <v>461</v>
      </c>
      <c r="E553" s="286">
        <v>0.0</v>
      </c>
      <c r="F553" s="286">
        <v>0.0</v>
      </c>
      <c r="G553" s="280"/>
      <c r="H553" s="280"/>
      <c r="I553" s="280"/>
      <c r="J553" s="280"/>
      <c r="K553" s="280"/>
      <c r="L553" s="280"/>
      <c r="M553" s="280"/>
      <c r="N553" s="280"/>
      <c r="O553" s="280"/>
      <c r="P553" s="280"/>
      <c r="Q553" s="280"/>
      <c r="R553" s="280"/>
      <c r="S553" s="280"/>
      <c r="T553" s="280"/>
      <c r="U553" s="280"/>
      <c r="V553" s="280"/>
      <c r="W553" s="280"/>
      <c r="X553" s="280"/>
      <c r="Y553" s="280"/>
      <c r="Z553" s="280"/>
    </row>
    <row r="554">
      <c r="A554" s="284" t="s">
        <v>578</v>
      </c>
      <c r="B554" s="285" t="s">
        <v>233</v>
      </c>
      <c r="C554" s="286" t="s">
        <v>450</v>
      </c>
      <c r="D554" s="286" t="s">
        <v>454</v>
      </c>
      <c r="E554" s="286">
        <v>0.0</v>
      </c>
      <c r="F554" s="286">
        <v>0.0</v>
      </c>
      <c r="G554" s="280"/>
      <c r="H554" s="280"/>
      <c r="I554" s="280"/>
      <c r="J554" s="280"/>
      <c r="K554" s="280"/>
      <c r="L554" s="280"/>
      <c r="M554" s="280"/>
      <c r="N554" s="280"/>
      <c r="O554" s="280"/>
      <c r="P554" s="280"/>
      <c r="Q554" s="280"/>
      <c r="R554" s="280"/>
      <c r="S554" s="280"/>
      <c r="T554" s="280"/>
      <c r="U554" s="280"/>
      <c r="V554" s="280"/>
      <c r="W554" s="280"/>
      <c r="X554" s="280"/>
      <c r="Y554" s="280"/>
      <c r="Z554" s="280"/>
    </row>
    <row r="555">
      <c r="A555" s="284" t="s">
        <v>579</v>
      </c>
      <c r="B555" s="285" t="s">
        <v>233</v>
      </c>
      <c r="C555" s="286">
        <v>0.0</v>
      </c>
      <c r="D555" s="286" t="s">
        <v>458</v>
      </c>
      <c r="E555" s="286">
        <v>0.0</v>
      </c>
      <c r="F555" s="286" t="s">
        <v>450</v>
      </c>
      <c r="G555" s="280"/>
      <c r="H555" s="280"/>
      <c r="I555" s="280"/>
      <c r="J555" s="280"/>
      <c r="K555" s="280"/>
      <c r="L555" s="280"/>
      <c r="M555" s="280"/>
      <c r="N555" s="280"/>
      <c r="O555" s="280"/>
      <c r="P555" s="280"/>
      <c r="Q555" s="280"/>
      <c r="R555" s="280"/>
      <c r="S555" s="280"/>
      <c r="T555" s="280"/>
      <c r="U555" s="280"/>
      <c r="V555" s="280"/>
      <c r="W555" s="280"/>
      <c r="X555" s="280"/>
      <c r="Y555" s="280"/>
      <c r="Z555" s="280"/>
    </row>
    <row r="556">
      <c r="A556" s="284" t="s">
        <v>580</v>
      </c>
      <c r="B556" s="285" t="s">
        <v>233</v>
      </c>
      <c r="C556" s="286">
        <v>0.0</v>
      </c>
      <c r="D556" s="286" t="s">
        <v>461</v>
      </c>
      <c r="E556" s="286">
        <v>0.0</v>
      </c>
      <c r="F556" s="286">
        <v>0.0</v>
      </c>
      <c r="G556" s="280"/>
      <c r="H556" s="280"/>
      <c r="I556" s="280"/>
      <c r="J556" s="280"/>
      <c r="K556" s="280"/>
      <c r="L556" s="280"/>
      <c r="M556" s="280"/>
      <c r="N556" s="280"/>
      <c r="O556" s="280"/>
      <c r="P556" s="280"/>
      <c r="Q556" s="280"/>
      <c r="R556" s="280"/>
      <c r="S556" s="280"/>
      <c r="T556" s="280"/>
      <c r="U556" s="280"/>
      <c r="V556" s="280"/>
      <c r="W556" s="280"/>
      <c r="X556" s="280"/>
      <c r="Y556" s="280"/>
      <c r="Z556" s="280"/>
    </row>
    <row r="557">
      <c r="A557" s="284" t="s">
        <v>581</v>
      </c>
      <c r="B557" s="285" t="s">
        <v>233</v>
      </c>
      <c r="C557" s="286">
        <v>0.0</v>
      </c>
      <c r="D557" s="286" t="s">
        <v>461</v>
      </c>
      <c r="E557" s="286">
        <v>0.0</v>
      </c>
      <c r="F557" s="286" t="s">
        <v>450</v>
      </c>
      <c r="G557" s="280"/>
      <c r="H557" s="280"/>
      <c r="I557" s="280"/>
      <c r="J557" s="280"/>
      <c r="K557" s="280"/>
      <c r="L557" s="280"/>
      <c r="M557" s="280"/>
      <c r="N557" s="280"/>
      <c r="O557" s="280"/>
      <c r="P557" s="280"/>
      <c r="Q557" s="280"/>
      <c r="R557" s="280"/>
      <c r="S557" s="280"/>
      <c r="T557" s="280"/>
      <c r="U557" s="280"/>
      <c r="V557" s="280"/>
      <c r="W557" s="280"/>
      <c r="X557" s="280"/>
      <c r="Y557" s="280"/>
      <c r="Z557" s="280"/>
    </row>
    <row r="558">
      <c r="A558" s="284" t="s">
        <v>582</v>
      </c>
      <c r="B558" s="285" t="s">
        <v>234</v>
      </c>
      <c r="C558" s="286">
        <v>0.0</v>
      </c>
      <c r="D558" s="286" t="s">
        <v>461</v>
      </c>
      <c r="E558" s="286">
        <v>0.0</v>
      </c>
      <c r="F558" s="286" t="s">
        <v>450</v>
      </c>
      <c r="G558" s="280"/>
      <c r="H558" s="280"/>
      <c r="I558" s="280"/>
      <c r="J558" s="280"/>
      <c r="K558" s="280"/>
      <c r="L558" s="280"/>
      <c r="M558" s="280"/>
      <c r="N558" s="280"/>
      <c r="O558" s="280"/>
      <c r="P558" s="280"/>
      <c r="Q558" s="280"/>
      <c r="R558" s="280"/>
      <c r="S558" s="280"/>
      <c r="T558" s="280"/>
      <c r="U558" s="280"/>
      <c r="V558" s="280"/>
      <c r="W558" s="280"/>
      <c r="X558" s="280"/>
      <c r="Y558" s="280"/>
      <c r="Z558" s="280"/>
    </row>
    <row r="559">
      <c r="A559" s="284" t="s">
        <v>583</v>
      </c>
      <c r="B559" s="285" t="s">
        <v>234</v>
      </c>
      <c r="C559" s="286">
        <v>0.0</v>
      </c>
      <c r="D559" s="286" t="s">
        <v>461</v>
      </c>
      <c r="E559" s="286">
        <v>0.0</v>
      </c>
      <c r="F559" s="286">
        <v>0.0</v>
      </c>
      <c r="G559" s="280"/>
      <c r="H559" s="280"/>
      <c r="I559" s="280"/>
      <c r="J559" s="280"/>
      <c r="K559" s="280"/>
      <c r="L559" s="280"/>
      <c r="M559" s="280"/>
      <c r="N559" s="280"/>
      <c r="O559" s="280"/>
      <c r="P559" s="280"/>
      <c r="Q559" s="280"/>
      <c r="R559" s="280"/>
      <c r="S559" s="280"/>
      <c r="T559" s="280"/>
      <c r="U559" s="280"/>
      <c r="V559" s="280"/>
      <c r="W559" s="280"/>
      <c r="X559" s="280"/>
      <c r="Y559" s="280"/>
      <c r="Z559" s="280"/>
    </row>
    <row r="560">
      <c r="A560" s="284" t="s">
        <v>584</v>
      </c>
      <c r="B560" s="285" t="s">
        <v>234</v>
      </c>
      <c r="C560" s="286">
        <v>0.0</v>
      </c>
      <c r="D560" s="286" t="s">
        <v>454</v>
      </c>
      <c r="E560" s="286">
        <v>0.0</v>
      </c>
      <c r="F560" s="286">
        <v>0.0</v>
      </c>
      <c r="G560" s="280"/>
      <c r="H560" s="280"/>
      <c r="I560" s="280"/>
      <c r="J560" s="280"/>
      <c r="K560" s="280"/>
      <c r="L560" s="280"/>
      <c r="M560" s="280"/>
      <c r="N560" s="280"/>
      <c r="O560" s="280"/>
      <c r="P560" s="280"/>
      <c r="Q560" s="280"/>
      <c r="R560" s="280"/>
      <c r="S560" s="280"/>
      <c r="T560" s="280"/>
      <c r="U560" s="280"/>
      <c r="V560" s="280"/>
      <c r="W560" s="280"/>
      <c r="X560" s="280"/>
      <c r="Y560" s="280"/>
      <c r="Z560" s="280"/>
    </row>
    <row r="561">
      <c r="A561" s="284" t="s">
        <v>585</v>
      </c>
      <c r="B561" s="285" t="s">
        <v>234</v>
      </c>
      <c r="C561" s="286" t="s">
        <v>450</v>
      </c>
      <c r="D561" s="286" t="s">
        <v>947</v>
      </c>
      <c r="E561" s="286">
        <v>0.0</v>
      </c>
      <c r="F561" s="286" t="s">
        <v>450</v>
      </c>
      <c r="G561" s="280"/>
      <c r="H561" s="280"/>
      <c r="I561" s="280"/>
      <c r="J561" s="280"/>
      <c r="K561" s="280"/>
      <c r="L561" s="280"/>
      <c r="M561" s="280"/>
      <c r="N561" s="280"/>
      <c r="O561" s="280"/>
      <c r="P561" s="280"/>
      <c r="Q561" s="280"/>
      <c r="R561" s="280"/>
      <c r="S561" s="280"/>
      <c r="T561" s="280"/>
      <c r="U561" s="280"/>
      <c r="V561" s="280"/>
      <c r="W561" s="280"/>
      <c r="X561" s="280"/>
      <c r="Y561" s="280"/>
      <c r="Z561" s="280"/>
    </row>
    <row r="562">
      <c r="A562" s="284" t="s">
        <v>587</v>
      </c>
      <c r="B562" s="285" t="s">
        <v>234</v>
      </c>
      <c r="C562" s="286">
        <v>0.0</v>
      </c>
      <c r="D562" s="286" t="s">
        <v>460</v>
      </c>
      <c r="E562" s="286">
        <v>0.0</v>
      </c>
      <c r="F562" s="286">
        <v>0.0</v>
      </c>
      <c r="G562" s="280"/>
      <c r="H562" s="280"/>
      <c r="I562" s="280"/>
      <c r="J562" s="280"/>
      <c r="K562" s="280"/>
      <c r="L562" s="280"/>
      <c r="M562" s="280"/>
      <c r="N562" s="280"/>
      <c r="O562" s="280"/>
      <c r="P562" s="280"/>
      <c r="Q562" s="280"/>
      <c r="R562" s="280"/>
      <c r="S562" s="280"/>
      <c r="T562" s="280"/>
      <c r="U562" s="280"/>
      <c r="V562" s="280"/>
      <c r="W562" s="280"/>
      <c r="X562" s="280"/>
      <c r="Y562" s="280"/>
      <c r="Z562" s="280"/>
    </row>
    <row r="563">
      <c r="A563" s="284" t="s">
        <v>588</v>
      </c>
      <c r="B563" s="285" t="s">
        <v>234</v>
      </c>
      <c r="C563" s="286" t="s">
        <v>450</v>
      </c>
      <c r="D563" s="286" t="s">
        <v>461</v>
      </c>
      <c r="E563" s="286">
        <v>0.0</v>
      </c>
      <c r="F563" s="286">
        <v>0.0</v>
      </c>
      <c r="G563" s="280"/>
      <c r="H563" s="280"/>
      <c r="I563" s="280"/>
      <c r="J563" s="280"/>
      <c r="K563" s="280"/>
      <c r="L563" s="280"/>
      <c r="M563" s="280"/>
      <c r="N563" s="280"/>
      <c r="O563" s="280"/>
      <c r="P563" s="280"/>
      <c r="Q563" s="280"/>
      <c r="R563" s="280"/>
      <c r="S563" s="280"/>
      <c r="T563" s="280"/>
      <c r="U563" s="280"/>
      <c r="V563" s="280"/>
      <c r="W563" s="280"/>
      <c r="X563" s="280"/>
      <c r="Y563" s="280"/>
      <c r="Z563" s="280"/>
    </row>
    <row r="564">
      <c r="A564" s="284" t="s">
        <v>589</v>
      </c>
      <c r="B564" s="285" t="s">
        <v>234</v>
      </c>
      <c r="C564" s="286">
        <v>0.0</v>
      </c>
      <c r="D564" s="286" t="s">
        <v>454</v>
      </c>
      <c r="E564" s="286">
        <v>0.0</v>
      </c>
      <c r="F564" s="286">
        <v>0.0</v>
      </c>
      <c r="G564" s="280"/>
      <c r="H564" s="280"/>
      <c r="I564" s="280"/>
      <c r="J564" s="280"/>
      <c r="K564" s="280"/>
      <c r="L564" s="280"/>
      <c r="M564" s="280"/>
      <c r="N564" s="280"/>
      <c r="O564" s="280"/>
      <c r="P564" s="280"/>
      <c r="Q564" s="280"/>
      <c r="R564" s="280"/>
      <c r="S564" s="280"/>
      <c r="T564" s="280"/>
      <c r="U564" s="280"/>
      <c r="V564" s="280"/>
      <c r="W564" s="280"/>
      <c r="X564" s="280"/>
      <c r="Y564" s="280"/>
      <c r="Z564" s="280"/>
    </row>
    <row r="565">
      <c r="A565" s="284" t="s">
        <v>590</v>
      </c>
      <c r="B565" s="285" t="s">
        <v>234</v>
      </c>
      <c r="C565" s="286">
        <v>0.0</v>
      </c>
      <c r="D565" s="286" t="s">
        <v>461</v>
      </c>
      <c r="E565" s="286">
        <v>0.0</v>
      </c>
      <c r="F565" s="286">
        <v>0.0</v>
      </c>
      <c r="G565" s="280"/>
      <c r="H565" s="280"/>
      <c r="I565" s="280"/>
      <c r="J565" s="280"/>
      <c r="K565" s="280"/>
      <c r="L565" s="280"/>
      <c r="M565" s="280"/>
      <c r="N565" s="280"/>
      <c r="O565" s="280"/>
      <c r="P565" s="280"/>
      <c r="Q565" s="280"/>
      <c r="R565" s="280"/>
      <c r="S565" s="280"/>
      <c r="T565" s="280"/>
      <c r="U565" s="280"/>
      <c r="V565" s="280"/>
      <c r="W565" s="280"/>
      <c r="X565" s="280"/>
      <c r="Y565" s="280"/>
      <c r="Z565" s="280"/>
    </row>
    <row r="566">
      <c r="A566" s="284" t="s">
        <v>594</v>
      </c>
      <c r="B566" s="285" t="s">
        <v>595</v>
      </c>
      <c r="C566" s="286" t="s">
        <v>450</v>
      </c>
      <c r="D566" s="286" t="s">
        <v>460</v>
      </c>
      <c r="E566" s="286">
        <v>0.0</v>
      </c>
      <c r="F566" s="286">
        <v>0.0</v>
      </c>
      <c r="G566" s="280"/>
      <c r="H566" s="280"/>
      <c r="I566" s="280"/>
      <c r="J566" s="280"/>
      <c r="K566" s="280"/>
      <c r="L566" s="280"/>
      <c r="M566" s="280"/>
      <c r="N566" s="280"/>
      <c r="O566" s="280"/>
      <c r="P566" s="280"/>
      <c r="Q566" s="280"/>
      <c r="R566" s="280"/>
      <c r="S566" s="280"/>
      <c r="T566" s="280"/>
      <c r="U566" s="280"/>
      <c r="V566" s="280"/>
      <c r="W566" s="280"/>
      <c r="X566" s="280"/>
      <c r="Y566" s="280"/>
      <c r="Z566" s="280"/>
    </row>
    <row r="567">
      <c r="A567" s="284" t="s">
        <v>597</v>
      </c>
      <c r="B567" s="285" t="s">
        <v>235</v>
      </c>
      <c r="C567" s="286">
        <v>0.0</v>
      </c>
      <c r="D567" s="286" t="s">
        <v>461</v>
      </c>
      <c r="E567" s="286">
        <v>0.0</v>
      </c>
      <c r="F567" s="286" t="s">
        <v>450</v>
      </c>
      <c r="G567" s="280"/>
      <c r="H567" s="280"/>
      <c r="I567" s="280"/>
      <c r="J567" s="280"/>
      <c r="K567" s="280"/>
      <c r="L567" s="280"/>
      <c r="M567" s="280"/>
      <c r="N567" s="280"/>
      <c r="O567" s="280"/>
      <c r="P567" s="280"/>
      <c r="Q567" s="280"/>
      <c r="R567" s="280"/>
      <c r="S567" s="280"/>
      <c r="T567" s="280"/>
      <c r="U567" s="280"/>
      <c r="V567" s="280"/>
      <c r="W567" s="280"/>
      <c r="X567" s="280"/>
      <c r="Y567" s="280"/>
      <c r="Z567" s="280"/>
    </row>
    <row r="568">
      <c r="A568" s="284" t="s">
        <v>598</v>
      </c>
      <c r="B568" s="285" t="s">
        <v>235</v>
      </c>
      <c r="C568" s="286">
        <v>0.0</v>
      </c>
      <c r="D568" s="286" t="s">
        <v>454</v>
      </c>
      <c r="E568" s="286">
        <v>0.0</v>
      </c>
      <c r="F568" s="286" t="s">
        <v>450</v>
      </c>
      <c r="G568" s="280"/>
      <c r="H568" s="280"/>
      <c r="I568" s="280"/>
      <c r="J568" s="280"/>
      <c r="K568" s="280"/>
      <c r="L568" s="280"/>
      <c r="M568" s="280"/>
      <c r="N568" s="280"/>
      <c r="O568" s="280"/>
      <c r="P568" s="280"/>
      <c r="Q568" s="280"/>
      <c r="R568" s="280"/>
      <c r="S568" s="280"/>
      <c r="T568" s="280"/>
      <c r="U568" s="280"/>
      <c r="V568" s="280"/>
      <c r="W568" s="280"/>
      <c r="X568" s="280"/>
      <c r="Y568" s="280"/>
      <c r="Z568" s="280"/>
    </row>
    <row r="569">
      <c r="A569" s="284" t="s">
        <v>599</v>
      </c>
      <c r="B569" s="285" t="s">
        <v>235</v>
      </c>
      <c r="C569" s="286">
        <v>0.0</v>
      </c>
      <c r="D569" s="286" t="s">
        <v>450</v>
      </c>
      <c r="E569" s="286">
        <v>0.0</v>
      </c>
      <c r="F569" s="286">
        <v>0.0</v>
      </c>
      <c r="G569" s="280"/>
      <c r="H569" s="280"/>
      <c r="I569" s="280"/>
      <c r="J569" s="280"/>
      <c r="K569" s="280"/>
      <c r="L569" s="280"/>
      <c r="M569" s="280"/>
      <c r="N569" s="280"/>
      <c r="O569" s="280"/>
      <c r="P569" s="280"/>
      <c r="Q569" s="280"/>
      <c r="R569" s="280"/>
      <c r="S569" s="280"/>
      <c r="T569" s="280"/>
      <c r="U569" s="280"/>
      <c r="V569" s="280"/>
      <c r="W569" s="280"/>
      <c r="X569" s="280"/>
      <c r="Y569" s="280"/>
      <c r="Z569" s="280"/>
    </row>
    <row r="570">
      <c r="A570" s="284" t="s">
        <v>600</v>
      </c>
      <c r="B570" s="285" t="s">
        <v>235</v>
      </c>
      <c r="C570" s="286">
        <v>0.0</v>
      </c>
      <c r="D570" s="286" t="s">
        <v>450</v>
      </c>
      <c r="E570" s="286">
        <v>0.0</v>
      </c>
      <c r="F570" s="286">
        <v>0.0</v>
      </c>
      <c r="G570" s="280"/>
      <c r="H570" s="280"/>
      <c r="I570" s="280"/>
      <c r="J570" s="280"/>
      <c r="K570" s="280"/>
      <c r="L570" s="280"/>
      <c r="M570" s="280"/>
      <c r="N570" s="280"/>
      <c r="O570" s="280"/>
      <c r="P570" s="280"/>
      <c r="Q570" s="280"/>
      <c r="R570" s="280"/>
      <c r="S570" s="280"/>
      <c r="T570" s="280"/>
      <c r="U570" s="280"/>
      <c r="V570" s="280"/>
      <c r="W570" s="280"/>
      <c r="X570" s="280"/>
      <c r="Y570" s="280"/>
      <c r="Z570" s="280"/>
    </row>
    <row r="571">
      <c r="A571" s="284" t="s">
        <v>602</v>
      </c>
      <c r="B571" s="285" t="s">
        <v>235</v>
      </c>
      <c r="C571" s="286">
        <v>0.0</v>
      </c>
      <c r="D571" s="286" t="s">
        <v>450</v>
      </c>
      <c r="E571" s="286">
        <v>0.0</v>
      </c>
      <c r="F571" s="286">
        <v>0.0</v>
      </c>
      <c r="G571" s="280"/>
      <c r="H571" s="280"/>
      <c r="I571" s="280"/>
      <c r="J571" s="280"/>
      <c r="K571" s="280"/>
      <c r="L571" s="280"/>
      <c r="M571" s="280"/>
      <c r="N571" s="280"/>
      <c r="O571" s="280"/>
      <c r="P571" s="280"/>
      <c r="Q571" s="280"/>
      <c r="R571" s="280"/>
      <c r="S571" s="280"/>
      <c r="T571" s="280"/>
      <c r="U571" s="280"/>
      <c r="V571" s="280"/>
      <c r="W571" s="280"/>
      <c r="X571" s="280"/>
      <c r="Y571" s="280"/>
      <c r="Z571" s="280"/>
    </row>
    <row r="572">
      <c r="A572" s="284" t="s">
        <v>603</v>
      </c>
      <c r="B572" s="285" t="s">
        <v>236</v>
      </c>
      <c r="C572" s="286">
        <v>0.0</v>
      </c>
      <c r="D572" s="286" t="s">
        <v>454</v>
      </c>
      <c r="E572" s="286">
        <v>0.0</v>
      </c>
      <c r="F572" s="286">
        <v>0.0</v>
      </c>
      <c r="G572" s="280"/>
      <c r="H572" s="280"/>
      <c r="I572" s="280"/>
      <c r="J572" s="280"/>
      <c r="K572" s="280"/>
      <c r="L572" s="280"/>
      <c r="M572" s="280"/>
      <c r="N572" s="280"/>
      <c r="O572" s="280"/>
      <c r="P572" s="280"/>
      <c r="Q572" s="280"/>
      <c r="R572" s="280"/>
      <c r="S572" s="280"/>
      <c r="T572" s="280"/>
      <c r="U572" s="280"/>
      <c r="V572" s="280"/>
      <c r="W572" s="280"/>
      <c r="X572" s="280"/>
      <c r="Y572" s="280"/>
      <c r="Z572" s="280"/>
    </row>
    <row r="573">
      <c r="A573" s="284" t="s">
        <v>604</v>
      </c>
      <c r="B573" s="285" t="s">
        <v>236</v>
      </c>
      <c r="C573" s="286">
        <v>0.0</v>
      </c>
      <c r="D573" s="286" t="s">
        <v>461</v>
      </c>
      <c r="E573" s="286">
        <v>0.0</v>
      </c>
      <c r="F573" s="286" t="s">
        <v>450</v>
      </c>
      <c r="G573" s="280"/>
      <c r="H573" s="280"/>
      <c r="I573" s="280"/>
      <c r="J573" s="280"/>
      <c r="K573" s="280"/>
      <c r="L573" s="280"/>
      <c r="M573" s="280"/>
      <c r="N573" s="280"/>
      <c r="O573" s="280"/>
      <c r="P573" s="280"/>
      <c r="Q573" s="280"/>
      <c r="R573" s="280"/>
      <c r="S573" s="280"/>
      <c r="T573" s="280"/>
      <c r="U573" s="280"/>
      <c r="V573" s="280"/>
      <c r="W573" s="280"/>
      <c r="X573" s="280"/>
      <c r="Y573" s="280"/>
      <c r="Z573" s="280"/>
    </row>
    <row r="574">
      <c r="A574" s="284" t="s">
        <v>605</v>
      </c>
      <c r="B574" s="285" t="s">
        <v>236</v>
      </c>
      <c r="C574" s="286">
        <v>0.0</v>
      </c>
      <c r="D574" s="286" t="s">
        <v>551</v>
      </c>
      <c r="E574" s="286">
        <v>0.0</v>
      </c>
      <c r="F574" s="286" t="s">
        <v>461</v>
      </c>
      <c r="G574" s="280"/>
      <c r="H574" s="280"/>
      <c r="I574" s="280"/>
      <c r="J574" s="280"/>
      <c r="K574" s="280"/>
      <c r="L574" s="280"/>
      <c r="M574" s="280"/>
      <c r="N574" s="280"/>
      <c r="O574" s="280"/>
      <c r="P574" s="280"/>
      <c r="Q574" s="280"/>
      <c r="R574" s="280"/>
      <c r="S574" s="280"/>
      <c r="T574" s="280"/>
      <c r="U574" s="280"/>
      <c r="V574" s="280"/>
      <c r="W574" s="280"/>
      <c r="X574" s="280"/>
      <c r="Y574" s="280"/>
      <c r="Z574" s="280"/>
    </row>
    <row r="575">
      <c r="A575" s="284" t="s">
        <v>606</v>
      </c>
      <c r="B575" s="285" t="s">
        <v>236</v>
      </c>
      <c r="C575" s="286">
        <v>0.0</v>
      </c>
      <c r="D575" s="286" t="s">
        <v>460</v>
      </c>
      <c r="E575" s="286">
        <v>0.0</v>
      </c>
      <c r="F575" s="286" t="s">
        <v>450</v>
      </c>
      <c r="G575" s="280"/>
      <c r="H575" s="280"/>
      <c r="I575" s="280"/>
      <c r="J575" s="280"/>
      <c r="K575" s="280"/>
      <c r="L575" s="280"/>
      <c r="M575" s="280"/>
      <c r="N575" s="280"/>
      <c r="O575" s="280"/>
      <c r="P575" s="280"/>
      <c r="Q575" s="280"/>
      <c r="R575" s="280"/>
      <c r="S575" s="280"/>
      <c r="T575" s="280"/>
      <c r="U575" s="280"/>
      <c r="V575" s="280"/>
      <c r="W575" s="280"/>
      <c r="X575" s="280"/>
      <c r="Y575" s="280"/>
      <c r="Z575" s="280"/>
    </row>
    <row r="576">
      <c r="A576" s="284" t="s">
        <v>607</v>
      </c>
      <c r="B576" s="285" t="s">
        <v>236</v>
      </c>
      <c r="C576" s="286">
        <v>0.0</v>
      </c>
      <c r="D576" s="286" t="s">
        <v>450</v>
      </c>
      <c r="E576" s="286">
        <v>0.0</v>
      </c>
      <c r="F576" s="286">
        <v>0.0</v>
      </c>
      <c r="G576" s="280"/>
      <c r="H576" s="280"/>
      <c r="I576" s="280"/>
      <c r="J576" s="280"/>
      <c r="K576" s="280"/>
      <c r="L576" s="280"/>
      <c r="M576" s="280"/>
      <c r="N576" s="280"/>
      <c r="O576" s="280"/>
      <c r="P576" s="280"/>
      <c r="Q576" s="280"/>
      <c r="R576" s="280"/>
      <c r="S576" s="280"/>
      <c r="T576" s="280"/>
      <c r="U576" s="280"/>
      <c r="V576" s="280"/>
      <c r="W576" s="280"/>
      <c r="X576" s="280"/>
      <c r="Y576" s="280"/>
      <c r="Z576" s="280"/>
    </row>
    <row r="577">
      <c r="A577" s="284" t="s">
        <v>608</v>
      </c>
      <c r="B577" s="285" t="s">
        <v>236</v>
      </c>
      <c r="C577" s="286">
        <v>0.0</v>
      </c>
      <c r="D577" s="286" t="s">
        <v>461</v>
      </c>
      <c r="E577" s="286">
        <v>0.0</v>
      </c>
      <c r="F577" s="286">
        <v>0.0</v>
      </c>
      <c r="G577" s="280"/>
      <c r="H577" s="280"/>
      <c r="I577" s="280"/>
      <c r="J577" s="280"/>
      <c r="K577" s="280"/>
      <c r="L577" s="280"/>
      <c r="M577" s="280"/>
      <c r="N577" s="280"/>
      <c r="O577" s="280"/>
      <c r="P577" s="280"/>
      <c r="Q577" s="280"/>
      <c r="R577" s="280"/>
      <c r="S577" s="280"/>
      <c r="T577" s="280"/>
      <c r="U577" s="280"/>
      <c r="V577" s="280"/>
      <c r="W577" s="280"/>
      <c r="X577" s="280"/>
      <c r="Y577" s="280"/>
      <c r="Z577" s="280"/>
    </row>
    <row r="578">
      <c r="A578" s="284" t="s">
        <v>610</v>
      </c>
      <c r="B578" s="285" t="s">
        <v>236</v>
      </c>
      <c r="C578" s="286">
        <v>0.0</v>
      </c>
      <c r="D578" s="286" t="s">
        <v>461</v>
      </c>
      <c r="E578" s="286">
        <v>0.0</v>
      </c>
      <c r="F578" s="286">
        <v>0.0</v>
      </c>
      <c r="G578" s="280"/>
      <c r="H578" s="280"/>
      <c r="I578" s="280"/>
      <c r="J578" s="280"/>
      <c r="K578" s="280"/>
      <c r="L578" s="280"/>
      <c r="M578" s="280"/>
      <c r="N578" s="280"/>
      <c r="O578" s="280"/>
      <c r="P578" s="280"/>
      <c r="Q578" s="280"/>
      <c r="R578" s="280"/>
      <c r="S578" s="280"/>
      <c r="T578" s="280"/>
      <c r="U578" s="280"/>
      <c r="V578" s="280"/>
      <c r="W578" s="280"/>
      <c r="X578" s="280"/>
      <c r="Y578" s="280"/>
      <c r="Z578" s="280"/>
    </row>
    <row r="579">
      <c r="A579" s="284" t="s">
        <v>611</v>
      </c>
      <c r="B579" s="285" t="s">
        <v>236</v>
      </c>
      <c r="C579" s="286">
        <v>0.0</v>
      </c>
      <c r="D579" s="286" t="s">
        <v>461</v>
      </c>
      <c r="E579" s="286">
        <v>0.0</v>
      </c>
      <c r="F579" s="286">
        <v>0.0</v>
      </c>
      <c r="G579" s="280"/>
      <c r="H579" s="280"/>
      <c r="I579" s="280"/>
      <c r="J579" s="280"/>
      <c r="K579" s="280"/>
      <c r="L579" s="280"/>
      <c r="M579" s="280"/>
      <c r="N579" s="280"/>
      <c r="O579" s="280"/>
      <c r="P579" s="280"/>
      <c r="Q579" s="280"/>
      <c r="R579" s="280"/>
      <c r="S579" s="280"/>
      <c r="T579" s="280"/>
      <c r="U579" s="280"/>
      <c r="V579" s="280"/>
      <c r="W579" s="280"/>
      <c r="X579" s="280"/>
      <c r="Y579" s="280"/>
      <c r="Z579" s="280"/>
    </row>
    <row r="580">
      <c r="A580" s="284" t="s">
        <v>612</v>
      </c>
      <c r="B580" s="285" t="s">
        <v>236</v>
      </c>
      <c r="C580" s="286" t="s">
        <v>450</v>
      </c>
      <c r="D580" s="286" t="s">
        <v>454</v>
      </c>
      <c r="E580" s="286">
        <v>0.0</v>
      </c>
      <c r="F580" s="286">
        <v>0.0</v>
      </c>
      <c r="G580" s="280"/>
      <c r="H580" s="280"/>
      <c r="I580" s="280"/>
      <c r="J580" s="280"/>
      <c r="K580" s="280"/>
      <c r="L580" s="280"/>
      <c r="M580" s="280"/>
      <c r="N580" s="280"/>
      <c r="O580" s="280"/>
      <c r="P580" s="280"/>
      <c r="Q580" s="280"/>
      <c r="R580" s="280"/>
      <c r="S580" s="280"/>
      <c r="T580" s="280"/>
      <c r="U580" s="280"/>
      <c r="V580" s="280"/>
      <c r="W580" s="280"/>
      <c r="X580" s="280"/>
      <c r="Y580" s="280"/>
      <c r="Z580" s="280"/>
    </row>
    <row r="581">
      <c r="A581" s="284" t="s">
        <v>613</v>
      </c>
      <c r="B581" s="285" t="s">
        <v>236</v>
      </c>
      <c r="C581" s="286">
        <v>0.0</v>
      </c>
      <c r="D581" s="286" t="s">
        <v>516</v>
      </c>
      <c r="E581" s="286">
        <v>0.0</v>
      </c>
      <c r="F581" s="286" t="s">
        <v>450</v>
      </c>
      <c r="G581" s="280"/>
      <c r="H581" s="280"/>
      <c r="I581" s="280"/>
      <c r="J581" s="280"/>
      <c r="K581" s="280"/>
      <c r="L581" s="280"/>
      <c r="M581" s="280"/>
      <c r="N581" s="280"/>
      <c r="O581" s="280"/>
      <c r="P581" s="280"/>
      <c r="Q581" s="280"/>
      <c r="R581" s="280"/>
      <c r="S581" s="280"/>
      <c r="T581" s="280"/>
      <c r="U581" s="280"/>
      <c r="V581" s="280"/>
      <c r="W581" s="280"/>
      <c r="X581" s="280"/>
      <c r="Y581" s="280"/>
      <c r="Z581" s="280"/>
    </row>
    <row r="582">
      <c r="A582" s="284" t="s">
        <v>614</v>
      </c>
      <c r="B582" s="285" t="s">
        <v>236</v>
      </c>
      <c r="C582" s="286">
        <v>0.0</v>
      </c>
      <c r="D582" s="286" t="s">
        <v>461</v>
      </c>
      <c r="E582" s="286">
        <v>0.0</v>
      </c>
      <c r="F582" s="286" t="s">
        <v>450</v>
      </c>
      <c r="G582" s="280"/>
      <c r="H582" s="280"/>
      <c r="I582" s="280"/>
      <c r="J582" s="280"/>
      <c r="K582" s="280"/>
      <c r="L582" s="280"/>
      <c r="M582" s="280"/>
      <c r="N582" s="280"/>
      <c r="O582" s="280"/>
      <c r="P582" s="280"/>
      <c r="Q582" s="280"/>
      <c r="R582" s="280"/>
      <c r="S582" s="280"/>
      <c r="T582" s="280"/>
      <c r="U582" s="280"/>
      <c r="V582" s="280"/>
      <c r="W582" s="280"/>
      <c r="X582" s="280"/>
      <c r="Y582" s="280"/>
      <c r="Z582" s="280"/>
    </row>
    <row r="583">
      <c r="A583" s="284" t="s">
        <v>616</v>
      </c>
      <c r="B583" s="285" t="s">
        <v>617</v>
      </c>
      <c r="C583" s="286">
        <v>0.0</v>
      </c>
      <c r="D583" s="286" t="s">
        <v>461</v>
      </c>
      <c r="E583" s="286">
        <v>0.0</v>
      </c>
      <c r="F583" s="286" t="s">
        <v>450</v>
      </c>
      <c r="G583" s="280"/>
      <c r="H583" s="280"/>
      <c r="I583" s="280"/>
      <c r="J583" s="280"/>
      <c r="K583" s="280"/>
      <c r="L583" s="280"/>
      <c r="M583" s="280"/>
      <c r="N583" s="280"/>
      <c r="O583" s="280"/>
      <c r="P583" s="280"/>
      <c r="Q583" s="280"/>
      <c r="R583" s="280"/>
      <c r="S583" s="280"/>
      <c r="T583" s="280"/>
      <c r="U583" s="280"/>
      <c r="V583" s="280"/>
      <c r="W583" s="280"/>
      <c r="X583" s="280"/>
      <c r="Y583" s="280"/>
      <c r="Z583" s="280"/>
    </row>
    <row r="584">
      <c r="A584" s="284" t="s">
        <v>618</v>
      </c>
      <c r="B584" s="285" t="s">
        <v>617</v>
      </c>
      <c r="C584" s="286">
        <v>0.0</v>
      </c>
      <c r="D584" s="286" t="s">
        <v>450</v>
      </c>
      <c r="E584" s="286">
        <v>0.0</v>
      </c>
      <c r="F584" s="286">
        <v>0.0</v>
      </c>
      <c r="G584" s="280"/>
      <c r="H584" s="280"/>
      <c r="I584" s="280"/>
      <c r="J584" s="280"/>
      <c r="K584" s="280"/>
      <c r="L584" s="280"/>
      <c r="M584" s="280"/>
      <c r="N584" s="280"/>
      <c r="O584" s="280"/>
      <c r="P584" s="280"/>
      <c r="Q584" s="280"/>
      <c r="R584" s="280"/>
      <c r="S584" s="280"/>
      <c r="T584" s="280"/>
      <c r="U584" s="280"/>
      <c r="V584" s="280"/>
      <c r="W584" s="280"/>
      <c r="X584" s="280"/>
      <c r="Y584" s="280"/>
      <c r="Z584" s="280"/>
    </row>
    <row r="585">
      <c r="A585" s="284" t="s">
        <v>619</v>
      </c>
      <c r="B585" s="285" t="s">
        <v>617</v>
      </c>
      <c r="C585" s="286" t="s">
        <v>450</v>
      </c>
      <c r="D585" s="286" t="s">
        <v>461</v>
      </c>
      <c r="E585" s="286">
        <v>0.0</v>
      </c>
      <c r="F585" s="286">
        <v>0.0</v>
      </c>
      <c r="G585" s="280"/>
      <c r="H585" s="280"/>
      <c r="I585" s="280"/>
      <c r="J585" s="280"/>
      <c r="K585" s="280"/>
      <c r="L585" s="280"/>
      <c r="M585" s="280"/>
      <c r="N585" s="280"/>
      <c r="O585" s="280"/>
      <c r="P585" s="280"/>
      <c r="Q585" s="280"/>
      <c r="R585" s="280"/>
      <c r="S585" s="280"/>
      <c r="T585" s="280"/>
      <c r="U585" s="280"/>
      <c r="V585" s="280"/>
      <c r="W585" s="280"/>
      <c r="X585" s="280"/>
      <c r="Y585" s="280"/>
      <c r="Z585" s="280"/>
    </row>
    <row r="586">
      <c r="A586" s="284" t="s">
        <v>621</v>
      </c>
      <c r="B586" s="285" t="s">
        <v>617</v>
      </c>
      <c r="C586" s="286">
        <v>0.0</v>
      </c>
      <c r="D586" s="286" t="s">
        <v>450</v>
      </c>
      <c r="E586" s="286">
        <v>0.0</v>
      </c>
      <c r="F586" s="286">
        <v>0.0</v>
      </c>
      <c r="G586" s="280"/>
      <c r="H586" s="280"/>
      <c r="I586" s="280"/>
      <c r="J586" s="280"/>
      <c r="K586" s="280"/>
      <c r="L586" s="280"/>
      <c r="M586" s="280"/>
      <c r="N586" s="280"/>
      <c r="O586" s="280"/>
      <c r="P586" s="280"/>
      <c r="Q586" s="280"/>
      <c r="R586" s="280"/>
      <c r="S586" s="280"/>
      <c r="T586" s="280"/>
      <c r="U586" s="280"/>
      <c r="V586" s="280"/>
      <c r="W586" s="280"/>
      <c r="X586" s="280"/>
      <c r="Y586" s="280"/>
      <c r="Z586" s="280"/>
    </row>
    <row r="587">
      <c r="A587" s="284" t="s">
        <v>622</v>
      </c>
      <c r="B587" s="285" t="s">
        <v>238</v>
      </c>
      <c r="C587" s="286">
        <v>0.0</v>
      </c>
      <c r="D587" s="286" t="s">
        <v>450</v>
      </c>
      <c r="E587" s="286">
        <v>0.0</v>
      </c>
      <c r="F587" s="286" t="s">
        <v>450</v>
      </c>
      <c r="G587" s="280"/>
      <c r="H587" s="280"/>
      <c r="I587" s="280"/>
      <c r="J587" s="280"/>
      <c r="K587" s="280"/>
      <c r="L587" s="280"/>
      <c r="M587" s="280"/>
      <c r="N587" s="280"/>
      <c r="O587" s="280"/>
      <c r="P587" s="280"/>
      <c r="Q587" s="280"/>
      <c r="R587" s="280"/>
      <c r="S587" s="280"/>
      <c r="T587" s="280"/>
      <c r="U587" s="280"/>
      <c r="V587" s="280"/>
      <c r="W587" s="280"/>
      <c r="X587" s="280"/>
      <c r="Y587" s="280"/>
      <c r="Z587" s="280"/>
    </row>
    <row r="588">
      <c r="A588" s="284" t="s">
        <v>623</v>
      </c>
      <c r="B588" s="285" t="s">
        <v>624</v>
      </c>
      <c r="C588" s="286">
        <v>0.0</v>
      </c>
      <c r="D588" s="286" t="s">
        <v>456</v>
      </c>
      <c r="E588" s="286">
        <v>0.0</v>
      </c>
      <c r="F588" s="286" t="s">
        <v>450</v>
      </c>
      <c r="G588" s="280"/>
      <c r="H588" s="280"/>
      <c r="I588" s="280"/>
      <c r="J588" s="280"/>
      <c r="K588" s="280"/>
      <c r="L588" s="280"/>
      <c r="M588" s="280"/>
      <c r="N588" s="280"/>
      <c r="O588" s="280"/>
      <c r="P588" s="280"/>
      <c r="Q588" s="280"/>
      <c r="R588" s="280"/>
      <c r="S588" s="280"/>
      <c r="T588" s="280"/>
      <c r="U588" s="280"/>
      <c r="V588" s="280"/>
      <c r="W588" s="280"/>
      <c r="X588" s="280"/>
      <c r="Y588" s="280"/>
      <c r="Z588" s="280"/>
    </row>
    <row r="589">
      <c r="A589" s="284" t="s">
        <v>625</v>
      </c>
      <c r="B589" s="285" t="s">
        <v>624</v>
      </c>
      <c r="C589" s="286">
        <v>0.0</v>
      </c>
      <c r="D589" s="286" t="s">
        <v>461</v>
      </c>
      <c r="E589" s="286">
        <v>0.0</v>
      </c>
      <c r="F589" s="286" t="s">
        <v>450</v>
      </c>
      <c r="G589" s="280"/>
      <c r="H589" s="280"/>
      <c r="I589" s="280"/>
      <c r="J589" s="280"/>
      <c r="K589" s="280"/>
      <c r="L589" s="280"/>
      <c r="M589" s="280"/>
      <c r="N589" s="280"/>
      <c r="O589" s="280"/>
      <c r="P589" s="280"/>
      <c r="Q589" s="280"/>
      <c r="R589" s="280"/>
      <c r="S589" s="280"/>
      <c r="T589" s="280"/>
      <c r="U589" s="280"/>
      <c r="V589" s="280"/>
      <c r="W589" s="280"/>
      <c r="X589" s="280"/>
      <c r="Y589" s="280"/>
      <c r="Z589" s="280"/>
    </row>
    <row r="590">
      <c r="A590" s="284" t="s">
        <v>626</v>
      </c>
      <c r="B590" s="285" t="s">
        <v>239</v>
      </c>
      <c r="C590" s="286">
        <v>0.0</v>
      </c>
      <c r="D590" s="286" t="s">
        <v>461</v>
      </c>
      <c r="E590" s="286">
        <v>0.0</v>
      </c>
      <c r="F590" s="286">
        <v>0.0</v>
      </c>
      <c r="G590" s="280"/>
      <c r="H590" s="280"/>
      <c r="I590" s="280"/>
      <c r="J590" s="280"/>
      <c r="K590" s="280"/>
      <c r="L590" s="280"/>
      <c r="M590" s="280"/>
      <c r="N590" s="280"/>
      <c r="O590" s="280"/>
      <c r="P590" s="280"/>
      <c r="Q590" s="280"/>
      <c r="R590" s="280"/>
      <c r="S590" s="280"/>
      <c r="T590" s="280"/>
      <c r="U590" s="280"/>
      <c r="V590" s="280"/>
      <c r="W590" s="280"/>
      <c r="X590" s="280"/>
      <c r="Y590" s="280"/>
      <c r="Z590" s="280"/>
    </row>
    <row r="591">
      <c r="A591" s="284" t="s">
        <v>627</v>
      </c>
      <c r="B591" s="285" t="s">
        <v>239</v>
      </c>
      <c r="C591" s="286">
        <v>0.0</v>
      </c>
      <c r="D591" s="286" t="s">
        <v>450</v>
      </c>
      <c r="E591" s="286" t="s">
        <v>450</v>
      </c>
      <c r="F591" s="286" t="s">
        <v>450</v>
      </c>
      <c r="G591" s="280"/>
      <c r="H591" s="280"/>
      <c r="I591" s="280"/>
      <c r="J591" s="280"/>
      <c r="K591" s="280"/>
      <c r="L591" s="280"/>
      <c r="M591" s="280"/>
      <c r="N591" s="280"/>
      <c r="O591" s="280"/>
      <c r="P591" s="280"/>
      <c r="Q591" s="280"/>
      <c r="R591" s="280"/>
      <c r="S591" s="280"/>
      <c r="T591" s="280"/>
      <c r="U591" s="280"/>
      <c r="V591" s="280"/>
      <c r="W591" s="280"/>
      <c r="X591" s="280"/>
      <c r="Y591" s="280"/>
      <c r="Z591" s="280"/>
    </row>
    <row r="592">
      <c r="A592" s="284" t="s">
        <v>628</v>
      </c>
      <c r="B592" s="285" t="s">
        <v>629</v>
      </c>
      <c r="C592" s="286">
        <v>0.0</v>
      </c>
      <c r="D592" s="286" t="s">
        <v>460</v>
      </c>
      <c r="E592" s="286">
        <v>0.0</v>
      </c>
      <c r="F592" s="286" t="s">
        <v>450</v>
      </c>
      <c r="G592" s="280"/>
      <c r="H592" s="280"/>
      <c r="I592" s="280"/>
      <c r="J592" s="280"/>
      <c r="K592" s="280"/>
      <c r="L592" s="280"/>
      <c r="M592" s="280"/>
      <c r="N592" s="280"/>
      <c r="O592" s="280"/>
      <c r="P592" s="280"/>
      <c r="Q592" s="280"/>
      <c r="R592" s="280"/>
      <c r="S592" s="280"/>
      <c r="T592" s="280"/>
      <c r="U592" s="280"/>
      <c r="V592" s="280"/>
      <c r="W592" s="280"/>
      <c r="X592" s="280"/>
      <c r="Y592" s="280"/>
      <c r="Z592" s="280"/>
    </row>
    <row r="593">
      <c r="A593" s="284" t="s">
        <v>630</v>
      </c>
      <c r="B593" s="285" t="s">
        <v>629</v>
      </c>
      <c r="C593" s="286">
        <v>0.0</v>
      </c>
      <c r="D593" s="286" t="s">
        <v>456</v>
      </c>
      <c r="E593" s="286">
        <v>0.0</v>
      </c>
      <c r="F593" s="286">
        <v>0.0</v>
      </c>
      <c r="G593" s="280"/>
      <c r="H593" s="280"/>
      <c r="I593" s="280"/>
      <c r="J593" s="280"/>
      <c r="K593" s="280"/>
      <c r="L593" s="280"/>
      <c r="M593" s="280"/>
      <c r="N593" s="280"/>
      <c r="O593" s="280"/>
      <c r="P593" s="280"/>
      <c r="Q593" s="280"/>
      <c r="R593" s="280"/>
      <c r="S593" s="280"/>
      <c r="T593" s="280"/>
      <c r="U593" s="280"/>
      <c r="V593" s="280"/>
      <c r="W593" s="280"/>
      <c r="X593" s="280"/>
      <c r="Y593" s="280"/>
      <c r="Z593" s="280"/>
    </row>
    <row r="594">
      <c r="A594" s="284" t="s">
        <v>631</v>
      </c>
      <c r="B594" s="285" t="s">
        <v>632</v>
      </c>
      <c r="C594" s="286">
        <v>0.0</v>
      </c>
      <c r="D594" s="286" t="s">
        <v>454</v>
      </c>
      <c r="E594" s="286" t="s">
        <v>450</v>
      </c>
      <c r="F594" s="286" t="s">
        <v>450</v>
      </c>
      <c r="G594" s="280"/>
      <c r="H594" s="280"/>
      <c r="I594" s="280"/>
      <c r="J594" s="280"/>
      <c r="K594" s="280"/>
      <c r="L594" s="280"/>
      <c r="M594" s="280"/>
      <c r="N594" s="280"/>
      <c r="O594" s="280"/>
      <c r="P594" s="280"/>
      <c r="Q594" s="280"/>
      <c r="R594" s="280"/>
      <c r="S594" s="280"/>
      <c r="T594" s="280"/>
      <c r="U594" s="280"/>
      <c r="V594" s="280"/>
      <c r="W594" s="280"/>
      <c r="X594" s="280"/>
      <c r="Y594" s="280"/>
      <c r="Z594" s="280"/>
    </row>
    <row r="595">
      <c r="A595" s="284" t="s">
        <v>633</v>
      </c>
      <c r="B595" s="285" t="s">
        <v>241</v>
      </c>
      <c r="C595" s="286">
        <v>0.0</v>
      </c>
      <c r="D595" s="286" t="s">
        <v>450</v>
      </c>
      <c r="E595" s="286">
        <v>0.0</v>
      </c>
      <c r="F595" s="286">
        <v>0.0</v>
      </c>
      <c r="G595" s="280"/>
      <c r="H595" s="280"/>
      <c r="I595" s="280"/>
      <c r="J595" s="280"/>
      <c r="K595" s="280"/>
      <c r="L595" s="280"/>
      <c r="M595" s="280"/>
      <c r="N595" s="280"/>
      <c r="O595" s="280"/>
      <c r="P595" s="280"/>
      <c r="Q595" s="280"/>
      <c r="R595" s="280"/>
      <c r="S595" s="280"/>
      <c r="T595" s="280"/>
      <c r="U595" s="280"/>
      <c r="V595" s="280"/>
      <c r="W595" s="280"/>
      <c r="X595" s="280"/>
      <c r="Y595" s="280"/>
      <c r="Z595" s="280"/>
    </row>
    <row r="596">
      <c r="A596" s="284" t="s">
        <v>634</v>
      </c>
      <c r="B596" s="285" t="s">
        <v>241</v>
      </c>
      <c r="C596" s="286">
        <v>0.0</v>
      </c>
      <c r="D596" s="286" t="s">
        <v>450</v>
      </c>
      <c r="E596" s="286">
        <v>0.0</v>
      </c>
      <c r="F596" s="286">
        <v>0.0</v>
      </c>
      <c r="G596" s="280"/>
      <c r="H596" s="280"/>
      <c r="I596" s="280"/>
      <c r="J596" s="280"/>
      <c r="K596" s="280"/>
      <c r="L596" s="280"/>
      <c r="M596" s="280"/>
      <c r="N596" s="280"/>
      <c r="O596" s="280"/>
      <c r="P596" s="280"/>
      <c r="Q596" s="280"/>
      <c r="R596" s="280"/>
      <c r="S596" s="280"/>
      <c r="T596" s="280"/>
      <c r="U596" s="280"/>
      <c r="V596" s="280"/>
      <c r="W596" s="280"/>
      <c r="X596" s="280"/>
      <c r="Y596" s="280"/>
      <c r="Z596" s="280"/>
    </row>
    <row r="597">
      <c r="A597" s="284" t="s">
        <v>635</v>
      </c>
      <c r="B597" s="285" t="s">
        <v>242</v>
      </c>
      <c r="C597" s="286">
        <v>0.0</v>
      </c>
      <c r="D597" s="286" t="s">
        <v>461</v>
      </c>
      <c r="E597" s="286">
        <v>0.0</v>
      </c>
      <c r="F597" s="286">
        <v>0.0</v>
      </c>
      <c r="G597" s="280"/>
      <c r="H597" s="280"/>
      <c r="I597" s="280"/>
      <c r="J597" s="280"/>
      <c r="K597" s="280"/>
      <c r="L597" s="280"/>
      <c r="M597" s="280"/>
      <c r="N597" s="280"/>
      <c r="O597" s="280"/>
      <c r="P597" s="280"/>
      <c r="Q597" s="280"/>
      <c r="R597" s="280"/>
      <c r="S597" s="280"/>
      <c r="T597" s="280"/>
      <c r="U597" s="280"/>
      <c r="V597" s="280"/>
      <c r="W597" s="280"/>
      <c r="X597" s="280"/>
      <c r="Y597" s="280"/>
      <c r="Z597" s="280"/>
    </row>
    <row r="598">
      <c r="A598" s="284" t="s">
        <v>636</v>
      </c>
      <c r="B598" s="285" t="s">
        <v>242</v>
      </c>
      <c r="C598" s="286">
        <v>0.0</v>
      </c>
      <c r="D598" s="286" t="s">
        <v>450</v>
      </c>
      <c r="E598" s="286">
        <v>0.0</v>
      </c>
      <c r="F598" s="286">
        <v>0.0</v>
      </c>
      <c r="G598" s="280"/>
      <c r="H598" s="280"/>
      <c r="I598" s="280"/>
      <c r="J598" s="280"/>
      <c r="K598" s="280"/>
      <c r="L598" s="280"/>
      <c r="M598" s="280"/>
      <c r="N598" s="280"/>
      <c r="O598" s="280"/>
      <c r="P598" s="280"/>
      <c r="Q598" s="280"/>
      <c r="R598" s="280"/>
      <c r="S598" s="280"/>
      <c r="T598" s="280"/>
      <c r="U598" s="280"/>
      <c r="V598" s="280"/>
      <c r="W598" s="280"/>
      <c r="X598" s="280"/>
      <c r="Y598" s="280"/>
      <c r="Z598" s="280"/>
    </row>
    <row r="599">
      <c r="A599" s="284" t="s">
        <v>637</v>
      </c>
      <c r="B599" s="285" t="s">
        <v>242</v>
      </c>
      <c r="C599" s="286">
        <v>0.0</v>
      </c>
      <c r="D599" s="286">
        <v>0.0</v>
      </c>
      <c r="E599" s="286">
        <v>0.0</v>
      </c>
      <c r="F599" s="286" t="s">
        <v>450</v>
      </c>
      <c r="G599" s="280"/>
      <c r="H599" s="280"/>
      <c r="I599" s="280"/>
      <c r="J599" s="280"/>
      <c r="K599" s="280"/>
      <c r="L599" s="280"/>
      <c r="M599" s="280"/>
      <c r="N599" s="280"/>
      <c r="O599" s="280"/>
      <c r="P599" s="280"/>
      <c r="Q599" s="280"/>
      <c r="R599" s="280"/>
      <c r="S599" s="280"/>
      <c r="T599" s="280"/>
      <c r="U599" s="280"/>
      <c r="V599" s="280"/>
      <c r="W599" s="280"/>
      <c r="X599" s="280"/>
      <c r="Y599" s="280"/>
      <c r="Z599" s="280"/>
    </row>
    <row r="600">
      <c r="A600" s="284" t="s">
        <v>638</v>
      </c>
      <c r="B600" s="285" t="s">
        <v>242</v>
      </c>
      <c r="C600" s="286" t="s">
        <v>450</v>
      </c>
      <c r="D600" s="286" t="s">
        <v>943</v>
      </c>
      <c r="E600" s="286">
        <v>0.0</v>
      </c>
      <c r="F600" s="286" t="s">
        <v>450</v>
      </c>
      <c r="G600" s="280"/>
      <c r="H600" s="280"/>
      <c r="I600" s="280"/>
      <c r="J600" s="280"/>
      <c r="K600" s="280"/>
      <c r="L600" s="280"/>
      <c r="M600" s="280"/>
      <c r="N600" s="280"/>
      <c r="O600" s="280"/>
      <c r="P600" s="280"/>
      <c r="Q600" s="280"/>
      <c r="R600" s="280"/>
      <c r="S600" s="280"/>
      <c r="T600" s="280"/>
      <c r="U600" s="280"/>
      <c r="V600" s="280"/>
      <c r="W600" s="280"/>
      <c r="X600" s="280"/>
      <c r="Y600" s="280"/>
      <c r="Z600" s="280"/>
    </row>
    <row r="601">
      <c r="A601" s="284" t="s">
        <v>639</v>
      </c>
      <c r="B601" s="285" t="s">
        <v>242</v>
      </c>
      <c r="C601" s="286">
        <v>0.0</v>
      </c>
      <c r="D601" s="286" t="s">
        <v>516</v>
      </c>
      <c r="E601" s="286">
        <v>0.0</v>
      </c>
      <c r="F601" s="286">
        <v>0.0</v>
      </c>
      <c r="G601" s="280"/>
      <c r="H601" s="280"/>
      <c r="I601" s="280"/>
      <c r="J601" s="280"/>
      <c r="K601" s="280"/>
      <c r="L601" s="280"/>
      <c r="M601" s="280"/>
      <c r="N601" s="280"/>
      <c r="O601" s="280"/>
      <c r="P601" s="280"/>
      <c r="Q601" s="280"/>
      <c r="R601" s="280"/>
      <c r="S601" s="280"/>
      <c r="T601" s="280"/>
      <c r="U601" s="280"/>
      <c r="V601" s="280"/>
      <c r="W601" s="280"/>
      <c r="X601" s="280"/>
      <c r="Y601" s="280"/>
      <c r="Z601" s="280"/>
    </row>
    <row r="602">
      <c r="A602" s="284" t="s">
        <v>640</v>
      </c>
      <c r="B602" s="285" t="s">
        <v>242</v>
      </c>
      <c r="C602" s="286">
        <v>0.0</v>
      </c>
      <c r="D602" s="286" t="s">
        <v>450</v>
      </c>
      <c r="E602" s="286">
        <v>0.0</v>
      </c>
      <c r="F602" s="286" t="s">
        <v>450</v>
      </c>
      <c r="G602" s="280"/>
      <c r="H602" s="280"/>
      <c r="I602" s="280"/>
      <c r="J602" s="280"/>
      <c r="K602" s="280"/>
      <c r="L602" s="280"/>
      <c r="M602" s="280"/>
      <c r="N602" s="280"/>
      <c r="O602" s="280"/>
      <c r="P602" s="280"/>
      <c r="Q602" s="280"/>
      <c r="R602" s="280"/>
      <c r="S602" s="280"/>
      <c r="T602" s="280"/>
      <c r="U602" s="280"/>
      <c r="V602" s="280"/>
      <c r="W602" s="280"/>
      <c r="X602" s="280"/>
      <c r="Y602" s="280"/>
      <c r="Z602" s="280"/>
    </row>
    <row r="603">
      <c r="A603" s="284" t="s">
        <v>641</v>
      </c>
      <c r="B603" s="285" t="s">
        <v>242</v>
      </c>
      <c r="C603" s="286">
        <v>0.0</v>
      </c>
      <c r="D603" s="286" t="s">
        <v>461</v>
      </c>
      <c r="E603" s="286">
        <v>0.0</v>
      </c>
      <c r="F603" s="286" t="s">
        <v>450</v>
      </c>
      <c r="G603" s="280"/>
      <c r="H603" s="280"/>
      <c r="I603" s="280"/>
      <c r="J603" s="280"/>
      <c r="K603" s="280"/>
      <c r="L603" s="280"/>
      <c r="M603" s="280"/>
      <c r="N603" s="280"/>
      <c r="O603" s="280"/>
      <c r="P603" s="280"/>
      <c r="Q603" s="280"/>
      <c r="R603" s="280"/>
      <c r="S603" s="280"/>
      <c r="T603" s="280"/>
      <c r="U603" s="280"/>
      <c r="V603" s="280"/>
      <c r="W603" s="280"/>
      <c r="X603" s="280"/>
      <c r="Y603" s="280"/>
      <c r="Z603" s="280"/>
    </row>
    <row r="604">
      <c r="A604" s="284" t="s">
        <v>642</v>
      </c>
      <c r="B604" s="285" t="s">
        <v>242</v>
      </c>
      <c r="C604" s="286">
        <v>0.0</v>
      </c>
      <c r="D604" s="286" t="s">
        <v>461</v>
      </c>
      <c r="E604" s="286">
        <v>0.0</v>
      </c>
      <c r="F604" s="286">
        <v>0.0</v>
      </c>
      <c r="G604" s="280"/>
      <c r="H604" s="280"/>
      <c r="I604" s="280"/>
      <c r="J604" s="280"/>
      <c r="K604" s="280"/>
      <c r="L604" s="280"/>
      <c r="M604" s="280"/>
      <c r="N604" s="280"/>
      <c r="O604" s="280"/>
      <c r="P604" s="280"/>
      <c r="Q604" s="280"/>
      <c r="R604" s="280"/>
      <c r="S604" s="280"/>
      <c r="T604" s="280"/>
      <c r="U604" s="280"/>
      <c r="V604" s="280"/>
      <c r="W604" s="280"/>
      <c r="X604" s="280"/>
      <c r="Y604" s="280"/>
      <c r="Z604" s="280"/>
    </row>
    <row r="605">
      <c r="A605" s="284" t="s">
        <v>644</v>
      </c>
      <c r="B605" s="285" t="s">
        <v>645</v>
      </c>
      <c r="C605" s="286">
        <v>0.0</v>
      </c>
      <c r="D605" s="286" t="s">
        <v>458</v>
      </c>
      <c r="E605" s="286">
        <v>0.0</v>
      </c>
      <c r="F605" s="286" t="s">
        <v>461</v>
      </c>
      <c r="G605" s="280"/>
      <c r="H605" s="280"/>
      <c r="I605" s="280"/>
      <c r="J605" s="280"/>
      <c r="K605" s="280"/>
      <c r="L605" s="280"/>
      <c r="M605" s="280"/>
      <c r="N605" s="280"/>
      <c r="O605" s="280"/>
      <c r="P605" s="280"/>
      <c r="Q605" s="280"/>
      <c r="R605" s="280"/>
      <c r="S605" s="280"/>
      <c r="T605" s="280"/>
      <c r="U605" s="280"/>
      <c r="V605" s="280"/>
      <c r="W605" s="280"/>
      <c r="X605" s="280"/>
      <c r="Y605" s="280"/>
      <c r="Z605" s="280"/>
    </row>
    <row r="606">
      <c r="A606" s="284" t="s">
        <v>646</v>
      </c>
      <c r="B606" s="285" t="s">
        <v>243</v>
      </c>
      <c r="C606" s="286">
        <v>0.0</v>
      </c>
      <c r="D606" s="286" t="s">
        <v>450</v>
      </c>
      <c r="E606" s="286">
        <v>0.0</v>
      </c>
      <c r="F606" s="286">
        <v>0.0</v>
      </c>
      <c r="G606" s="280"/>
      <c r="H606" s="280"/>
      <c r="I606" s="280"/>
      <c r="J606" s="280"/>
      <c r="K606" s="280"/>
      <c r="L606" s="280"/>
      <c r="M606" s="280"/>
      <c r="N606" s="280"/>
      <c r="O606" s="280"/>
      <c r="P606" s="280"/>
      <c r="Q606" s="280"/>
      <c r="R606" s="280"/>
      <c r="S606" s="280"/>
      <c r="T606" s="280"/>
      <c r="U606" s="280"/>
      <c r="V606" s="280"/>
      <c r="W606" s="280"/>
      <c r="X606" s="280"/>
      <c r="Y606" s="280"/>
      <c r="Z606" s="280"/>
    </row>
    <row r="607">
      <c r="A607" s="284" t="s">
        <v>647</v>
      </c>
      <c r="B607" s="285" t="s">
        <v>243</v>
      </c>
      <c r="C607" s="286">
        <v>0.0</v>
      </c>
      <c r="D607" s="286" t="s">
        <v>460</v>
      </c>
      <c r="E607" s="286">
        <v>0.0</v>
      </c>
      <c r="F607" s="286">
        <v>0.0</v>
      </c>
      <c r="G607" s="280"/>
      <c r="H607" s="280"/>
      <c r="I607" s="280"/>
      <c r="J607" s="280"/>
      <c r="K607" s="280"/>
      <c r="L607" s="280"/>
      <c r="M607" s="280"/>
      <c r="N607" s="280"/>
      <c r="O607" s="280"/>
      <c r="P607" s="280"/>
      <c r="Q607" s="280"/>
      <c r="R607" s="280"/>
      <c r="S607" s="280"/>
      <c r="T607" s="280"/>
      <c r="U607" s="280"/>
      <c r="V607" s="280"/>
      <c r="W607" s="280"/>
      <c r="X607" s="280"/>
      <c r="Y607" s="280"/>
      <c r="Z607" s="280"/>
    </row>
    <row r="608">
      <c r="A608" s="284" t="s">
        <v>648</v>
      </c>
      <c r="B608" s="285" t="s">
        <v>243</v>
      </c>
      <c r="C608" s="286" t="s">
        <v>450</v>
      </c>
      <c r="D608" s="286" t="s">
        <v>494</v>
      </c>
      <c r="E608" s="286">
        <v>0.0</v>
      </c>
      <c r="F608" s="286" t="s">
        <v>450</v>
      </c>
      <c r="G608" s="280"/>
      <c r="H608" s="280"/>
      <c r="I608" s="280"/>
      <c r="J608" s="280"/>
      <c r="K608" s="280"/>
      <c r="L608" s="280"/>
      <c r="M608" s="280"/>
      <c r="N608" s="280"/>
      <c r="O608" s="280"/>
      <c r="P608" s="280"/>
      <c r="Q608" s="280"/>
      <c r="R608" s="280"/>
      <c r="S608" s="280"/>
      <c r="T608" s="280"/>
      <c r="U608" s="280"/>
      <c r="V608" s="280"/>
      <c r="W608" s="280"/>
      <c r="X608" s="280"/>
      <c r="Y608" s="280"/>
      <c r="Z608" s="280"/>
    </row>
    <row r="609">
      <c r="A609" s="284" t="s">
        <v>649</v>
      </c>
      <c r="B609" s="285" t="s">
        <v>243</v>
      </c>
      <c r="C609" s="286">
        <v>0.0</v>
      </c>
      <c r="D609" s="286" t="s">
        <v>450</v>
      </c>
      <c r="E609" s="286">
        <v>0.0</v>
      </c>
      <c r="F609" s="286">
        <v>0.0</v>
      </c>
      <c r="G609" s="280"/>
      <c r="H609" s="280"/>
      <c r="I609" s="280"/>
      <c r="J609" s="280"/>
      <c r="K609" s="280"/>
      <c r="L609" s="280"/>
      <c r="M609" s="280"/>
      <c r="N609" s="280"/>
      <c r="O609" s="280"/>
      <c r="P609" s="280"/>
      <c r="Q609" s="280"/>
      <c r="R609" s="280"/>
      <c r="S609" s="280"/>
      <c r="T609" s="280"/>
      <c r="U609" s="280"/>
      <c r="V609" s="280"/>
      <c r="W609" s="280"/>
      <c r="X609" s="280"/>
      <c r="Y609" s="280"/>
      <c r="Z609" s="280"/>
    </row>
    <row r="610">
      <c r="A610" s="284" t="s">
        <v>650</v>
      </c>
      <c r="B610" s="285" t="s">
        <v>243</v>
      </c>
      <c r="C610" s="286" t="s">
        <v>450</v>
      </c>
      <c r="D610" s="286" t="s">
        <v>454</v>
      </c>
      <c r="E610" s="286">
        <v>0.0</v>
      </c>
      <c r="F610" s="286">
        <v>0.0</v>
      </c>
      <c r="G610" s="280"/>
      <c r="H610" s="280"/>
      <c r="I610" s="280"/>
      <c r="J610" s="280"/>
      <c r="K610" s="280"/>
      <c r="L610" s="280"/>
      <c r="M610" s="280"/>
      <c r="N610" s="280"/>
      <c r="O610" s="280"/>
      <c r="P610" s="280"/>
      <c r="Q610" s="280"/>
      <c r="R610" s="280"/>
      <c r="S610" s="280"/>
      <c r="T610" s="280"/>
      <c r="U610" s="280"/>
      <c r="V610" s="280"/>
      <c r="W610" s="280"/>
      <c r="X610" s="280"/>
      <c r="Y610" s="280"/>
      <c r="Z610" s="280"/>
    </row>
    <row r="611">
      <c r="A611" s="284" t="s">
        <v>651</v>
      </c>
      <c r="B611" s="285" t="s">
        <v>243</v>
      </c>
      <c r="C611" s="286">
        <v>0.0</v>
      </c>
      <c r="D611" s="286" t="s">
        <v>454</v>
      </c>
      <c r="E611" s="286">
        <v>0.0</v>
      </c>
      <c r="F611" s="286">
        <v>0.0</v>
      </c>
      <c r="G611" s="280"/>
      <c r="H611" s="280"/>
      <c r="I611" s="280"/>
      <c r="J611" s="280"/>
      <c r="K611" s="280"/>
      <c r="L611" s="280"/>
      <c r="M611" s="280"/>
      <c r="N611" s="280"/>
      <c r="O611" s="280"/>
      <c r="P611" s="280"/>
      <c r="Q611" s="280"/>
      <c r="R611" s="280"/>
      <c r="S611" s="280"/>
      <c r="T611" s="280"/>
      <c r="U611" s="280"/>
      <c r="V611" s="280"/>
      <c r="W611" s="280"/>
      <c r="X611" s="280"/>
      <c r="Y611" s="280"/>
      <c r="Z611" s="280"/>
    </row>
    <row r="612">
      <c r="A612" s="284" t="s">
        <v>653</v>
      </c>
      <c r="B612" s="285" t="s">
        <v>654</v>
      </c>
      <c r="C612" s="286">
        <v>0.0</v>
      </c>
      <c r="D612" s="286" t="s">
        <v>494</v>
      </c>
      <c r="E612" s="286">
        <v>0.0</v>
      </c>
      <c r="F612" s="286" t="s">
        <v>450</v>
      </c>
      <c r="G612" s="280"/>
      <c r="H612" s="280"/>
      <c r="I612" s="280"/>
      <c r="J612" s="280"/>
      <c r="K612" s="280"/>
      <c r="L612" s="280"/>
      <c r="M612" s="280"/>
      <c r="N612" s="280"/>
      <c r="O612" s="280"/>
      <c r="P612" s="280"/>
      <c r="Q612" s="280"/>
      <c r="R612" s="280"/>
      <c r="S612" s="280"/>
      <c r="T612" s="280"/>
      <c r="U612" s="280"/>
      <c r="V612" s="280"/>
      <c r="W612" s="280"/>
      <c r="X612" s="280"/>
      <c r="Y612" s="280"/>
      <c r="Z612" s="280"/>
    </row>
    <row r="613">
      <c r="A613" s="284" t="s">
        <v>655</v>
      </c>
      <c r="B613" s="285" t="s">
        <v>245</v>
      </c>
      <c r="C613" s="286">
        <v>0.0</v>
      </c>
      <c r="D613" s="286" t="s">
        <v>450</v>
      </c>
      <c r="E613" s="286">
        <v>0.0</v>
      </c>
      <c r="F613" s="286">
        <v>0.0</v>
      </c>
      <c r="G613" s="280"/>
      <c r="H613" s="280"/>
      <c r="I613" s="280"/>
      <c r="J613" s="280"/>
      <c r="K613" s="280"/>
      <c r="L613" s="280"/>
      <c r="M613" s="280"/>
      <c r="N613" s="280"/>
      <c r="O613" s="280"/>
      <c r="P613" s="280"/>
      <c r="Q613" s="280"/>
      <c r="R613" s="280"/>
      <c r="S613" s="280"/>
      <c r="T613" s="280"/>
      <c r="U613" s="280"/>
      <c r="V613" s="280"/>
      <c r="W613" s="280"/>
      <c r="X613" s="280"/>
      <c r="Y613" s="280"/>
      <c r="Z613" s="280"/>
    </row>
    <row r="614">
      <c r="A614" s="284" t="s">
        <v>656</v>
      </c>
      <c r="B614" s="285" t="s">
        <v>245</v>
      </c>
      <c r="C614" s="286">
        <v>0.0</v>
      </c>
      <c r="D614" s="286" t="s">
        <v>450</v>
      </c>
      <c r="E614" s="286">
        <v>0.0</v>
      </c>
      <c r="F614" s="286" t="s">
        <v>450</v>
      </c>
      <c r="G614" s="280"/>
      <c r="H614" s="280"/>
      <c r="I614" s="280"/>
      <c r="J614" s="280"/>
      <c r="K614" s="280"/>
      <c r="L614" s="280"/>
      <c r="M614" s="280"/>
      <c r="N614" s="280"/>
      <c r="O614" s="280"/>
      <c r="P614" s="280"/>
      <c r="Q614" s="280"/>
      <c r="R614" s="280"/>
      <c r="S614" s="280"/>
      <c r="T614" s="280"/>
      <c r="U614" s="280"/>
      <c r="V614" s="280"/>
      <c r="W614" s="280"/>
      <c r="X614" s="280"/>
      <c r="Y614" s="280"/>
      <c r="Z614" s="280"/>
    </row>
    <row r="615">
      <c r="A615" s="284" t="s">
        <v>658</v>
      </c>
      <c r="B615" s="285" t="s">
        <v>245</v>
      </c>
      <c r="C615" s="286">
        <v>0.0</v>
      </c>
      <c r="D615" s="286" t="s">
        <v>461</v>
      </c>
      <c r="E615" s="286">
        <v>0.0</v>
      </c>
      <c r="F615" s="286" t="s">
        <v>450</v>
      </c>
      <c r="G615" s="280"/>
      <c r="H615" s="280"/>
      <c r="I615" s="280"/>
      <c r="J615" s="280"/>
      <c r="K615" s="280"/>
      <c r="L615" s="280"/>
      <c r="M615" s="280"/>
      <c r="N615" s="280"/>
      <c r="O615" s="280"/>
      <c r="P615" s="280"/>
      <c r="Q615" s="280"/>
      <c r="R615" s="280"/>
      <c r="S615" s="280"/>
      <c r="T615" s="280"/>
      <c r="U615" s="280"/>
      <c r="V615" s="280"/>
      <c r="W615" s="280"/>
      <c r="X615" s="280"/>
      <c r="Y615" s="280"/>
      <c r="Z615" s="280"/>
    </row>
    <row r="616">
      <c r="A616" s="284" t="s">
        <v>659</v>
      </c>
      <c r="B616" s="285" t="s">
        <v>245</v>
      </c>
      <c r="C616" s="286">
        <v>0.0</v>
      </c>
      <c r="D616" s="286" t="s">
        <v>516</v>
      </c>
      <c r="E616" s="286">
        <v>0.0</v>
      </c>
      <c r="F616" s="286" t="s">
        <v>450</v>
      </c>
      <c r="G616" s="280"/>
      <c r="H616" s="280"/>
      <c r="I616" s="280"/>
      <c r="J616" s="280"/>
      <c r="K616" s="280"/>
      <c r="L616" s="280"/>
      <c r="M616" s="280"/>
      <c r="N616" s="280"/>
      <c r="O616" s="280"/>
      <c r="P616" s="280"/>
      <c r="Q616" s="280"/>
      <c r="R616" s="280"/>
      <c r="S616" s="280"/>
      <c r="T616" s="280"/>
      <c r="U616" s="280"/>
      <c r="V616" s="280"/>
      <c r="W616" s="280"/>
      <c r="X616" s="280"/>
      <c r="Y616" s="280"/>
      <c r="Z616" s="280"/>
    </row>
    <row r="617">
      <c r="A617" s="284" t="s">
        <v>660</v>
      </c>
      <c r="B617" s="285" t="s">
        <v>246</v>
      </c>
      <c r="C617" s="286">
        <v>0.0</v>
      </c>
      <c r="D617" s="286" t="s">
        <v>461</v>
      </c>
      <c r="E617" s="286">
        <v>0.0</v>
      </c>
      <c r="F617" s="286" t="s">
        <v>450</v>
      </c>
      <c r="G617" s="280"/>
      <c r="H617" s="280"/>
      <c r="I617" s="280"/>
      <c r="J617" s="280"/>
      <c r="K617" s="280"/>
      <c r="L617" s="280"/>
      <c r="M617" s="280"/>
      <c r="N617" s="280"/>
      <c r="O617" s="280"/>
      <c r="P617" s="280"/>
      <c r="Q617" s="280"/>
      <c r="R617" s="280"/>
      <c r="S617" s="280"/>
      <c r="T617" s="280"/>
      <c r="U617" s="280"/>
      <c r="V617" s="280"/>
      <c r="W617" s="280"/>
      <c r="X617" s="280"/>
      <c r="Y617" s="280"/>
      <c r="Z617" s="280"/>
    </row>
    <row r="618">
      <c r="A618" s="284" t="s">
        <v>661</v>
      </c>
      <c r="B618" s="285" t="s">
        <v>246</v>
      </c>
      <c r="C618" s="286" t="s">
        <v>450</v>
      </c>
      <c r="D618" s="286" t="s">
        <v>461</v>
      </c>
      <c r="E618" s="286">
        <v>0.0</v>
      </c>
      <c r="F618" s="286" t="s">
        <v>450</v>
      </c>
      <c r="G618" s="280"/>
      <c r="H618" s="280"/>
      <c r="I618" s="280"/>
      <c r="J618" s="280"/>
      <c r="K618" s="280"/>
      <c r="L618" s="280"/>
      <c r="M618" s="280"/>
      <c r="N618" s="280"/>
      <c r="O618" s="280"/>
      <c r="P618" s="280"/>
      <c r="Q618" s="280"/>
      <c r="R618" s="280"/>
      <c r="S618" s="280"/>
      <c r="T618" s="280"/>
      <c r="U618" s="280"/>
      <c r="V618" s="280"/>
      <c r="W618" s="280"/>
      <c r="X618" s="280"/>
      <c r="Y618" s="280"/>
      <c r="Z618" s="280"/>
    </row>
    <row r="619">
      <c r="A619" s="284" t="s">
        <v>662</v>
      </c>
      <c r="B619" s="285" t="s">
        <v>246</v>
      </c>
      <c r="C619" s="286">
        <v>0.0</v>
      </c>
      <c r="D619" s="286" t="s">
        <v>450</v>
      </c>
      <c r="E619" s="286">
        <v>0.0</v>
      </c>
      <c r="F619" s="286" t="s">
        <v>450</v>
      </c>
      <c r="G619" s="280"/>
      <c r="H619" s="280"/>
      <c r="I619" s="280"/>
      <c r="J619" s="280"/>
      <c r="K619" s="280"/>
      <c r="L619" s="280"/>
      <c r="M619" s="280"/>
      <c r="N619" s="280"/>
      <c r="O619" s="280"/>
      <c r="P619" s="280"/>
      <c r="Q619" s="280"/>
      <c r="R619" s="280"/>
      <c r="S619" s="280"/>
      <c r="T619" s="280"/>
      <c r="U619" s="280"/>
      <c r="V619" s="280"/>
      <c r="W619" s="280"/>
      <c r="X619" s="280"/>
      <c r="Y619" s="280"/>
      <c r="Z619" s="280"/>
    </row>
    <row r="620">
      <c r="A620" s="284" t="s">
        <v>663</v>
      </c>
      <c r="B620" s="285" t="s">
        <v>247</v>
      </c>
      <c r="C620" s="286">
        <v>0.0</v>
      </c>
      <c r="D620" s="286" t="s">
        <v>450</v>
      </c>
      <c r="E620" s="286">
        <v>0.0</v>
      </c>
      <c r="F620" s="286">
        <v>0.0</v>
      </c>
      <c r="G620" s="280"/>
      <c r="H620" s="280"/>
      <c r="I620" s="280"/>
      <c r="J620" s="280"/>
      <c r="K620" s="280"/>
      <c r="L620" s="280"/>
      <c r="M620" s="280"/>
      <c r="N620" s="280"/>
      <c r="O620" s="280"/>
      <c r="P620" s="280"/>
      <c r="Q620" s="280"/>
      <c r="R620" s="280"/>
      <c r="S620" s="280"/>
      <c r="T620" s="280"/>
      <c r="U620" s="280"/>
      <c r="V620" s="280"/>
      <c r="W620" s="280"/>
      <c r="X620" s="280"/>
      <c r="Y620" s="280"/>
      <c r="Z620" s="280"/>
    </row>
    <row r="621">
      <c r="A621" s="284" t="s">
        <v>664</v>
      </c>
      <c r="B621" s="285" t="s">
        <v>248</v>
      </c>
      <c r="C621" s="286">
        <v>0.0</v>
      </c>
      <c r="D621" s="286" t="s">
        <v>454</v>
      </c>
      <c r="E621" s="286">
        <v>0.0</v>
      </c>
      <c r="F621" s="286" t="s">
        <v>450</v>
      </c>
      <c r="G621" s="280"/>
      <c r="H621" s="280"/>
      <c r="I621" s="280"/>
      <c r="J621" s="280"/>
      <c r="K621" s="280"/>
      <c r="L621" s="280"/>
      <c r="M621" s="280"/>
      <c r="N621" s="280"/>
      <c r="O621" s="280"/>
      <c r="P621" s="280"/>
      <c r="Q621" s="280"/>
      <c r="R621" s="280"/>
      <c r="S621" s="280"/>
      <c r="T621" s="280"/>
      <c r="U621" s="280"/>
      <c r="V621" s="280"/>
      <c r="W621" s="280"/>
      <c r="X621" s="280"/>
      <c r="Y621" s="280"/>
      <c r="Z621" s="280"/>
    </row>
    <row r="622">
      <c r="A622" s="284" t="s">
        <v>665</v>
      </c>
      <c r="B622" s="285" t="s">
        <v>248</v>
      </c>
      <c r="C622" s="286" t="s">
        <v>450</v>
      </c>
      <c r="D622" s="286" t="s">
        <v>454</v>
      </c>
      <c r="E622" s="286">
        <v>0.0</v>
      </c>
      <c r="F622" s="286" t="s">
        <v>450</v>
      </c>
      <c r="G622" s="280"/>
      <c r="H622" s="280"/>
      <c r="I622" s="280"/>
      <c r="J622" s="280"/>
      <c r="K622" s="280"/>
      <c r="L622" s="280"/>
      <c r="M622" s="280"/>
      <c r="N622" s="280"/>
      <c r="O622" s="280"/>
      <c r="P622" s="280"/>
      <c r="Q622" s="280"/>
      <c r="R622" s="280"/>
      <c r="S622" s="280"/>
      <c r="T622" s="280"/>
      <c r="U622" s="280"/>
      <c r="V622" s="280"/>
      <c r="W622" s="280"/>
      <c r="X622" s="280"/>
      <c r="Y622" s="280"/>
      <c r="Z622" s="280"/>
    </row>
    <row r="623">
      <c r="A623" s="284" t="s">
        <v>666</v>
      </c>
      <c r="B623" s="285" t="s">
        <v>248</v>
      </c>
      <c r="C623" s="286" t="s">
        <v>450</v>
      </c>
      <c r="D623" s="286" t="s">
        <v>456</v>
      </c>
      <c r="E623" s="286">
        <v>0.0</v>
      </c>
      <c r="F623" s="286" t="s">
        <v>450</v>
      </c>
      <c r="G623" s="280"/>
      <c r="H623" s="280"/>
      <c r="I623" s="280"/>
      <c r="J623" s="280"/>
      <c r="K623" s="280"/>
      <c r="L623" s="280"/>
      <c r="M623" s="280"/>
      <c r="N623" s="280"/>
      <c r="O623" s="280"/>
      <c r="P623" s="280"/>
      <c r="Q623" s="280"/>
      <c r="R623" s="280"/>
      <c r="S623" s="280"/>
      <c r="T623" s="280"/>
      <c r="U623" s="280"/>
      <c r="V623" s="280"/>
      <c r="W623" s="280"/>
      <c r="X623" s="280"/>
      <c r="Y623" s="280"/>
      <c r="Z623" s="280"/>
    </row>
    <row r="624">
      <c r="A624" s="284" t="s">
        <v>668</v>
      </c>
      <c r="B624" s="285" t="s">
        <v>249</v>
      </c>
      <c r="C624" s="286">
        <v>0.0</v>
      </c>
      <c r="D624" s="286" t="s">
        <v>450</v>
      </c>
      <c r="E624" s="286">
        <v>0.0</v>
      </c>
      <c r="F624" s="286">
        <v>0.0</v>
      </c>
      <c r="G624" s="280"/>
      <c r="H624" s="280"/>
      <c r="I624" s="280"/>
      <c r="J624" s="280"/>
      <c r="K624" s="280"/>
      <c r="L624" s="280"/>
      <c r="M624" s="280"/>
      <c r="N624" s="280"/>
      <c r="O624" s="280"/>
      <c r="P624" s="280"/>
      <c r="Q624" s="280"/>
      <c r="R624" s="280"/>
      <c r="S624" s="280"/>
      <c r="T624" s="280"/>
      <c r="U624" s="280"/>
      <c r="V624" s="280"/>
      <c r="W624" s="280"/>
      <c r="X624" s="280"/>
      <c r="Y624" s="280"/>
      <c r="Z624" s="280"/>
    </row>
    <row r="625">
      <c r="A625" s="284" t="s">
        <v>669</v>
      </c>
      <c r="B625" s="285" t="s">
        <v>249</v>
      </c>
      <c r="C625" s="286">
        <v>0.0</v>
      </c>
      <c r="D625" s="286">
        <v>0.0</v>
      </c>
      <c r="E625" s="286">
        <v>0.0</v>
      </c>
      <c r="F625" s="286" t="s">
        <v>450</v>
      </c>
      <c r="G625" s="280"/>
      <c r="H625" s="280"/>
      <c r="I625" s="280"/>
      <c r="J625" s="280"/>
      <c r="K625" s="280"/>
      <c r="L625" s="280"/>
      <c r="M625" s="280"/>
      <c r="N625" s="280"/>
      <c r="O625" s="280"/>
      <c r="P625" s="280"/>
      <c r="Q625" s="280"/>
      <c r="R625" s="280"/>
      <c r="S625" s="280"/>
      <c r="T625" s="280"/>
      <c r="U625" s="280"/>
      <c r="V625" s="280"/>
      <c r="W625" s="280"/>
      <c r="X625" s="280"/>
      <c r="Y625" s="280"/>
      <c r="Z625" s="280"/>
    </row>
    <row r="626">
      <c r="A626" s="284" t="s">
        <v>670</v>
      </c>
      <c r="B626" s="285" t="s">
        <v>249</v>
      </c>
      <c r="C626" s="286">
        <v>0.0</v>
      </c>
      <c r="D626" s="286" t="s">
        <v>461</v>
      </c>
      <c r="E626" s="286">
        <v>0.0</v>
      </c>
      <c r="F626" s="286">
        <v>0.0</v>
      </c>
      <c r="G626" s="280"/>
      <c r="H626" s="280"/>
      <c r="I626" s="280"/>
      <c r="J626" s="280"/>
      <c r="K626" s="280"/>
      <c r="L626" s="280"/>
      <c r="M626" s="280"/>
      <c r="N626" s="280"/>
      <c r="O626" s="280"/>
      <c r="P626" s="280"/>
      <c r="Q626" s="280"/>
      <c r="R626" s="280"/>
      <c r="S626" s="280"/>
      <c r="T626" s="280"/>
      <c r="U626" s="280"/>
      <c r="V626" s="280"/>
      <c r="W626" s="280"/>
      <c r="X626" s="280"/>
      <c r="Y626" s="280"/>
      <c r="Z626" s="280"/>
    </row>
    <row r="627">
      <c r="A627" s="284" t="s">
        <v>671</v>
      </c>
      <c r="B627" s="285" t="s">
        <v>249</v>
      </c>
      <c r="C627" s="286">
        <v>0.0</v>
      </c>
      <c r="D627" s="286" t="s">
        <v>450</v>
      </c>
      <c r="E627" s="286">
        <v>0.0</v>
      </c>
      <c r="F627" s="286">
        <v>0.0</v>
      </c>
      <c r="G627" s="280"/>
      <c r="H627" s="280"/>
      <c r="I627" s="280"/>
      <c r="J627" s="280"/>
      <c r="K627" s="280"/>
      <c r="L627" s="280"/>
      <c r="M627" s="280"/>
      <c r="N627" s="280"/>
      <c r="O627" s="280"/>
      <c r="P627" s="280"/>
      <c r="Q627" s="280"/>
      <c r="R627" s="280"/>
      <c r="S627" s="280"/>
      <c r="T627" s="280"/>
      <c r="U627" s="280"/>
      <c r="V627" s="280"/>
      <c r="W627" s="280"/>
      <c r="X627" s="280"/>
      <c r="Y627" s="280"/>
      <c r="Z627" s="280"/>
    </row>
    <row r="628">
      <c r="A628" s="284" t="s">
        <v>672</v>
      </c>
      <c r="B628" s="285" t="s">
        <v>249</v>
      </c>
      <c r="C628" s="286">
        <v>0.0</v>
      </c>
      <c r="D628" s="286" t="s">
        <v>450</v>
      </c>
      <c r="E628" s="286">
        <v>0.0</v>
      </c>
      <c r="F628" s="286" t="s">
        <v>450</v>
      </c>
      <c r="G628" s="280"/>
      <c r="H628" s="280"/>
      <c r="I628" s="280"/>
      <c r="J628" s="280"/>
      <c r="K628" s="280"/>
      <c r="L628" s="280"/>
      <c r="M628" s="280"/>
      <c r="N628" s="280"/>
      <c r="O628" s="280"/>
      <c r="P628" s="280"/>
      <c r="Q628" s="280"/>
      <c r="R628" s="280"/>
      <c r="S628" s="280"/>
      <c r="T628" s="280"/>
      <c r="U628" s="280"/>
      <c r="V628" s="280"/>
      <c r="W628" s="280"/>
      <c r="X628" s="280"/>
      <c r="Y628" s="280"/>
      <c r="Z628" s="280"/>
    </row>
    <row r="629">
      <c r="A629" s="284" t="s">
        <v>673</v>
      </c>
      <c r="B629" s="285" t="s">
        <v>249</v>
      </c>
      <c r="C629" s="286">
        <v>0.0</v>
      </c>
      <c r="D629" s="286" t="s">
        <v>458</v>
      </c>
      <c r="E629" s="286">
        <v>0.0</v>
      </c>
      <c r="F629" s="286">
        <v>0.0</v>
      </c>
      <c r="G629" s="280"/>
      <c r="H629" s="280"/>
      <c r="I629" s="280"/>
      <c r="J629" s="280"/>
      <c r="K629" s="280"/>
      <c r="L629" s="280"/>
      <c r="M629" s="280"/>
      <c r="N629" s="280"/>
      <c r="O629" s="280"/>
      <c r="P629" s="280"/>
      <c r="Q629" s="280"/>
      <c r="R629" s="280"/>
      <c r="S629" s="280"/>
      <c r="T629" s="280"/>
      <c r="U629" s="280"/>
      <c r="V629" s="280"/>
      <c r="W629" s="280"/>
      <c r="X629" s="280"/>
      <c r="Y629" s="280"/>
      <c r="Z629" s="280"/>
    </row>
    <row r="630">
      <c r="A630" s="284" t="s">
        <v>675</v>
      </c>
      <c r="B630" s="285" t="s">
        <v>249</v>
      </c>
      <c r="C630" s="286">
        <v>0.0</v>
      </c>
      <c r="D630" s="286" t="s">
        <v>450</v>
      </c>
      <c r="E630" s="286">
        <v>0.0</v>
      </c>
      <c r="F630" s="286">
        <v>0.0</v>
      </c>
      <c r="G630" s="280"/>
      <c r="H630" s="280"/>
      <c r="I630" s="280"/>
      <c r="J630" s="280"/>
      <c r="K630" s="280"/>
      <c r="L630" s="280"/>
      <c r="M630" s="280"/>
      <c r="N630" s="280"/>
      <c r="O630" s="280"/>
      <c r="P630" s="280"/>
      <c r="Q630" s="280"/>
      <c r="R630" s="280"/>
      <c r="S630" s="280"/>
      <c r="T630" s="280"/>
      <c r="U630" s="280"/>
      <c r="V630" s="280"/>
      <c r="W630" s="280"/>
      <c r="X630" s="280"/>
      <c r="Y630" s="280"/>
      <c r="Z630" s="280"/>
    </row>
    <row r="631">
      <c r="A631" s="284" t="s">
        <v>677</v>
      </c>
      <c r="B631" s="285" t="s">
        <v>249</v>
      </c>
      <c r="C631" s="286">
        <v>0.0</v>
      </c>
      <c r="D631" s="286" t="s">
        <v>450</v>
      </c>
      <c r="E631" s="286">
        <v>0.0</v>
      </c>
      <c r="F631" s="286">
        <v>0.0</v>
      </c>
      <c r="G631" s="280"/>
      <c r="H631" s="280"/>
      <c r="I631" s="280"/>
      <c r="J631" s="280"/>
      <c r="K631" s="280"/>
      <c r="L631" s="280"/>
      <c r="M631" s="280"/>
      <c r="N631" s="280"/>
      <c r="O631" s="280"/>
      <c r="P631" s="280"/>
      <c r="Q631" s="280"/>
      <c r="R631" s="280"/>
      <c r="S631" s="280"/>
      <c r="T631" s="280"/>
      <c r="U631" s="280"/>
      <c r="V631" s="280"/>
      <c r="W631" s="280"/>
      <c r="X631" s="280"/>
      <c r="Y631" s="280"/>
      <c r="Z631" s="280"/>
    </row>
    <row r="632">
      <c r="A632" s="284" t="s">
        <v>678</v>
      </c>
      <c r="B632" s="285" t="s">
        <v>250</v>
      </c>
      <c r="C632" s="286">
        <v>0.0</v>
      </c>
      <c r="D632" s="286" t="s">
        <v>454</v>
      </c>
      <c r="E632" s="286">
        <v>0.0</v>
      </c>
      <c r="F632" s="286" t="s">
        <v>450</v>
      </c>
      <c r="G632" s="280"/>
      <c r="H632" s="280"/>
      <c r="I632" s="280"/>
      <c r="J632" s="280"/>
      <c r="K632" s="280"/>
      <c r="L632" s="280"/>
      <c r="M632" s="280"/>
      <c r="N632" s="280"/>
      <c r="O632" s="280"/>
      <c r="P632" s="280"/>
      <c r="Q632" s="280"/>
      <c r="R632" s="280"/>
      <c r="S632" s="280"/>
      <c r="T632" s="280"/>
      <c r="U632" s="280"/>
      <c r="V632" s="280"/>
      <c r="W632" s="280"/>
      <c r="X632" s="280"/>
      <c r="Y632" s="280"/>
      <c r="Z632" s="280"/>
    </row>
    <row r="633">
      <c r="A633" s="284" t="s">
        <v>679</v>
      </c>
      <c r="B633" s="285" t="s">
        <v>250</v>
      </c>
      <c r="C633" s="286">
        <v>0.0</v>
      </c>
      <c r="D633" s="286" t="s">
        <v>461</v>
      </c>
      <c r="E633" s="286">
        <v>0.0</v>
      </c>
      <c r="F633" s="286">
        <v>0.0</v>
      </c>
      <c r="G633" s="280"/>
      <c r="H633" s="280"/>
      <c r="I633" s="280"/>
      <c r="J633" s="280"/>
      <c r="K633" s="280"/>
      <c r="L633" s="280"/>
      <c r="M633" s="280"/>
      <c r="N633" s="280"/>
      <c r="O633" s="280"/>
      <c r="P633" s="280"/>
      <c r="Q633" s="280"/>
      <c r="R633" s="280"/>
      <c r="S633" s="280"/>
      <c r="T633" s="280"/>
      <c r="U633" s="280"/>
      <c r="V633" s="280"/>
      <c r="W633" s="280"/>
      <c r="X633" s="280"/>
      <c r="Y633" s="280"/>
      <c r="Z633" s="280"/>
    </row>
    <row r="634">
      <c r="A634" s="284" t="s">
        <v>680</v>
      </c>
      <c r="B634" s="285" t="s">
        <v>250</v>
      </c>
      <c r="C634" s="286">
        <v>0.0</v>
      </c>
      <c r="D634" s="286" t="s">
        <v>454</v>
      </c>
      <c r="E634" s="286">
        <v>0.0</v>
      </c>
      <c r="F634" s="286" t="s">
        <v>450</v>
      </c>
      <c r="G634" s="280"/>
      <c r="H634" s="280"/>
      <c r="I634" s="280"/>
      <c r="J634" s="280"/>
      <c r="K634" s="280"/>
      <c r="L634" s="280"/>
      <c r="M634" s="280"/>
      <c r="N634" s="280"/>
      <c r="O634" s="280"/>
      <c r="P634" s="280"/>
      <c r="Q634" s="280"/>
      <c r="R634" s="280"/>
      <c r="S634" s="280"/>
      <c r="T634" s="280"/>
      <c r="U634" s="280"/>
      <c r="V634" s="280"/>
      <c r="W634" s="280"/>
      <c r="X634" s="280"/>
      <c r="Y634" s="280"/>
      <c r="Z634" s="280"/>
    </row>
    <row r="635">
      <c r="A635" s="284" t="s">
        <v>681</v>
      </c>
      <c r="B635" s="285" t="s">
        <v>250</v>
      </c>
      <c r="C635" s="286">
        <v>0.0</v>
      </c>
      <c r="D635" s="286" t="s">
        <v>450</v>
      </c>
      <c r="E635" s="286">
        <v>0.0</v>
      </c>
      <c r="F635" s="286">
        <v>0.0</v>
      </c>
      <c r="G635" s="280"/>
      <c r="H635" s="280"/>
      <c r="I635" s="280"/>
      <c r="J635" s="280"/>
      <c r="K635" s="280"/>
      <c r="L635" s="280"/>
      <c r="M635" s="280"/>
      <c r="N635" s="280"/>
      <c r="O635" s="280"/>
      <c r="P635" s="280"/>
      <c r="Q635" s="280"/>
      <c r="R635" s="280"/>
      <c r="S635" s="280"/>
      <c r="T635" s="280"/>
      <c r="U635" s="280"/>
      <c r="V635" s="280"/>
      <c r="W635" s="280"/>
      <c r="X635" s="280"/>
      <c r="Y635" s="280"/>
      <c r="Z635" s="280"/>
    </row>
    <row r="636">
      <c r="A636" s="284" t="s">
        <v>682</v>
      </c>
      <c r="B636" s="285" t="s">
        <v>250</v>
      </c>
      <c r="C636" s="286">
        <v>0.0</v>
      </c>
      <c r="D636" s="286" t="s">
        <v>450</v>
      </c>
      <c r="E636" s="286">
        <v>0.0</v>
      </c>
      <c r="F636" s="286">
        <v>0.0</v>
      </c>
      <c r="G636" s="280"/>
      <c r="H636" s="280"/>
      <c r="I636" s="280"/>
      <c r="J636" s="280"/>
      <c r="K636" s="280"/>
      <c r="L636" s="280"/>
      <c r="M636" s="280"/>
      <c r="N636" s="280"/>
      <c r="O636" s="280"/>
      <c r="P636" s="280"/>
      <c r="Q636" s="280"/>
      <c r="R636" s="280"/>
      <c r="S636" s="280"/>
      <c r="T636" s="280"/>
      <c r="U636" s="280"/>
      <c r="V636" s="280"/>
      <c r="W636" s="280"/>
      <c r="X636" s="280"/>
      <c r="Y636" s="280"/>
      <c r="Z636" s="280"/>
    </row>
    <row r="637">
      <c r="A637" s="284" t="s">
        <v>683</v>
      </c>
      <c r="B637" s="285" t="s">
        <v>250</v>
      </c>
      <c r="C637" s="286">
        <v>0.0</v>
      </c>
      <c r="D637" s="286" t="s">
        <v>461</v>
      </c>
      <c r="E637" s="286">
        <v>0.0</v>
      </c>
      <c r="F637" s="286">
        <v>0.0</v>
      </c>
      <c r="G637" s="280"/>
      <c r="H637" s="280"/>
      <c r="I637" s="280"/>
      <c r="J637" s="280"/>
      <c r="K637" s="280"/>
      <c r="L637" s="280"/>
      <c r="M637" s="280"/>
      <c r="N637" s="280"/>
      <c r="O637" s="280"/>
      <c r="P637" s="280"/>
      <c r="Q637" s="280"/>
      <c r="R637" s="280"/>
      <c r="S637" s="280"/>
      <c r="T637" s="280"/>
      <c r="U637" s="280"/>
      <c r="V637" s="280"/>
      <c r="W637" s="280"/>
      <c r="X637" s="280"/>
      <c r="Y637" s="280"/>
      <c r="Z637" s="280"/>
    </row>
    <row r="638">
      <c r="A638" s="284" t="s">
        <v>684</v>
      </c>
      <c r="B638" s="285" t="s">
        <v>250</v>
      </c>
      <c r="C638" s="286" t="s">
        <v>450</v>
      </c>
      <c r="D638" s="286" t="s">
        <v>943</v>
      </c>
      <c r="E638" s="286">
        <v>0.0</v>
      </c>
      <c r="F638" s="286">
        <v>0.0</v>
      </c>
      <c r="G638" s="280"/>
      <c r="H638" s="280"/>
      <c r="I638" s="280"/>
      <c r="J638" s="280"/>
      <c r="K638" s="280"/>
      <c r="L638" s="280"/>
      <c r="M638" s="280"/>
      <c r="N638" s="280"/>
      <c r="O638" s="280"/>
      <c r="P638" s="280"/>
      <c r="Q638" s="280"/>
      <c r="R638" s="280"/>
      <c r="S638" s="280"/>
      <c r="T638" s="280"/>
      <c r="U638" s="280"/>
      <c r="V638" s="280"/>
      <c r="W638" s="280"/>
      <c r="X638" s="280"/>
      <c r="Y638" s="280"/>
      <c r="Z638" s="280"/>
    </row>
    <row r="639">
      <c r="A639" s="284" t="s">
        <v>685</v>
      </c>
      <c r="B639" s="285" t="s">
        <v>250</v>
      </c>
      <c r="C639" s="286">
        <v>0.0</v>
      </c>
      <c r="D639" s="286" t="s">
        <v>454</v>
      </c>
      <c r="E639" s="286">
        <v>0.0</v>
      </c>
      <c r="F639" s="286">
        <v>0.0</v>
      </c>
      <c r="G639" s="280"/>
      <c r="H639" s="280"/>
      <c r="I639" s="280"/>
      <c r="J639" s="280"/>
      <c r="K639" s="280"/>
      <c r="L639" s="280"/>
      <c r="M639" s="280"/>
      <c r="N639" s="280"/>
      <c r="O639" s="280"/>
      <c r="P639" s="280"/>
      <c r="Q639" s="280"/>
      <c r="R639" s="280"/>
      <c r="S639" s="280"/>
      <c r="T639" s="280"/>
      <c r="U639" s="280"/>
      <c r="V639" s="280"/>
      <c r="W639" s="280"/>
      <c r="X639" s="280"/>
      <c r="Y639" s="280"/>
      <c r="Z639" s="280"/>
    </row>
    <row r="640">
      <c r="A640" s="284" t="s">
        <v>686</v>
      </c>
      <c r="B640" s="285" t="s">
        <v>251</v>
      </c>
      <c r="C640" s="286" t="s">
        <v>450</v>
      </c>
      <c r="D640" s="286" t="s">
        <v>461</v>
      </c>
      <c r="E640" s="286">
        <v>0.0</v>
      </c>
      <c r="F640" s="286">
        <v>0.0</v>
      </c>
      <c r="G640" s="280"/>
      <c r="H640" s="280"/>
      <c r="I640" s="280"/>
      <c r="J640" s="280"/>
      <c r="K640" s="280"/>
      <c r="L640" s="280"/>
      <c r="M640" s="280"/>
      <c r="N640" s="280"/>
      <c r="O640" s="280"/>
      <c r="P640" s="280"/>
      <c r="Q640" s="280"/>
      <c r="R640" s="280"/>
      <c r="S640" s="280"/>
      <c r="T640" s="280"/>
      <c r="U640" s="280"/>
      <c r="V640" s="280"/>
      <c r="W640" s="280"/>
      <c r="X640" s="280"/>
      <c r="Y640" s="280"/>
      <c r="Z640" s="280"/>
    </row>
    <row r="641">
      <c r="A641" s="284" t="s">
        <v>687</v>
      </c>
      <c r="B641" s="285" t="s">
        <v>251</v>
      </c>
      <c r="C641" s="286">
        <v>0.0</v>
      </c>
      <c r="D641" s="286" t="s">
        <v>460</v>
      </c>
      <c r="E641" s="286">
        <v>0.0</v>
      </c>
      <c r="F641" s="286">
        <v>0.0</v>
      </c>
      <c r="G641" s="280"/>
      <c r="H641" s="280"/>
      <c r="I641" s="280"/>
      <c r="J641" s="280"/>
      <c r="K641" s="280"/>
      <c r="L641" s="280"/>
      <c r="M641" s="280"/>
      <c r="N641" s="280"/>
      <c r="O641" s="280"/>
      <c r="P641" s="280"/>
      <c r="Q641" s="280"/>
      <c r="R641" s="280"/>
      <c r="S641" s="280"/>
      <c r="T641" s="280"/>
      <c r="U641" s="280"/>
      <c r="V641" s="280"/>
      <c r="W641" s="280"/>
      <c r="X641" s="280"/>
      <c r="Y641" s="280"/>
      <c r="Z641" s="280"/>
    </row>
    <row r="642">
      <c r="A642" s="284" t="s">
        <v>688</v>
      </c>
      <c r="B642" s="285" t="s">
        <v>251</v>
      </c>
      <c r="C642" s="286">
        <v>0.0</v>
      </c>
      <c r="D642" s="286" t="s">
        <v>454</v>
      </c>
      <c r="E642" s="286">
        <v>0.0</v>
      </c>
      <c r="F642" s="286">
        <v>0.0</v>
      </c>
      <c r="G642" s="280"/>
      <c r="H642" s="280"/>
      <c r="I642" s="280"/>
      <c r="J642" s="280"/>
      <c r="K642" s="280"/>
      <c r="L642" s="280"/>
      <c r="M642" s="280"/>
      <c r="N642" s="280"/>
      <c r="O642" s="280"/>
      <c r="P642" s="280"/>
      <c r="Q642" s="280"/>
      <c r="R642" s="280"/>
      <c r="S642" s="280"/>
      <c r="T642" s="280"/>
      <c r="U642" s="280"/>
      <c r="V642" s="280"/>
      <c r="W642" s="280"/>
      <c r="X642" s="280"/>
      <c r="Y642" s="280"/>
      <c r="Z642" s="280"/>
    </row>
    <row r="643">
      <c r="A643" s="284" t="s">
        <v>689</v>
      </c>
      <c r="B643" s="285" t="s">
        <v>689</v>
      </c>
      <c r="C643" s="286">
        <v>0.0</v>
      </c>
      <c r="D643" s="286">
        <v>0.0</v>
      </c>
      <c r="E643" s="286">
        <v>0.0</v>
      </c>
      <c r="F643" s="286" t="s">
        <v>450</v>
      </c>
      <c r="G643" s="280"/>
      <c r="H643" s="280"/>
      <c r="I643" s="280"/>
      <c r="J643" s="280"/>
      <c r="K643" s="280"/>
      <c r="L643" s="280"/>
      <c r="M643" s="280"/>
      <c r="N643" s="280"/>
      <c r="O643" s="280"/>
      <c r="P643" s="280"/>
      <c r="Q643" s="280"/>
      <c r="R643" s="280"/>
      <c r="S643" s="280"/>
      <c r="T643" s="280"/>
      <c r="U643" s="280"/>
      <c r="V643" s="280"/>
      <c r="W643" s="280"/>
      <c r="X643" s="280"/>
      <c r="Y643" s="280"/>
      <c r="Z643" s="280"/>
    </row>
    <row r="644">
      <c r="A644" s="284" t="s">
        <v>690</v>
      </c>
      <c r="B644" s="285" t="s">
        <v>691</v>
      </c>
      <c r="C644" s="286">
        <v>0.0</v>
      </c>
      <c r="D644" s="286" t="s">
        <v>454</v>
      </c>
      <c r="E644" s="286">
        <v>0.0</v>
      </c>
      <c r="F644" s="286">
        <v>0.0</v>
      </c>
      <c r="G644" s="280"/>
      <c r="H644" s="280"/>
      <c r="I644" s="280"/>
      <c r="J644" s="280"/>
      <c r="K644" s="280"/>
      <c r="L644" s="280"/>
      <c r="M644" s="280"/>
      <c r="N644" s="280"/>
      <c r="O644" s="280"/>
      <c r="P644" s="280"/>
      <c r="Q644" s="280"/>
      <c r="R644" s="280"/>
      <c r="S644" s="280"/>
      <c r="T644" s="280"/>
      <c r="U644" s="280"/>
      <c r="V644" s="280"/>
      <c r="W644" s="280"/>
      <c r="X644" s="280"/>
      <c r="Y644" s="280"/>
      <c r="Z644" s="280"/>
    </row>
    <row r="645">
      <c r="A645" s="284" t="s">
        <v>692</v>
      </c>
      <c r="B645" s="285" t="s">
        <v>691</v>
      </c>
      <c r="C645" s="286">
        <v>0.0</v>
      </c>
      <c r="D645" s="286" t="s">
        <v>461</v>
      </c>
      <c r="E645" s="286">
        <v>0.0</v>
      </c>
      <c r="F645" s="286">
        <v>0.0</v>
      </c>
      <c r="G645" s="280"/>
      <c r="H645" s="280"/>
      <c r="I645" s="280"/>
      <c r="J645" s="280"/>
      <c r="K645" s="280"/>
      <c r="L645" s="280"/>
      <c r="M645" s="280"/>
      <c r="N645" s="280"/>
      <c r="O645" s="280"/>
      <c r="P645" s="280"/>
      <c r="Q645" s="280"/>
      <c r="R645" s="280"/>
      <c r="S645" s="280"/>
      <c r="T645" s="280"/>
      <c r="U645" s="280"/>
      <c r="V645" s="280"/>
      <c r="W645" s="280"/>
      <c r="X645" s="280"/>
      <c r="Y645" s="280"/>
      <c r="Z645" s="280"/>
    </row>
    <row r="646">
      <c r="A646" s="284" t="s">
        <v>693</v>
      </c>
      <c r="B646" s="285" t="s">
        <v>691</v>
      </c>
      <c r="C646" s="286">
        <v>0.0</v>
      </c>
      <c r="D646" s="286" t="s">
        <v>460</v>
      </c>
      <c r="E646" s="286">
        <v>0.0</v>
      </c>
      <c r="F646" s="286">
        <v>0.0</v>
      </c>
      <c r="G646" s="280"/>
      <c r="H646" s="280"/>
      <c r="I646" s="280"/>
      <c r="J646" s="280"/>
      <c r="K646" s="280"/>
      <c r="L646" s="280"/>
      <c r="M646" s="280"/>
      <c r="N646" s="280"/>
      <c r="O646" s="280"/>
      <c r="P646" s="280"/>
      <c r="Q646" s="280"/>
      <c r="R646" s="280"/>
      <c r="S646" s="280"/>
      <c r="T646" s="280"/>
      <c r="U646" s="280"/>
      <c r="V646" s="280"/>
      <c r="W646" s="280"/>
      <c r="X646" s="280"/>
      <c r="Y646" s="280"/>
      <c r="Z646" s="280"/>
    </row>
    <row r="647">
      <c r="A647" s="284" t="s">
        <v>694</v>
      </c>
      <c r="B647" s="285" t="s">
        <v>252</v>
      </c>
      <c r="C647" s="286">
        <v>0.0</v>
      </c>
      <c r="D647" s="286" t="s">
        <v>454</v>
      </c>
      <c r="E647" s="286">
        <v>0.0</v>
      </c>
      <c r="F647" s="286">
        <v>0.0</v>
      </c>
      <c r="G647" s="280"/>
      <c r="H647" s="280"/>
      <c r="I647" s="280"/>
      <c r="J647" s="280"/>
      <c r="K647" s="280"/>
      <c r="L647" s="280"/>
      <c r="M647" s="280"/>
      <c r="N647" s="280"/>
      <c r="O647" s="280"/>
      <c r="P647" s="280"/>
      <c r="Q647" s="280"/>
      <c r="R647" s="280"/>
      <c r="S647" s="280"/>
      <c r="T647" s="280"/>
      <c r="U647" s="280"/>
      <c r="V647" s="280"/>
      <c r="W647" s="280"/>
      <c r="X647" s="280"/>
      <c r="Y647" s="280"/>
      <c r="Z647" s="280"/>
    </row>
    <row r="648">
      <c r="A648" s="284" t="s">
        <v>695</v>
      </c>
      <c r="B648" s="285" t="s">
        <v>252</v>
      </c>
      <c r="C648" s="286" t="s">
        <v>450</v>
      </c>
      <c r="D648" s="286" t="s">
        <v>502</v>
      </c>
      <c r="E648" s="286">
        <v>0.0</v>
      </c>
      <c r="F648" s="286" t="s">
        <v>461</v>
      </c>
      <c r="G648" s="280"/>
      <c r="H648" s="280"/>
      <c r="I648" s="280"/>
      <c r="J648" s="280"/>
      <c r="K648" s="280"/>
      <c r="L648" s="280"/>
      <c r="M648" s="280"/>
      <c r="N648" s="280"/>
      <c r="O648" s="280"/>
      <c r="P648" s="280"/>
      <c r="Q648" s="280"/>
      <c r="R648" s="280"/>
      <c r="S648" s="280"/>
      <c r="T648" s="280"/>
      <c r="U648" s="280"/>
      <c r="V648" s="280"/>
      <c r="W648" s="280"/>
      <c r="X648" s="280"/>
      <c r="Y648" s="280"/>
      <c r="Z648" s="280"/>
    </row>
    <row r="649">
      <c r="A649" s="284" t="s">
        <v>696</v>
      </c>
      <c r="B649" s="285" t="s">
        <v>252</v>
      </c>
      <c r="C649" s="286">
        <v>0.0</v>
      </c>
      <c r="D649" s="286" t="s">
        <v>460</v>
      </c>
      <c r="E649" s="286">
        <v>0.0</v>
      </c>
      <c r="F649" s="286" t="s">
        <v>450</v>
      </c>
      <c r="G649" s="280"/>
      <c r="H649" s="280"/>
      <c r="I649" s="280"/>
      <c r="J649" s="280"/>
      <c r="K649" s="280"/>
      <c r="L649" s="280"/>
      <c r="M649" s="280"/>
      <c r="N649" s="280"/>
      <c r="O649" s="280"/>
      <c r="P649" s="280"/>
      <c r="Q649" s="280"/>
      <c r="R649" s="280"/>
      <c r="S649" s="280"/>
      <c r="T649" s="280"/>
      <c r="U649" s="280"/>
      <c r="V649" s="280"/>
      <c r="W649" s="280"/>
      <c r="X649" s="280"/>
      <c r="Y649" s="280"/>
      <c r="Z649" s="280"/>
    </row>
    <row r="650">
      <c r="A650" s="284" t="s">
        <v>697</v>
      </c>
      <c r="B650" s="285" t="s">
        <v>252</v>
      </c>
      <c r="C650" s="286">
        <v>0.0</v>
      </c>
      <c r="D650" s="286" t="s">
        <v>516</v>
      </c>
      <c r="E650" s="286">
        <v>0.0</v>
      </c>
      <c r="F650" s="286" t="s">
        <v>450</v>
      </c>
      <c r="G650" s="280"/>
      <c r="H650" s="280"/>
      <c r="I650" s="280"/>
      <c r="J650" s="280"/>
      <c r="K650" s="280"/>
      <c r="L650" s="280"/>
      <c r="M650" s="280"/>
      <c r="N650" s="280"/>
      <c r="O650" s="280"/>
      <c r="P650" s="280"/>
      <c r="Q650" s="280"/>
      <c r="R650" s="280"/>
      <c r="S650" s="280"/>
      <c r="T650" s="280"/>
      <c r="U650" s="280"/>
      <c r="V650" s="280"/>
      <c r="W650" s="280"/>
      <c r="X650" s="280"/>
      <c r="Y650" s="280"/>
      <c r="Z650" s="280"/>
    </row>
    <row r="651">
      <c r="A651" s="284" t="s">
        <v>698</v>
      </c>
      <c r="B651" s="285" t="s">
        <v>252</v>
      </c>
      <c r="C651" s="286">
        <v>0.0</v>
      </c>
      <c r="D651" s="286" t="s">
        <v>516</v>
      </c>
      <c r="E651" s="286">
        <v>0.0</v>
      </c>
      <c r="F651" s="286" t="s">
        <v>450</v>
      </c>
      <c r="G651" s="280"/>
      <c r="H651" s="280"/>
      <c r="I651" s="280"/>
      <c r="J651" s="280"/>
      <c r="K651" s="280"/>
      <c r="L651" s="280"/>
      <c r="M651" s="280"/>
      <c r="N651" s="280"/>
      <c r="O651" s="280"/>
      <c r="P651" s="280"/>
      <c r="Q651" s="280"/>
      <c r="R651" s="280"/>
      <c r="S651" s="280"/>
      <c r="T651" s="280"/>
      <c r="U651" s="280"/>
      <c r="V651" s="280"/>
      <c r="W651" s="280"/>
      <c r="X651" s="280"/>
      <c r="Y651" s="280"/>
      <c r="Z651" s="280"/>
    </row>
    <row r="652">
      <c r="A652" s="284" t="s">
        <v>699</v>
      </c>
      <c r="B652" s="285" t="s">
        <v>252</v>
      </c>
      <c r="C652" s="286">
        <v>0.0</v>
      </c>
      <c r="D652" s="286" t="s">
        <v>461</v>
      </c>
      <c r="E652" s="286">
        <v>0.0</v>
      </c>
      <c r="F652" s="286">
        <v>0.0</v>
      </c>
      <c r="G652" s="280"/>
      <c r="H652" s="280"/>
      <c r="I652" s="280"/>
      <c r="J652" s="280"/>
      <c r="K652" s="280"/>
      <c r="L652" s="280"/>
      <c r="M652" s="280"/>
      <c r="N652" s="280"/>
      <c r="O652" s="280"/>
      <c r="P652" s="280"/>
      <c r="Q652" s="280"/>
      <c r="R652" s="280"/>
      <c r="S652" s="280"/>
      <c r="T652" s="280"/>
      <c r="U652" s="280"/>
      <c r="V652" s="280"/>
      <c r="W652" s="280"/>
      <c r="X652" s="280"/>
      <c r="Y652" s="280"/>
      <c r="Z652" s="280"/>
    </row>
    <row r="653">
      <c r="A653" s="284" t="s">
        <v>700</v>
      </c>
      <c r="B653" s="285" t="s">
        <v>252</v>
      </c>
      <c r="C653" s="286">
        <v>0.0</v>
      </c>
      <c r="D653" s="286" t="s">
        <v>454</v>
      </c>
      <c r="E653" s="286">
        <v>0.0</v>
      </c>
      <c r="F653" s="286" t="s">
        <v>450</v>
      </c>
      <c r="G653" s="280"/>
      <c r="H653" s="280"/>
      <c r="I653" s="280"/>
      <c r="J653" s="280"/>
      <c r="K653" s="280"/>
      <c r="L653" s="280"/>
      <c r="M653" s="280"/>
      <c r="N653" s="280"/>
      <c r="O653" s="280"/>
      <c r="P653" s="280"/>
      <c r="Q653" s="280"/>
      <c r="R653" s="280"/>
      <c r="S653" s="280"/>
      <c r="T653" s="280"/>
      <c r="U653" s="280"/>
      <c r="V653" s="280"/>
      <c r="W653" s="280"/>
      <c r="X653" s="280"/>
      <c r="Y653" s="280"/>
      <c r="Z653" s="280"/>
    </row>
    <row r="654">
      <c r="A654" s="284" t="s">
        <v>701</v>
      </c>
      <c r="B654" s="285" t="s">
        <v>252</v>
      </c>
      <c r="C654" s="286">
        <v>0.0</v>
      </c>
      <c r="D654" s="286" t="s">
        <v>460</v>
      </c>
      <c r="E654" s="286">
        <v>0.0</v>
      </c>
      <c r="F654" s="286">
        <v>0.0</v>
      </c>
      <c r="G654" s="280"/>
      <c r="H654" s="280"/>
      <c r="I654" s="280"/>
      <c r="J654" s="280"/>
      <c r="K654" s="280"/>
      <c r="L654" s="280"/>
      <c r="M654" s="280"/>
      <c r="N654" s="280"/>
      <c r="O654" s="280"/>
      <c r="P654" s="280"/>
      <c r="Q654" s="280"/>
      <c r="R654" s="280"/>
      <c r="S654" s="280"/>
      <c r="T654" s="280"/>
      <c r="U654" s="280"/>
      <c r="V654" s="280"/>
      <c r="W654" s="280"/>
      <c r="X654" s="280"/>
      <c r="Y654" s="280"/>
      <c r="Z654" s="280"/>
    </row>
    <row r="655">
      <c r="A655" s="284" t="s">
        <v>702</v>
      </c>
      <c r="B655" s="285" t="s">
        <v>252</v>
      </c>
      <c r="C655" s="286">
        <v>0.0</v>
      </c>
      <c r="D655" s="286" t="s">
        <v>460</v>
      </c>
      <c r="E655" s="286">
        <v>0.0</v>
      </c>
      <c r="F655" s="286">
        <v>0.0</v>
      </c>
      <c r="G655" s="280"/>
      <c r="H655" s="280"/>
      <c r="I655" s="280"/>
      <c r="J655" s="280"/>
      <c r="K655" s="280"/>
      <c r="L655" s="280"/>
      <c r="M655" s="280"/>
      <c r="N655" s="280"/>
      <c r="O655" s="280"/>
      <c r="P655" s="280"/>
      <c r="Q655" s="280"/>
      <c r="R655" s="280"/>
      <c r="S655" s="280"/>
      <c r="T655" s="280"/>
      <c r="U655" s="280"/>
      <c r="V655" s="280"/>
      <c r="W655" s="280"/>
      <c r="X655" s="280"/>
      <c r="Y655" s="280"/>
      <c r="Z655" s="280"/>
    </row>
    <row r="656">
      <c r="A656" s="284" t="s">
        <v>703</v>
      </c>
      <c r="B656" s="285" t="s">
        <v>252</v>
      </c>
      <c r="C656" s="286">
        <v>0.0</v>
      </c>
      <c r="D656" s="286" t="s">
        <v>494</v>
      </c>
      <c r="E656" s="286">
        <v>0.0</v>
      </c>
      <c r="F656" s="286" t="s">
        <v>461</v>
      </c>
      <c r="G656" s="280"/>
      <c r="H656" s="280"/>
      <c r="I656" s="280"/>
      <c r="J656" s="280"/>
      <c r="K656" s="280"/>
      <c r="L656" s="280"/>
      <c r="M656" s="280"/>
      <c r="N656" s="280"/>
      <c r="O656" s="280"/>
      <c r="P656" s="280"/>
      <c r="Q656" s="280"/>
      <c r="R656" s="280"/>
      <c r="S656" s="280"/>
      <c r="T656" s="280"/>
      <c r="U656" s="280"/>
      <c r="V656" s="280"/>
      <c r="W656" s="280"/>
      <c r="X656" s="280"/>
      <c r="Y656" s="280"/>
      <c r="Z656" s="280"/>
    </row>
    <row r="657">
      <c r="A657" s="284" t="s">
        <v>704</v>
      </c>
      <c r="B657" s="285" t="s">
        <v>252</v>
      </c>
      <c r="C657" s="286" t="s">
        <v>450</v>
      </c>
      <c r="D657" s="286" t="s">
        <v>458</v>
      </c>
      <c r="E657" s="286">
        <v>0.0</v>
      </c>
      <c r="F657" s="286" t="s">
        <v>450</v>
      </c>
      <c r="G657" s="280"/>
      <c r="H657" s="280"/>
      <c r="I657" s="280"/>
      <c r="J657" s="280"/>
      <c r="K657" s="280"/>
      <c r="L657" s="280"/>
      <c r="M657" s="280"/>
      <c r="N657" s="280"/>
      <c r="O657" s="280"/>
      <c r="P657" s="280"/>
      <c r="Q657" s="280"/>
      <c r="R657" s="280"/>
      <c r="S657" s="280"/>
      <c r="T657" s="280"/>
      <c r="U657" s="280"/>
      <c r="V657" s="280"/>
      <c r="W657" s="280"/>
      <c r="X657" s="280"/>
      <c r="Y657" s="280"/>
      <c r="Z657" s="280"/>
    </row>
    <row r="658">
      <c r="A658" s="284" t="s">
        <v>705</v>
      </c>
      <c r="B658" s="285" t="s">
        <v>252</v>
      </c>
      <c r="C658" s="286">
        <v>0.0</v>
      </c>
      <c r="D658" s="286" t="s">
        <v>454</v>
      </c>
      <c r="E658" s="286">
        <v>0.0</v>
      </c>
      <c r="F658" s="286" t="s">
        <v>450</v>
      </c>
      <c r="G658" s="280"/>
      <c r="H658" s="280"/>
      <c r="I658" s="280"/>
      <c r="J658" s="280"/>
      <c r="K658" s="280"/>
      <c r="L658" s="280"/>
      <c r="M658" s="280"/>
      <c r="N658" s="280"/>
      <c r="O658" s="280"/>
      <c r="P658" s="280"/>
      <c r="Q658" s="280"/>
      <c r="R658" s="280"/>
      <c r="S658" s="280"/>
      <c r="T658" s="280"/>
      <c r="U658" s="280"/>
      <c r="V658" s="280"/>
      <c r="W658" s="280"/>
      <c r="X658" s="280"/>
      <c r="Y658" s="280"/>
      <c r="Z658" s="280"/>
    </row>
    <row r="659">
      <c r="A659" s="284" t="s">
        <v>706</v>
      </c>
      <c r="B659" s="285" t="s">
        <v>252</v>
      </c>
      <c r="C659" s="286">
        <v>0.0</v>
      </c>
      <c r="D659" s="286" t="s">
        <v>516</v>
      </c>
      <c r="E659" s="286">
        <v>0.0</v>
      </c>
      <c r="F659" s="286" t="s">
        <v>450</v>
      </c>
      <c r="G659" s="280"/>
      <c r="H659" s="280"/>
      <c r="I659" s="280"/>
      <c r="J659" s="280"/>
      <c r="K659" s="280"/>
      <c r="L659" s="280"/>
      <c r="M659" s="280"/>
      <c r="N659" s="280"/>
      <c r="O659" s="280"/>
      <c r="P659" s="280"/>
      <c r="Q659" s="280"/>
      <c r="R659" s="280"/>
      <c r="S659" s="280"/>
      <c r="T659" s="280"/>
      <c r="U659" s="280"/>
      <c r="V659" s="280"/>
      <c r="W659" s="280"/>
      <c r="X659" s="280"/>
      <c r="Y659" s="280"/>
      <c r="Z659" s="280"/>
    </row>
    <row r="660">
      <c r="A660" s="284" t="s">
        <v>707</v>
      </c>
      <c r="B660" s="285" t="s">
        <v>252</v>
      </c>
      <c r="C660" s="286">
        <v>0.0</v>
      </c>
      <c r="D660" s="286" t="s">
        <v>460</v>
      </c>
      <c r="E660" s="286">
        <v>0.0</v>
      </c>
      <c r="F660" s="286" t="s">
        <v>450</v>
      </c>
      <c r="G660" s="280"/>
      <c r="H660" s="280"/>
      <c r="I660" s="280"/>
      <c r="J660" s="280"/>
      <c r="K660" s="280"/>
      <c r="L660" s="280"/>
      <c r="M660" s="280"/>
      <c r="N660" s="280"/>
      <c r="O660" s="280"/>
      <c r="P660" s="280"/>
      <c r="Q660" s="280"/>
      <c r="R660" s="280"/>
      <c r="S660" s="280"/>
      <c r="T660" s="280"/>
      <c r="U660" s="280"/>
      <c r="V660" s="280"/>
      <c r="W660" s="280"/>
      <c r="X660" s="280"/>
      <c r="Y660" s="280"/>
      <c r="Z660" s="280"/>
    </row>
    <row r="661">
      <c r="A661" s="284" t="s">
        <v>709</v>
      </c>
      <c r="B661" s="285" t="s">
        <v>252</v>
      </c>
      <c r="C661" s="286">
        <v>0.0</v>
      </c>
      <c r="D661" s="286" t="s">
        <v>450</v>
      </c>
      <c r="E661" s="286">
        <v>0.0</v>
      </c>
      <c r="F661" s="286" t="s">
        <v>450</v>
      </c>
      <c r="G661" s="280"/>
      <c r="H661" s="280"/>
      <c r="I661" s="280"/>
      <c r="J661" s="280"/>
      <c r="K661" s="280"/>
      <c r="L661" s="280"/>
      <c r="M661" s="280"/>
      <c r="N661" s="280"/>
      <c r="O661" s="280"/>
      <c r="P661" s="280"/>
      <c r="Q661" s="280"/>
      <c r="R661" s="280"/>
      <c r="S661" s="280"/>
      <c r="T661" s="280"/>
      <c r="U661" s="280"/>
      <c r="V661" s="280"/>
      <c r="W661" s="280"/>
      <c r="X661" s="280"/>
      <c r="Y661" s="280"/>
      <c r="Z661" s="280"/>
    </row>
    <row r="662">
      <c r="A662" s="284" t="s">
        <v>710</v>
      </c>
      <c r="B662" s="285" t="s">
        <v>252</v>
      </c>
      <c r="C662" s="286">
        <v>0.0</v>
      </c>
      <c r="D662" s="286" t="s">
        <v>494</v>
      </c>
      <c r="E662" s="286">
        <v>0.0</v>
      </c>
      <c r="F662" s="286">
        <v>0.0</v>
      </c>
      <c r="G662" s="280"/>
      <c r="H662" s="280"/>
      <c r="I662" s="280"/>
      <c r="J662" s="280"/>
      <c r="K662" s="280"/>
      <c r="L662" s="280"/>
      <c r="M662" s="280"/>
      <c r="N662" s="280"/>
      <c r="O662" s="280"/>
      <c r="P662" s="280"/>
      <c r="Q662" s="280"/>
      <c r="R662" s="280"/>
      <c r="S662" s="280"/>
      <c r="T662" s="280"/>
      <c r="U662" s="280"/>
      <c r="V662" s="280"/>
      <c r="W662" s="280"/>
      <c r="X662" s="280"/>
      <c r="Y662" s="280"/>
      <c r="Z662" s="280"/>
    </row>
    <row r="663">
      <c r="A663" s="284" t="s">
        <v>711</v>
      </c>
      <c r="B663" s="285" t="s">
        <v>252</v>
      </c>
      <c r="C663" s="286" t="s">
        <v>450</v>
      </c>
      <c r="D663" s="286" t="s">
        <v>942</v>
      </c>
      <c r="E663" s="286">
        <v>0.0</v>
      </c>
      <c r="F663" s="286" t="s">
        <v>450</v>
      </c>
      <c r="G663" s="280"/>
      <c r="H663" s="280"/>
      <c r="I663" s="280"/>
      <c r="J663" s="280"/>
      <c r="K663" s="280"/>
      <c r="L663" s="280"/>
      <c r="M663" s="280"/>
      <c r="N663" s="280"/>
      <c r="O663" s="280"/>
      <c r="P663" s="280"/>
      <c r="Q663" s="280"/>
      <c r="R663" s="280"/>
      <c r="S663" s="280"/>
      <c r="T663" s="280"/>
      <c r="U663" s="280"/>
      <c r="V663" s="280"/>
      <c r="W663" s="280"/>
      <c r="X663" s="280"/>
      <c r="Y663" s="280"/>
      <c r="Z663" s="280"/>
    </row>
    <row r="664">
      <c r="A664" s="284" t="s">
        <v>712</v>
      </c>
      <c r="B664" s="285" t="s">
        <v>253</v>
      </c>
      <c r="C664" s="286">
        <v>0.0</v>
      </c>
      <c r="D664" s="286" t="s">
        <v>461</v>
      </c>
      <c r="E664" s="286">
        <v>0.0</v>
      </c>
      <c r="F664" s="286">
        <v>0.0</v>
      </c>
      <c r="G664" s="280"/>
      <c r="H664" s="280"/>
      <c r="I664" s="280"/>
      <c r="J664" s="280"/>
      <c r="K664" s="280"/>
      <c r="L664" s="280"/>
      <c r="M664" s="280"/>
      <c r="N664" s="280"/>
      <c r="O664" s="280"/>
      <c r="P664" s="280"/>
      <c r="Q664" s="280"/>
      <c r="R664" s="280"/>
      <c r="S664" s="280"/>
      <c r="T664" s="280"/>
      <c r="U664" s="280"/>
      <c r="V664" s="280"/>
      <c r="W664" s="280"/>
      <c r="X664" s="280"/>
      <c r="Y664" s="280"/>
      <c r="Z664" s="280"/>
    </row>
    <row r="665">
      <c r="A665" s="284" t="s">
        <v>713</v>
      </c>
      <c r="B665" s="285" t="s">
        <v>253</v>
      </c>
      <c r="C665" s="286">
        <v>0.0</v>
      </c>
      <c r="D665" s="286" t="s">
        <v>450</v>
      </c>
      <c r="E665" s="286">
        <v>0.0</v>
      </c>
      <c r="F665" s="286">
        <v>0.0</v>
      </c>
      <c r="G665" s="280"/>
      <c r="H665" s="280"/>
      <c r="I665" s="280"/>
      <c r="J665" s="280"/>
      <c r="K665" s="280"/>
      <c r="L665" s="280"/>
      <c r="M665" s="280"/>
      <c r="N665" s="280"/>
      <c r="O665" s="280"/>
      <c r="P665" s="280"/>
      <c r="Q665" s="280"/>
      <c r="R665" s="280"/>
      <c r="S665" s="280"/>
      <c r="T665" s="280"/>
      <c r="U665" s="280"/>
      <c r="V665" s="280"/>
      <c r="W665" s="280"/>
      <c r="X665" s="280"/>
      <c r="Y665" s="280"/>
      <c r="Z665" s="280"/>
    </row>
    <row r="666">
      <c r="A666" s="284" t="s">
        <v>714</v>
      </c>
      <c r="B666" s="285" t="s">
        <v>253</v>
      </c>
      <c r="C666" s="286" t="s">
        <v>450</v>
      </c>
      <c r="D666" s="286" t="s">
        <v>482</v>
      </c>
      <c r="E666" s="286">
        <v>0.0</v>
      </c>
      <c r="F666" s="286">
        <v>0.0</v>
      </c>
      <c r="G666" s="280"/>
      <c r="H666" s="280"/>
      <c r="I666" s="280"/>
      <c r="J666" s="280"/>
      <c r="K666" s="280"/>
      <c r="L666" s="280"/>
      <c r="M666" s="280"/>
      <c r="N666" s="280"/>
      <c r="O666" s="280"/>
      <c r="P666" s="280"/>
      <c r="Q666" s="280"/>
      <c r="R666" s="280"/>
      <c r="S666" s="280"/>
      <c r="T666" s="280"/>
      <c r="U666" s="280"/>
      <c r="V666" s="280"/>
      <c r="W666" s="280"/>
      <c r="X666" s="280"/>
      <c r="Y666" s="280"/>
      <c r="Z666" s="280"/>
    </row>
    <row r="667">
      <c r="A667" s="284" t="s">
        <v>715</v>
      </c>
      <c r="B667" s="285" t="s">
        <v>253</v>
      </c>
      <c r="C667" s="286">
        <v>0.0</v>
      </c>
      <c r="D667" s="286" t="s">
        <v>461</v>
      </c>
      <c r="E667" s="286">
        <v>0.0</v>
      </c>
      <c r="F667" s="286" t="s">
        <v>450</v>
      </c>
      <c r="G667" s="280"/>
      <c r="H667" s="280"/>
      <c r="I667" s="280"/>
      <c r="J667" s="280"/>
      <c r="K667" s="280"/>
      <c r="L667" s="280"/>
      <c r="M667" s="280"/>
      <c r="N667" s="280"/>
      <c r="O667" s="280"/>
      <c r="P667" s="280"/>
      <c r="Q667" s="280"/>
      <c r="R667" s="280"/>
      <c r="S667" s="280"/>
      <c r="T667" s="280"/>
      <c r="U667" s="280"/>
      <c r="V667" s="280"/>
      <c r="W667" s="280"/>
      <c r="X667" s="280"/>
      <c r="Y667" s="280"/>
      <c r="Z667" s="280"/>
    </row>
    <row r="668">
      <c r="A668" s="284" t="s">
        <v>721</v>
      </c>
      <c r="B668" s="285" t="s">
        <v>717</v>
      </c>
      <c r="C668" s="286">
        <v>0.0</v>
      </c>
      <c r="D668" s="286" t="s">
        <v>450</v>
      </c>
      <c r="E668" s="286">
        <v>0.0</v>
      </c>
      <c r="F668" s="286">
        <v>0.0</v>
      </c>
      <c r="G668" s="280"/>
      <c r="H668" s="280"/>
      <c r="I668" s="280"/>
      <c r="J668" s="280"/>
      <c r="K668" s="280"/>
      <c r="L668" s="280"/>
      <c r="M668" s="280"/>
      <c r="N668" s="280"/>
      <c r="O668" s="280"/>
      <c r="P668" s="280"/>
      <c r="Q668" s="280"/>
      <c r="R668" s="280"/>
      <c r="S668" s="280"/>
      <c r="T668" s="280"/>
      <c r="U668" s="280"/>
      <c r="V668" s="280"/>
      <c r="W668" s="280"/>
      <c r="X668" s="280"/>
      <c r="Y668" s="280"/>
      <c r="Z668" s="280"/>
    </row>
    <row r="669">
      <c r="A669" s="284" t="s">
        <v>948</v>
      </c>
      <c r="B669" s="285" t="s">
        <v>717</v>
      </c>
      <c r="C669" s="286">
        <v>0.0</v>
      </c>
      <c r="D669" s="286">
        <v>0.0</v>
      </c>
      <c r="E669" s="286">
        <v>0.0</v>
      </c>
      <c r="F669" s="286" t="s">
        <v>450</v>
      </c>
      <c r="G669" s="280"/>
      <c r="H669" s="280"/>
      <c r="I669" s="280"/>
      <c r="J669" s="280"/>
      <c r="K669" s="280"/>
      <c r="L669" s="280"/>
      <c r="M669" s="280"/>
      <c r="N669" s="280"/>
      <c r="O669" s="280"/>
      <c r="P669" s="280"/>
      <c r="Q669" s="280"/>
      <c r="R669" s="280"/>
      <c r="S669" s="280"/>
      <c r="T669" s="280"/>
      <c r="U669" s="280"/>
      <c r="V669" s="280"/>
      <c r="W669" s="280"/>
      <c r="X669" s="280"/>
      <c r="Y669" s="280"/>
      <c r="Z669" s="280"/>
    </row>
    <row r="670">
      <c r="A670" s="284" t="s">
        <v>732</v>
      </c>
      <c r="B670" s="285" t="s">
        <v>717</v>
      </c>
      <c r="C670" s="286">
        <v>0.0</v>
      </c>
      <c r="D670" s="286" t="s">
        <v>450</v>
      </c>
      <c r="E670" s="286">
        <v>0.0</v>
      </c>
      <c r="F670" s="286" t="s">
        <v>450</v>
      </c>
      <c r="G670" s="280"/>
      <c r="H670" s="280"/>
      <c r="I670" s="280"/>
      <c r="J670" s="280"/>
      <c r="K670" s="280"/>
      <c r="L670" s="280"/>
      <c r="M670" s="280"/>
      <c r="N670" s="280"/>
      <c r="O670" s="280"/>
      <c r="P670" s="280"/>
      <c r="Q670" s="280"/>
      <c r="R670" s="280"/>
      <c r="S670" s="280"/>
      <c r="T670" s="280"/>
      <c r="U670" s="280"/>
      <c r="V670" s="280"/>
      <c r="W670" s="280"/>
      <c r="X670" s="280"/>
      <c r="Y670" s="280"/>
      <c r="Z670" s="280"/>
    </row>
    <row r="671">
      <c r="A671" s="284" t="s">
        <v>733</v>
      </c>
      <c r="B671" s="285" t="s">
        <v>717</v>
      </c>
      <c r="C671" s="286">
        <v>0.0</v>
      </c>
      <c r="D671" s="286" t="s">
        <v>450</v>
      </c>
      <c r="E671" s="286">
        <v>0.0</v>
      </c>
      <c r="F671" s="286">
        <v>0.0</v>
      </c>
      <c r="G671" s="280"/>
      <c r="H671" s="280"/>
      <c r="I671" s="280"/>
      <c r="J671" s="280"/>
      <c r="K671" s="280"/>
      <c r="L671" s="280"/>
      <c r="M671" s="280"/>
      <c r="N671" s="280"/>
      <c r="O671" s="280"/>
      <c r="P671" s="280"/>
      <c r="Q671" s="280"/>
      <c r="R671" s="280"/>
      <c r="S671" s="280"/>
      <c r="T671" s="280"/>
      <c r="U671" s="280"/>
      <c r="V671" s="280"/>
      <c r="W671" s="280"/>
      <c r="X671" s="280"/>
      <c r="Y671" s="280"/>
      <c r="Z671" s="280"/>
    </row>
    <row r="672">
      <c r="A672" s="284" t="s">
        <v>735</v>
      </c>
      <c r="B672" s="285" t="s">
        <v>717</v>
      </c>
      <c r="C672" s="286">
        <v>0.0</v>
      </c>
      <c r="D672" s="286">
        <v>0.0</v>
      </c>
      <c r="E672" s="286">
        <v>0.0</v>
      </c>
      <c r="F672" s="286" t="s">
        <v>450</v>
      </c>
      <c r="G672" s="280"/>
      <c r="H672" s="280"/>
      <c r="I672" s="280"/>
      <c r="J672" s="280"/>
      <c r="K672" s="280"/>
      <c r="L672" s="280"/>
      <c r="M672" s="280"/>
      <c r="N672" s="280"/>
      <c r="O672" s="280"/>
      <c r="P672" s="280"/>
      <c r="Q672" s="280"/>
      <c r="R672" s="280"/>
      <c r="S672" s="280"/>
      <c r="T672" s="280"/>
      <c r="U672" s="280"/>
      <c r="V672" s="280"/>
      <c r="W672" s="280"/>
      <c r="X672" s="280"/>
      <c r="Y672" s="280"/>
      <c r="Z672" s="280"/>
    </row>
    <row r="673">
      <c r="A673" s="284" t="s">
        <v>949</v>
      </c>
      <c r="B673" s="285" t="s">
        <v>717</v>
      </c>
      <c r="C673" s="286">
        <v>0.0</v>
      </c>
      <c r="D673" s="286">
        <v>0.0</v>
      </c>
      <c r="E673" s="286">
        <v>0.0</v>
      </c>
      <c r="F673" s="286" t="s">
        <v>450</v>
      </c>
      <c r="G673" s="280"/>
      <c r="H673" s="280"/>
      <c r="I673" s="280"/>
      <c r="J673" s="280"/>
      <c r="K673" s="280"/>
      <c r="L673" s="280"/>
      <c r="M673" s="280"/>
      <c r="N673" s="280"/>
      <c r="O673" s="280"/>
      <c r="P673" s="280"/>
      <c r="Q673" s="280"/>
      <c r="R673" s="280"/>
      <c r="S673" s="280"/>
      <c r="T673" s="280"/>
      <c r="U673" s="280"/>
      <c r="V673" s="280"/>
      <c r="W673" s="280"/>
      <c r="X673" s="280"/>
      <c r="Y673" s="280"/>
      <c r="Z673" s="280"/>
    </row>
    <row r="674">
      <c r="A674" s="284" t="s">
        <v>737</v>
      </c>
      <c r="B674" s="285" t="s">
        <v>717</v>
      </c>
      <c r="C674" s="286">
        <v>0.0</v>
      </c>
      <c r="D674" s="286">
        <v>0.0</v>
      </c>
      <c r="E674" s="286">
        <v>0.0</v>
      </c>
      <c r="F674" s="286" t="s">
        <v>450</v>
      </c>
      <c r="G674" s="280"/>
      <c r="H674" s="280"/>
      <c r="I674" s="280"/>
      <c r="J674" s="280"/>
      <c r="K674" s="280"/>
      <c r="L674" s="280"/>
      <c r="M674" s="280"/>
      <c r="N674" s="280"/>
      <c r="O674" s="280"/>
      <c r="P674" s="280"/>
      <c r="Q674" s="280"/>
      <c r="R674" s="280"/>
      <c r="S674" s="280"/>
      <c r="T674" s="280"/>
      <c r="U674" s="280"/>
      <c r="V674" s="280"/>
      <c r="W674" s="280"/>
      <c r="X674" s="280"/>
      <c r="Y674" s="280"/>
      <c r="Z674" s="280"/>
    </row>
    <row r="675">
      <c r="A675" s="284" t="s">
        <v>950</v>
      </c>
      <c r="B675" s="285" t="s">
        <v>717</v>
      </c>
      <c r="C675" s="286">
        <v>0.0</v>
      </c>
      <c r="D675" s="286" t="s">
        <v>450</v>
      </c>
      <c r="E675" s="286">
        <v>0.0</v>
      </c>
      <c r="F675" s="286">
        <v>0.0</v>
      </c>
      <c r="G675" s="280"/>
      <c r="H675" s="280"/>
      <c r="I675" s="280"/>
      <c r="J675" s="280"/>
      <c r="K675" s="280"/>
      <c r="L675" s="280"/>
      <c r="M675" s="280"/>
      <c r="N675" s="280"/>
      <c r="O675" s="280"/>
      <c r="P675" s="280"/>
      <c r="Q675" s="280"/>
      <c r="R675" s="280"/>
      <c r="S675" s="280"/>
      <c r="T675" s="280"/>
      <c r="U675" s="280"/>
      <c r="V675" s="280"/>
      <c r="W675" s="280"/>
      <c r="X675" s="280"/>
      <c r="Y675" s="280"/>
      <c r="Z675" s="280"/>
    </row>
    <row r="676">
      <c r="A676" s="284" t="s">
        <v>740</v>
      </c>
      <c r="B676" s="285" t="s">
        <v>717</v>
      </c>
      <c r="C676" s="286">
        <v>0.0</v>
      </c>
      <c r="D676" s="286" t="s">
        <v>450</v>
      </c>
      <c r="E676" s="286">
        <v>0.0</v>
      </c>
      <c r="F676" s="286">
        <v>0.0</v>
      </c>
      <c r="G676" s="280"/>
      <c r="H676" s="280"/>
      <c r="I676" s="280"/>
      <c r="J676" s="280"/>
      <c r="K676" s="280"/>
      <c r="L676" s="280"/>
      <c r="M676" s="280"/>
      <c r="N676" s="280"/>
      <c r="O676" s="280"/>
      <c r="P676" s="280"/>
      <c r="Q676" s="280"/>
      <c r="R676" s="280"/>
      <c r="S676" s="280"/>
      <c r="T676" s="280"/>
      <c r="U676" s="280"/>
      <c r="V676" s="280"/>
      <c r="W676" s="280"/>
      <c r="X676" s="280"/>
      <c r="Y676" s="280"/>
      <c r="Z676" s="280"/>
    </row>
    <row r="677">
      <c r="A677" s="284" t="s">
        <v>741</v>
      </c>
      <c r="B677" s="285" t="s">
        <v>717</v>
      </c>
      <c r="C677" s="286">
        <v>0.0</v>
      </c>
      <c r="D677" s="286" t="s">
        <v>450</v>
      </c>
      <c r="E677" s="286">
        <v>0.0</v>
      </c>
      <c r="F677" s="286">
        <v>0.0</v>
      </c>
      <c r="G677" s="280"/>
      <c r="H677" s="280"/>
      <c r="I677" s="280"/>
      <c r="J677" s="280"/>
      <c r="K677" s="280"/>
      <c r="L677" s="280"/>
      <c r="M677" s="280"/>
      <c r="N677" s="280"/>
      <c r="O677" s="280"/>
      <c r="P677" s="280"/>
      <c r="Q677" s="280"/>
      <c r="R677" s="280"/>
      <c r="S677" s="280"/>
      <c r="T677" s="280"/>
      <c r="U677" s="280"/>
      <c r="V677" s="280"/>
      <c r="W677" s="280"/>
      <c r="X677" s="280"/>
      <c r="Y677" s="280"/>
      <c r="Z677" s="280"/>
    </row>
    <row r="678">
      <c r="A678" s="284" t="s">
        <v>742</v>
      </c>
      <c r="B678" s="285" t="s">
        <v>717</v>
      </c>
      <c r="C678" s="286">
        <v>0.0</v>
      </c>
      <c r="D678" s="286" t="s">
        <v>450</v>
      </c>
      <c r="E678" s="286">
        <v>0.0</v>
      </c>
      <c r="F678" s="286">
        <v>0.0</v>
      </c>
      <c r="G678" s="280"/>
      <c r="H678" s="280"/>
      <c r="I678" s="280"/>
      <c r="J678" s="280"/>
      <c r="K678" s="280"/>
      <c r="L678" s="280"/>
      <c r="M678" s="280"/>
      <c r="N678" s="280"/>
      <c r="O678" s="280"/>
      <c r="P678" s="280"/>
      <c r="Q678" s="280"/>
      <c r="R678" s="280"/>
      <c r="S678" s="280"/>
      <c r="T678" s="280"/>
      <c r="U678" s="280"/>
      <c r="V678" s="280"/>
      <c r="W678" s="280"/>
      <c r="X678" s="280"/>
      <c r="Y678" s="280"/>
      <c r="Z678" s="280"/>
    </row>
    <row r="679">
      <c r="A679" s="284" t="s">
        <v>951</v>
      </c>
      <c r="B679" s="285" t="s">
        <v>717</v>
      </c>
      <c r="C679" s="286">
        <v>0.0</v>
      </c>
      <c r="D679" s="286">
        <v>0.0</v>
      </c>
      <c r="E679" s="286">
        <v>0.0</v>
      </c>
      <c r="F679" s="286" t="s">
        <v>450</v>
      </c>
      <c r="G679" s="280"/>
      <c r="H679" s="280"/>
      <c r="I679" s="280"/>
      <c r="J679" s="280"/>
      <c r="K679" s="280"/>
      <c r="L679" s="280"/>
      <c r="M679" s="280"/>
      <c r="N679" s="280"/>
      <c r="O679" s="280"/>
      <c r="P679" s="280"/>
      <c r="Q679" s="280"/>
      <c r="R679" s="280"/>
      <c r="S679" s="280"/>
      <c r="T679" s="280"/>
      <c r="U679" s="280"/>
      <c r="V679" s="280"/>
      <c r="W679" s="280"/>
      <c r="X679" s="280"/>
      <c r="Y679" s="280"/>
      <c r="Z679" s="280"/>
    </row>
    <row r="680">
      <c r="A680" s="284" t="s">
        <v>952</v>
      </c>
      <c r="B680" s="285" t="s">
        <v>717</v>
      </c>
      <c r="C680" s="286">
        <v>0.0</v>
      </c>
      <c r="D680" s="286" t="s">
        <v>450</v>
      </c>
      <c r="E680" s="286">
        <v>0.0</v>
      </c>
      <c r="F680" s="286">
        <v>0.0</v>
      </c>
      <c r="G680" s="280"/>
      <c r="H680" s="280"/>
      <c r="I680" s="280"/>
      <c r="J680" s="280"/>
      <c r="K680" s="280"/>
      <c r="L680" s="280"/>
      <c r="M680" s="280"/>
      <c r="N680" s="280"/>
      <c r="O680" s="280"/>
      <c r="P680" s="280"/>
      <c r="Q680" s="280"/>
      <c r="R680" s="280"/>
      <c r="S680" s="280"/>
      <c r="T680" s="280"/>
      <c r="U680" s="280"/>
      <c r="V680" s="280"/>
      <c r="W680" s="280"/>
      <c r="X680" s="280"/>
      <c r="Y680" s="280"/>
      <c r="Z680" s="280"/>
    </row>
    <row r="681">
      <c r="A681" s="284" t="s">
        <v>746</v>
      </c>
      <c r="B681" s="285" t="s">
        <v>717</v>
      </c>
      <c r="C681" s="286">
        <v>0.0</v>
      </c>
      <c r="D681" s="286" t="s">
        <v>454</v>
      </c>
      <c r="E681" s="286">
        <v>0.0</v>
      </c>
      <c r="F681" s="286" t="s">
        <v>450</v>
      </c>
      <c r="G681" s="280"/>
      <c r="H681" s="280"/>
      <c r="I681" s="280"/>
      <c r="J681" s="280"/>
      <c r="K681" s="280"/>
      <c r="L681" s="280"/>
      <c r="M681" s="280"/>
      <c r="N681" s="280"/>
      <c r="O681" s="280"/>
      <c r="P681" s="280"/>
      <c r="Q681" s="280"/>
      <c r="R681" s="280"/>
      <c r="S681" s="280"/>
      <c r="T681" s="280"/>
      <c r="U681" s="280"/>
      <c r="V681" s="280"/>
      <c r="W681" s="280"/>
      <c r="X681" s="280"/>
      <c r="Y681" s="280"/>
      <c r="Z681" s="280"/>
    </row>
    <row r="682">
      <c r="A682" s="284" t="s">
        <v>749</v>
      </c>
      <c r="B682" s="285" t="s">
        <v>717</v>
      </c>
      <c r="C682" s="286" t="s">
        <v>450</v>
      </c>
      <c r="D682" s="286" t="s">
        <v>450</v>
      </c>
      <c r="E682" s="286">
        <v>0.0</v>
      </c>
      <c r="F682" s="286">
        <v>0.0</v>
      </c>
      <c r="G682" s="280"/>
      <c r="H682" s="280"/>
      <c r="I682" s="280"/>
      <c r="J682" s="280"/>
      <c r="K682" s="280"/>
      <c r="L682" s="280"/>
      <c r="M682" s="280"/>
      <c r="N682" s="280"/>
      <c r="O682" s="280"/>
      <c r="P682" s="280"/>
      <c r="Q682" s="280"/>
      <c r="R682" s="280"/>
      <c r="S682" s="280"/>
      <c r="T682" s="280"/>
      <c r="U682" s="280"/>
      <c r="V682" s="280"/>
      <c r="W682" s="280"/>
      <c r="X682" s="280"/>
      <c r="Y682" s="280"/>
      <c r="Z682" s="280"/>
    </row>
    <row r="683">
      <c r="A683" s="284" t="s">
        <v>750</v>
      </c>
      <c r="B683" s="285" t="s">
        <v>717</v>
      </c>
      <c r="C683" s="286">
        <v>0.0</v>
      </c>
      <c r="D683" s="286">
        <v>0.0</v>
      </c>
      <c r="E683" s="286">
        <v>0.0</v>
      </c>
      <c r="F683" s="286" t="s">
        <v>450</v>
      </c>
      <c r="G683" s="280"/>
      <c r="H683" s="280"/>
      <c r="I683" s="280"/>
      <c r="J683" s="280"/>
      <c r="K683" s="280"/>
      <c r="L683" s="280"/>
      <c r="M683" s="280"/>
      <c r="N683" s="280"/>
      <c r="O683" s="280"/>
      <c r="P683" s="280"/>
      <c r="Q683" s="280"/>
      <c r="R683" s="280"/>
      <c r="S683" s="280"/>
      <c r="T683" s="280"/>
      <c r="U683" s="280"/>
      <c r="V683" s="280"/>
      <c r="W683" s="280"/>
      <c r="X683" s="280"/>
      <c r="Y683" s="280"/>
      <c r="Z683" s="280"/>
    </row>
    <row r="684">
      <c r="A684" s="284" t="s">
        <v>751</v>
      </c>
      <c r="B684" s="285" t="s">
        <v>717</v>
      </c>
      <c r="C684" s="286">
        <v>0.0</v>
      </c>
      <c r="D684" s="286" t="s">
        <v>450</v>
      </c>
      <c r="E684" s="286">
        <v>0.0</v>
      </c>
      <c r="F684" s="286">
        <v>0.0</v>
      </c>
      <c r="G684" s="280"/>
      <c r="H684" s="280"/>
      <c r="I684" s="280"/>
      <c r="J684" s="280"/>
      <c r="K684" s="280"/>
      <c r="L684" s="280"/>
      <c r="M684" s="280"/>
      <c r="N684" s="280"/>
      <c r="O684" s="280"/>
      <c r="P684" s="280"/>
      <c r="Q684" s="280"/>
      <c r="R684" s="280"/>
      <c r="S684" s="280"/>
      <c r="T684" s="280"/>
      <c r="U684" s="280"/>
      <c r="V684" s="280"/>
      <c r="W684" s="280"/>
      <c r="X684" s="280"/>
      <c r="Y684" s="280"/>
      <c r="Z684" s="280"/>
    </row>
    <row r="685">
      <c r="A685" s="284" t="s">
        <v>753</v>
      </c>
      <c r="B685" s="285" t="s">
        <v>717</v>
      </c>
      <c r="C685" s="286">
        <v>0.0</v>
      </c>
      <c r="D685" s="286" t="s">
        <v>461</v>
      </c>
      <c r="E685" s="286">
        <v>0.0</v>
      </c>
      <c r="F685" s="286" t="s">
        <v>450</v>
      </c>
      <c r="G685" s="280"/>
      <c r="H685" s="280"/>
      <c r="I685" s="280"/>
      <c r="J685" s="280"/>
      <c r="K685" s="280"/>
      <c r="L685" s="280"/>
      <c r="M685" s="280"/>
      <c r="N685" s="280"/>
      <c r="O685" s="280"/>
      <c r="P685" s="280"/>
      <c r="Q685" s="280"/>
      <c r="R685" s="280"/>
      <c r="S685" s="280"/>
      <c r="T685" s="280"/>
      <c r="U685" s="280"/>
      <c r="V685" s="280"/>
      <c r="W685" s="280"/>
      <c r="X685" s="280"/>
      <c r="Y685" s="280"/>
      <c r="Z685" s="280"/>
    </row>
    <row r="686">
      <c r="A686" s="284" t="s">
        <v>754</v>
      </c>
      <c r="B686" s="285" t="s">
        <v>717</v>
      </c>
      <c r="C686" s="286">
        <v>0.0</v>
      </c>
      <c r="D686" s="286" t="s">
        <v>450</v>
      </c>
      <c r="E686" s="286">
        <v>0.0</v>
      </c>
      <c r="F686" s="286">
        <v>0.0</v>
      </c>
      <c r="G686" s="280"/>
      <c r="H686" s="280"/>
      <c r="I686" s="280"/>
      <c r="J686" s="280"/>
      <c r="K686" s="280"/>
      <c r="L686" s="280"/>
      <c r="M686" s="280"/>
      <c r="N686" s="280"/>
      <c r="O686" s="280"/>
      <c r="P686" s="280"/>
      <c r="Q686" s="280"/>
      <c r="R686" s="280"/>
      <c r="S686" s="280"/>
      <c r="T686" s="280"/>
      <c r="U686" s="280"/>
      <c r="V686" s="280"/>
      <c r="W686" s="280"/>
      <c r="X686" s="280"/>
      <c r="Y686" s="280"/>
      <c r="Z686" s="280"/>
    </row>
    <row r="687">
      <c r="A687" s="284" t="s">
        <v>755</v>
      </c>
      <c r="B687" s="285" t="s">
        <v>717</v>
      </c>
      <c r="C687" s="286">
        <v>0.0</v>
      </c>
      <c r="D687" s="286" t="s">
        <v>450</v>
      </c>
      <c r="E687" s="286">
        <v>0.0</v>
      </c>
      <c r="F687" s="286" t="s">
        <v>450</v>
      </c>
      <c r="G687" s="280"/>
      <c r="H687" s="280"/>
      <c r="I687" s="280"/>
      <c r="J687" s="280"/>
      <c r="K687" s="280"/>
      <c r="L687" s="280"/>
      <c r="M687" s="280"/>
      <c r="N687" s="280"/>
      <c r="O687" s="280"/>
      <c r="P687" s="280"/>
      <c r="Q687" s="280"/>
      <c r="R687" s="280"/>
      <c r="S687" s="280"/>
      <c r="T687" s="280"/>
      <c r="U687" s="280"/>
      <c r="V687" s="280"/>
      <c r="W687" s="280"/>
      <c r="X687" s="280"/>
      <c r="Y687" s="280"/>
      <c r="Z687" s="280"/>
    </row>
    <row r="688">
      <c r="A688" s="284" t="s">
        <v>756</v>
      </c>
      <c r="B688" s="285" t="s">
        <v>717</v>
      </c>
      <c r="C688" s="286">
        <v>0.0</v>
      </c>
      <c r="D688" s="286" t="s">
        <v>450</v>
      </c>
      <c r="E688" s="286">
        <v>0.0</v>
      </c>
      <c r="F688" s="286">
        <v>0.0</v>
      </c>
      <c r="G688" s="280"/>
      <c r="H688" s="280"/>
      <c r="I688" s="280"/>
      <c r="J688" s="280"/>
      <c r="K688" s="280"/>
      <c r="L688" s="280"/>
      <c r="M688" s="280"/>
      <c r="N688" s="280"/>
      <c r="O688" s="280"/>
      <c r="P688" s="280"/>
      <c r="Q688" s="280"/>
      <c r="R688" s="280"/>
      <c r="S688" s="280"/>
      <c r="T688" s="280"/>
      <c r="U688" s="280"/>
      <c r="V688" s="280"/>
      <c r="W688" s="280"/>
      <c r="X688" s="280"/>
      <c r="Y688" s="280"/>
      <c r="Z688" s="280"/>
    </row>
    <row r="689">
      <c r="A689" s="284" t="s">
        <v>758</v>
      </c>
      <c r="B689" s="285" t="s">
        <v>717</v>
      </c>
      <c r="C689" s="286">
        <v>0.0</v>
      </c>
      <c r="D689" s="286">
        <v>0.0</v>
      </c>
      <c r="E689" s="286">
        <v>0.0</v>
      </c>
      <c r="F689" s="286" t="s">
        <v>450</v>
      </c>
      <c r="G689" s="280"/>
      <c r="H689" s="280"/>
      <c r="I689" s="280"/>
      <c r="J689" s="280"/>
      <c r="K689" s="280"/>
      <c r="L689" s="280"/>
      <c r="M689" s="280"/>
      <c r="N689" s="280"/>
      <c r="O689" s="280"/>
      <c r="P689" s="280"/>
      <c r="Q689" s="280"/>
      <c r="R689" s="280"/>
      <c r="S689" s="280"/>
      <c r="T689" s="280"/>
      <c r="U689" s="280"/>
      <c r="V689" s="280"/>
      <c r="W689" s="280"/>
      <c r="X689" s="280"/>
      <c r="Y689" s="280"/>
      <c r="Z689" s="280"/>
    </row>
    <row r="690">
      <c r="A690" s="284" t="s">
        <v>759</v>
      </c>
      <c r="B690" s="285" t="s">
        <v>717</v>
      </c>
      <c r="C690" s="286">
        <v>0.0</v>
      </c>
      <c r="D690" s="286">
        <v>0.0</v>
      </c>
      <c r="E690" s="286">
        <v>0.0</v>
      </c>
      <c r="F690" s="286" t="s">
        <v>450</v>
      </c>
      <c r="G690" s="280"/>
      <c r="H690" s="280"/>
      <c r="I690" s="280"/>
      <c r="J690" s="280"/>
      <c r="K690" s="280"/>
      <c r="L690" s="280"/>
      <c r="M690" s="280"/>
      <c r="N690" s="280"/>
      <c r="O690" s="280"/>
      <c r="P690" s="280"/>
      <c r="Q690" s="280"/>
      <c r="R690" s="280"/>
      <c r="S690" s="280"/>
      <c r="T690" s="280"/>
      <c r="U690" s="280"/>
      <c r="V690" s="280"/>
      <c r="W690" s="280"/>
      <c r="X690" s="280"/>
      <c r="Y690" s="280"/>
      <c r="Z690" s="280"/>
    </row>
    <row r="691">
      <c r="A691" s="284" t="s">
        <v>760</v>
      </c>
      <c r="B691" s="285" t="s">
        <v>717</v>
      </c>
      <c r="C691" s="286">
        <v>0.0</v>
      </c>
      <c r="D691" s="286" t="s">
        <v>461</v>
      </c>
      <c r="E691" s="286">
        <v>0.0</v>
      </c>
      <c r="F691" s="286" t="s">
        <v>450</v>
      </c>
      <c r="G691" s="280"/>
      <c r="H691" s="280"/>
      <c r="I691" s="280"/>
      <c r="J691" s="280"/>
      <c r="K691" s="280"/>
      <c r="L691" s="280"/>
      <c r="M691" s="280"/>
      <c r="N691" s="280"/>
      <c r="O691" s="280"/>
      <c r="P691" s="280"/>
      <c r="Q691" s="280"/>
      <c r="R691" s="280"/>
      <c r="S691" s="280"/>
      <c r="T691" s="280"/>
      <c r="U691" s="280"/>
      <c r="V691" s="280"/>
      <c r="W691" s="280"/>
      <c r="X691" s="280"/>
      <c r="Y691" s="280"/>
      <c r="Z691" s="280"/>
    </row>
    <row r="692">
      <c r="A692" s="284" t="s">
        <v>761</v>
      </c>
      <c r="B692" s="285" t="s">
        <v>717</v>
      </c>
      <c r="C692" s="286">
        <v>0.0</v>
      </c>
      <c r="D692" s="286" t="s">
        <v>450</v>
      </c>
      <c r="E692" s="286">
        <v>0.0</v>
      </c>
      <c r="F692" s="286">
        <v>0.0</v>
      </c>
      <c r="G692" s="280"/>
      <c r="H692" s="280"/>
      <c r="I692" s="280"/>
      <c r="J692" s="280"/>
      <c r="K692" s="280"/>
      <c r="L692" s="280"/>
      <c r="M692" s="280"/>
      <c r="N692" s="280"/>
      <c r="O692" s="280"/>
      <c r="P692" s="280"/>
      <c r="Q692" s="280"/>
      <c r="R692" s="280"/>
      <c r="S692" s="280"/>
      <c r="T692" s="280"/>
      <c r="U692" s="280"/>
      <c r="V692" s="280"/>
      <c r="W692" s="280"/>
      <c r="X692" s="280"/>
      <c r="Y692" s="280"/>
      <c r="Z692" s="280"/>
    </row>
    <row r="693">
      <c r="A693" s="284" t="s">
        <v>765</v>
      </c>
      <c r="B693" s="285" t="s">
        <v>717</v>
      </c>
      <c r="C693" s="286">
        <v>0.0</v>
      </c>
      <c r="D693" s="286" t="s">
        <v>450</v>
      </c>
      <c r="E693" s="286">
        <v>0.0</v>
      </c>
      <c r="F693" s="286" t="s">
        <v>450</v>
      </c>
      <c r="G693" s="280"/>
      <c r="H693" s="280"/>
      <c r="I693" s="280"/>
      <c r="J693" s="280"/>
      <c r="K693" s="280"/>
      <c r="L693" s="280"/>
      <c r="M693" s="280"/>
      <c r="N693" s="280"/>
      <c r="O693" s="280"/>
      <c r="P693" s="280"/>
      <c r="Q693" s="280"/>
      <c r="R693" s="280"/>
      <c r="S693" s="280"/>
      <c r="T693" s="280"/>
      <c r="U693" s="280"/>
      <c r="V693" s="280"/>
      <c r="W693" s="280"/>
      <c r="X693" s="280"/>
      <c r="Y693" s="280"/>
      <c r="Z693" s="280"/>
    </row>
    <row r="694">
      <c r="A694" s="284" t="s">
        <v>768</v>
      </c>
      <c r="B694" s="285" t="s">
        <v>717</v>
      </c>
      <c r="C694" s="286">
        <v>0.0</v>
      </c>
      <c r="D694" s="286" t="s">
        <v>461</v>
      </c>
      <c r="E694" s="286">
        <v>0.0</v>
      </c>
      <c r="F694" s="286">
        <v>0.0</v>
      </c>
      <c r="G694" s="280"/>
      <c r="H694" s="280"/>
      <c r="I694" s="280"/>
      <c r="J694" s="280"/>
      <c r="K694" s="280"/>
      <c r="L694" s="280"/>
      <c r="M694" s="280"/>
      <c r="N694" s="280"/>
      <c r="O694" s="280"/>
      <c r="P694" s="280"/>
      <c r="Q694" s="280"/>
      <c r="R694" s="280"/>
      <c r="S694" s="280"/>
      <c r="T694" s="280"/>
      <c r="U694" s="280"/>
      <c r="V694" s="280"/>
      <c r="W694" s="280"/>
      <c r="X694" s="280"/>
      <c r="Y694" s="280"/>
      <c r="Z694" s="280"/>
    </row>
    <row r="695">
      <c r="A695" s="284" t="s">
        <v>769</v>
      </c>
      <c r="B695" s="285" t="s">
        <v>717</v>
      </c>
      <c r="C695" s="286">
        <v>0.0</v>
      </c>
      <c r="D695" s="286" t="s">
        <v>450</v>
      </c>
      <c r="E695" s="286">
        <v>0.0</v>
      </c>
      <c r="F695" s="286">
        <v>0.0</v>
      </c>
      <c r="G695" s="280"/>
      <c r="H695" s="280"/>
      <c r="I695" s="280"/>
      <c r="J695" s="280"/>
      <c r="K695" s="280"/>
      <c r="L695" s="280"/>
      <c r="M695" s="280"/>
      <c r="N695" s="280"/>
      <c r="O695" s="280"/>
      <c r="P695" s="280"/>
      <c r="Q695" s="280"/>
      <c r="R695" s="280"/>
      <c r="S695" s="280"/>
      <c r="T695" s="280"/>
      <c r="U695" s="280"/>
      <c r="V695" s="280"/>
      <c r="W695" s="280"/>
      <c r="X695" s="280"/>
      <c r="Y695" s="280"/>
      <c r="Z695" s="280"/>
    </row>
    <row r="696">
      <c r="A696" s="284" t="s">
        <v>770</v>
      </c>
      <c r="B696" s="285" t="s">
        <v>717</v>
      </c>
      <c r="C696" s="286">
        <v>0.0</v>
      </c>
      <c r="D696" s="286" t="s">
        <v>450</v>
      </c>
      <c r="E696" s="286">
        <v>0.0</v>
      </c>
      <c r="F696" s="286">
        <v>0.0</v>
      </c>
      <c r="G696" s="280"/>
      <c r="H696" s="280"/>
      <c r="I696" s="280"/>
      <c r="J696" s="280"/>
      <c r="K696" s="280"/>
      <c r="L696" s="280"/>
      <c r="M696" s="280"/>
      <c r="N696" s="280"/>
      <c r="O696" s="280"/>
      <c r="P696" s="280"/>
      <c r="Q696" s="280"/>
      <c r="R696" s="280"/>
      <c r="S696" s="280"/>
      <c r="T696" s="280"/>
      <c r="U696" s="280"/>
      <c r="V696" s="280"/>
      <c r="W696" s="280"/>
      <c r="X696" s="280"/>
      <c r="Y696" s="280"/>
      <c r="Z696" s="280"/>
    </row>
    <row r="697">
      <c r="A697" s="284" t="s">
        <v>772</v>
      </c>
      <c r="B697" s="285" t="s">
        <v>717</v>
      </c>
      <c r="C697" s="286">
        <v>0.0</v>
      </c>
      <c r="D697" s="286" t="s">
        <v>461</v>
      </c>
      <c r="E697" s="286">
        <v>0.0</v>
      </c>
      <c r="F697" s="286" t="s">
        <v>450</v>
      </c>
      <c r="G697" s="280"/>
      <c r="H697" s="280"/>
      <c r="I697" s="280"/>
      <c r="J697" s="280"/>
      <c r="K697" s="280"/>
      <c r="L697" s="280"/>
      <c r="M697" s="280"/>
      <c r="N697" s="280"/>
      <c r="O697" s="280"/>
      <c r="P697" s="280"/>
      <c r="Q697" s="280"/>
      <c r="R697" s="280"/>
      <c r="S697" s="280"/>
      <c r="T697" s="280"/>
      <c r="U697" s="280"/>
      <c r="V697" s="280"/>
      <c r="W697" s="280"/>
      <c r="X697" s="280"/>
      <c r="Y697" s="280"/>
      <c r="Z697" s="280"/>
    </row>
    <row r="698">
      <c r="A698" s="284" t="s">
        <v>774</v>
      </c>
      <c r="B698" s="285" t="s">
        <v>717</v>
      </c>
      <c r="C698" s="286">
        <v>0.0</v>
      </c>
      <c r="D698" s="286" t="s">
        <v>450</v>
      </c>
      <c r="E698" s="286">
        <v>0.0</v>
      </c>
      <c r="F698" s="286" t="s">
        <v>450</v>
      </c>
      <c r="G698" s="280"/>
      <c r="H698" s="280"/>
      <c r="I698" s="280"/>
      <c r="J698" s="280"/>
      <c r="K698" s="280"/>
      <c r="L698" s="280"/>
      <c r="M698" s="280"/>
      <c r="N698" s="280"/>
      <c r="O698" s="280"/>
      <c r="P698" s="280"/>
      <c r="Q698" s="280"/>
      <c r="R698" s="280"/>
      <c r="S698" s="280"/>
      <c r="T698" s="280"/>
      <c r="U698" s="280"/>
      <c r="V698" s="280"/>
      <c r="W698" s="280"/>
      <c r="X698" s="280"/>
      <c r="Y698" s="280"/>
      <c r="Z698" s="280"/>
    </row>
    <row r="699">
      <c r="A699" s="284" t="s">
        <v>775</v>
      </c>
      <c r="B699" s="285" t="s">
        <v>717</v>
      </c>
      <c r="C699" s="286">
        <v>0.0</v>
      </c>
      <c r="D699" s="286" t="s">
        <v>450</v>
      </c>
      <c r="E699" s="286">
        <v>0.0</v>
      </c>
      <c r="F699" s="286">
        <v>0.0</v>
      </c>
      <c r="G699" s="280"/>
      <c r="H699" s="280"/>
      <c r="I699" s="280"/>
      <c r="J699" s="280"/>
      <c r="K699" s="280"/>
      <c r="L699" s="280"/>
      <c r="M699" s="280"/>
      <c r="N699" s="280"/>
      <c r="O699" s="280"/>
      <c r="P699" s="280"/>
      <c r="Q699" s="280"/>
      <c r="R699" s="280"/>
      <c r="S699" s="280"/>
      <c r="T699" s="280"/>
      <c r="U699" s="280"/>
      <c r="V699" s="280"/>
      <c r="W699" s="280"/>
      <c r="X699" s="280"/>
      <c r="Y699" s="280"/>
      <c r="Z699" s="280"/>
    </row>
    <row r="700">
      <c r="A700" s="284" t="s">
        <v>776</v>
      </c>
      <c r="B700" s="285" t="s">
        <v>717</v>
      </c>
      <c r="C700" s="286">
        <v>0.0</v>
      </c>
      <c r="D700" s="286" t="s">
        <v>450</v>
      </c>
      <c r="E700" s="286">
        <v>0.0</v>
      </c>
      <c r="F700" s="286">
        <v>0.0</v>
      </c>
      <c r="G700" s="280"/>
      <c r="H700" s="280"/>
      <c r="I700" s="280"/>
      <c r="J700" s="280"/>
      <c r="K700" s="280"/>
      <c r="L700" s="280"/>
      <c r="M700" s="280"/>
      <c r="N700" s="280"/>
      <c r="O700" s="280"/>
      <c r="P700" s="280"/>
      <c r="Q700" s="280"/>
      <c r="R700" s="280"/>
      <c r="S700" s="280"/>
      <c r="T700" s="280"/>
      <c r="U700" s="280"/>
      <c r="V700" s="280"/>
      <c r="W700" s="280"/>
      <c r="X700" s="280"/>
      <c r="Y700" s="280"/>
      <c r="Z700" s="280"/>
    </row>
    <row r="701">
      <c r="A701" s="284" t="s">
        <v>777</v>
      </c>
      <c r="B701" s="285" t="s">
        <v>717</v>
      </c>
      <c r="C701" s="286">
        <v>0.0</v>
      </c>
      <c r="D701" s="286" t="s">
        <v>450</v>
      </c>
      <c r="E701" s="286">
        <v>0.0</v>
      </c>
      <c r="F701" s="286" t="s">
        <v>450</v>
      </c>
      <c r="G701" s="280"/>
      <c r="H701" s="280"/>
      <c r="I701" s="280"/>
      <c r="J701" s="280"/>
      <c r="K701" s="280"/>
      <c r="L701" s="280"/>
      <c r="M701" s="280"/>
      <c r="N701" s="280"/>
      <c r="O701" s="280"/>
      <c r="P701" s="280"/>
      <c r="Q701" s="280"/>
      <c r="R701" s="280"/>
      <c r="S701" s="280"/>
      <c r="T701" s="280"/>
      <c r="U701" s="280"/>
      <c r="V701" s="280"/>
      <c r="W701" s="280"/>
      <c r="X701" s="280"/>
      <c r="Y701" s="280"/>
      <c r="Z701" s="280"/>
    </row>
    <row r="702">
      <c r="A702" s="284" t="s">
        <v>778</v>
      </c>
      <c r="B702" s="285" t="s">
        <v>717</v>
      </c>
      <c r="C702" s="286">
        <v>0.0</v>
      </c>
      <c r="D702" s="286" t="s">
        <v>450</v>
      </c>
      <c r="E702" s="286">
        <v>0.0</v>
      </c>
      <c r="F702" s="286">
        <v>0.0</v>
      </c>
      <c r="G702" s="280"/>
      <c r="H702" s="280"/>
      <c r="I702" s="280"/>
      <c r="J702" s="280"/>
      <c r="K702" s="280"/>
      <c r="L702" s="280"/>
      <c r="M702" s="280"/>
      <c r="N702" s="280"/>
      <c r="O702" s="280"/>
      <c r="P702" s="280"/>
      <c r="Q702" s="280"/>
      <c r="R702" s="280"/>
      <c r="S702" s="280"/>
      <c r="T702" s="280"/>
      <c r="U702" s="280"/>
      <c r="V702" s="280"/>
      <c r="W702" s="280"/>
      <c r="X702" s="280"/>
      <c r="Y702" s="280"/>
      <c r="Z702" s="280"/>
    </row>
    <row r="703">
      <c r="A703" s="284" t="s">
        <v>780</v>
      </c>
      <c r="B703" s="285" t="s">
        <v>717</v>
      </c>
      <c r="C703" s="286">
        <v>0.0</v>
      </c>
      <c r="D703" s="286" t="s">
        <v>450</v>
      </c>
      <c r="E703" s="286">
        <v>0.0</v>
      </c>
      <c r="F703" s="286">
        <v>0.0</v>
      </c>
      <c r="G703" s="280"/>
      <c r="H703" s="280"/>
      <c r="I703" s="280"/>
      <c r="J703" s="280"/>
      <c r="K703" s="280"/>
      <c r="L703" s="280"/>
      <c r="M703" s="280"/>
      <c r="N703" s="280"/>
      <c r="O703" s="280"/>
      <c r="P703" s="280"/>
      <c r="Q703" s="280"/>
      <c r="R703" s="280"/>
      <c r="S703" s="280"/>
      <c r="T703" s="280"/>
      <c r="U703" s="280"/>
      <c r="V703" s="280"/>
      <c r="W703" s="280"/>
      <c r="X703" s="280"/>
      <c r="Y703" s="280"/>
      <c r="Z703" s="280"/>
    </row>
    <row r="704">
      <c r="A704" s="284" t="s">
        <v>781</v>
      </c>
      <c r="B704" s="285" t="s">
        <v>717</v>
      </c>
      <c r="C704" s="286">
        <v>0.0</v>
      </c>
      <c r="D704" s="286" t="s">
        <v>450</v>
      </c>
      <c r="E704" s="286">
        <v>0.0</v>
      </c>
      <c r="F704" s="286">
        <v>0.0</v>
      </c>
      <c r="G704" s="280"/>
      <c r="H704" s="280"/>
      <c r="I704" s="280"/>
      <c r="J704" s="280"/>
      <c r="K704" s="280"/>
      <c r="L704" s="280"/>
      <c r="M704" s="280"/>
      <c r="N704" s="280"/>
      <c r="O704" s="280"/>
      <c r="P704" s="280"/>
      <c r="Q704" s="280"/>
      <c r="R704" s="280"/>
      <c r="S704" s="280"/>
      <c r="T704" s="280"/>
      <c r="U704" s="280"/>
      <c r="V704" s="280"/>
      <c r="W704" s="280"/>
      <c r="X704" s="280"/>
      <c r="Y704" s="280"/>
      <c r="Z704" s="280"/>
    </row>
    <row r="705">
      <c r="A705" s="284" t="s">
        <v>782</v>
      </c>
      <c r="B705" s="285" t="s">
        <v>717</v>
      </c>
      <c r="C705" s="286">
        <v>0.0</v>
      </c>
      <c r="D705" s="286">
        <v>0.0</v>
      </c>
      <c r="E705" s="286">
        <v>0.0</v>
      </c>
      <c r="F705" s="286" t="s">
        <v>450</v>
      </c>
      <c r="G705" s="280"/>
      <c r="H705" s="280"/>
      <c r="I705" s="280"/>
      <c r="J705" s="280"/>
      <c r="K705" s="280"/>
      <c r="L705" s="280"/>
      <c r="M705" s="280"/>
      <c r="N705" s="280"/>
      <c r="O705" s="280"/>
      <c r="P705" s="280"/>
      <c r="Q705" s="280"/>
      <c r="R705" s="280"/>
      <c r="S705" s="280"/>
      <c r="T705" s="280"/>
      <c r="U705" s="280"/>
      <c r="V705" s="280"/>
      <c r="W705" s="280"/>
      <c r="X705" s="280"/>
      <c r="Y705" s="280"/>
      <c r="Z705" s="280"/>
    </row>
    <row r="706">
      <c r="A706" s="284" t="s">
        <v>953</v>
      </c>
      <c r="B706" s="285" t="s">
        <v>717</v>
      </c>
      <c r="C706" s="286">
        <v>0.0</v>
      </c>
      <c r="D706" s="286" t="s">
        <v>450</v>
      </c>
      <c r="E706" s="286">
        <v>0.0</v>
      </c>
      <c r="F706" s="286">
        <v>0.0</v>
      </c>
      <c r="G706" s="280"/>
      <c r="H706" s="280"/>
      <c r="I706" s="280"/>
      <c r="J706" s="280"/>
      <c r="K706" s="280"/>
      <c r="L706" s="280"/>
      <c r="M706" s="280"/>
      <c r="N706" s="280"/>
      <c r="O706" s="280"/>
      <c r="P706" s="280"/>
      <c r="Q706" s="280"/>
      <c r="R706" s="280"/>
      <c r="S706" s="280"/>
      <c r="T706" s="280"/>
      <c r="U706" s="280"/>
      <c r="V706" s="280"/>
      <c r="W706" s="280"/>
      <c r="X706" s="280"/>
      <c r="Y706" s="280"/>
      <c r="Z706" s="280"/>
    </row>
    <row r="707">
      <c r="A707" s="284" t="s">
        <v>783</v>
      </c>
      <c r="B707" s="285" t="s">
        <v>717</v>
      </c>
      <c r="C707" s="286">
        <v>0.0</v>
      </c>
      <c r="D707" s="286" t="s">
        <v>450</v>
      </c>
      <c r="E707" s="286">
        <v>0.0</v>
      </c>
      <c r="F707" s="286" t="s">
        <v>450</v>
      </c>
      <c r="G707" s="280"/>
      <c r="H707" s="280"/>
      <c r="I707" s="280"/>
      <c r="J707" s="280"/>
      <c r="K707" s="280"/>
      <c r="L707" s="280"/>
      <c r="M707" s="280"/>
      <c r="N707" s="280"/>
      <c r="O707" s="280"/>
      <c r="P707" s="280"/>
      <c r="Q707" s="280"/>
      <c r="R707" s="280"/>
      <c r="S707" s="280"/>
      <c r="T707" s="280"/>
      <c r="U707" s="280"/>
      <c r="V707" s="280"/>
      <c r="W707" s="280"/>
      <c r="X707" s="280"/>
      <c r="Y707" s="280"/>
      <c r="Z707" s="280"/>
    </row>
    <row r="708">
      <c r="A708" s="284" t="s">
        <v>785</v>
      </c>
      <c r="B708" s="285" t="s">
        <v>717</v>
      </c>
      <c r="C708" s="286">
        <v>0.0</v>
      </c>
      <c r="D708" s="286" t="s">
        <v>450</v>
      </c>
      <c r="E708" s="286">
        <v>0.0</v>
      </c>
      <c r="F708" s="286" t="s">
        <v>450</v>
      </c>
      <c r="G708" s="280"/>
      <c r="H708" s="280"/>
      <c r="I708" s="280"/>
      <c r="J708" s="280"/>
      <c r="K708" s="280"/>
      <c r="L708" s="280"/>
      <c r="M708" s="280"/>
      <c r="N708" s="280"/>
      <c r="O708" s="280"/>
      <c r="P708" s="280"/>
      <c r="Q708" s="280"/>
      <c r="R708" s="280"/>
      <c r="S708" s="280"/>
      <c r="T708" s="280"/>
      <c r="U708" s="280"/>
      <c r="V708" s="280"/>
      <c r="W708" s="280"/>
      <c r="X708" s="280"/>
      <c r="Y708" s="280"/>
      <c r="Z708" s="280"/>
    </row>
    <row r="709">
      <c r="A709" s="284" t="s">
        <v>787</v>
      </c>
      <c r="B709" s="285" t="s">
        <v>717</v>
      </c>
      <c r="C709" s="286">
        <v>0.0</v>
      </c>
      <c r="D709" s="286" t="s">
        <v>450</v>
      </c>
      <c r="E709" s="286">
        <v>0.0</v>
      </c>
      <c r="F709" s="286">
        <v>0.0</v>
      </c>
      <c r="G709" s="280"/>
      <c r="H709" s="280"/>
      <c r="I709" s="280"/>
      <c r="J709" s="280"/>
      <c r="K709" s="280"/>
      <c r="L709" s="280"/>
      <c r="M709" s="280"/>
      <c r="N709" s="280"/>
      <c r="O709" s="280"/>
      <c r="P709" s="280"/>
      <c r="Q709" s="280"/>
      <c r="R709" s="280"/>
      <c r="S709" s="280"/>
      <c r="T709" s="280"/>
      <c r="U709" s="280"/>
      <c r="V709" s="280"/>
      <c r="W709" s="280"/>
      <c r="X709" s="280"/>
      <c r="Y709" s="280"/>
      <c r="Z709" s="280"/>
    </row>
    <row r="710">
      <c r="A710" s="284" t="s">
        <v>788</v>
      </c>
      <c r="B710" s="285" t="s">
        <v>717</v>
      </c>
      <c r="C710" s="286">
        <v>0.0</v>
      </c>
      <c r="D710" s="286" t="s">
        <v>450</v>
      </c>
      <c r="E710" s="286">
        <v>0.0</v>
      </c>
      <c r="F710" s="286">
        <v>0.0</v>
      </c>
      <c r="G710" s="280"/>
      <c r="H710" s="280"/>
      <c r="I710" s="280"/>
      <c r="J710" s="280"/>
      <c r="K710" s="280"/>
      <c r="L710" s="280"/>
      <c r="M710" s="280"/>
      <c r="N710" s="280"/>
      <c r="O710" s="280"/>
      <c r="P710" s="280"/>
      <c r="Q710" s="280"/>
      <c r="R710" s="280"/>
      <c r="S710" s="280"/>
      <c r="T710" s="280"/>
      <c r="U710" s="280"/>
      <c r="V710" s="280"/>
      <c r="W710" s="280"/>
      <c r="X710" s="280"/>
      <c r="Y710" s="280"/>
      <c r="Z710" s="280"/>
    </row>
    <row r="711">
      <c r="A711" s="284" t="s">
        <v>792</v>
      </c>
      <c r="B711" s="285" t="s">
        <v>717</v>
      </c>
      <c r="C711" s="286">
        <v>0.0</v>
      </c>
      <c r="D711" s="286" t="s">
        <v>450</v>
      </c>
      <c r="E711" s="286">
        <v>0.0</v>
      </c>
      <c r="F711" s="286">
        <v>0.0</v>
      </c>
      <c r="G711" s="280"/>
      <c r="H711" s="280"/>
      <c r="I711" s="280"/>
      <c r="J711" s="280"/>
      <c r="K711" s="280"/>
      <c r="L711" s="280"/>
      <c r="M711" s="280"/>
      <c r="N711" s="280"/>
      <c r="O711" s="280"/>
      <c r="P711" s="280"/>
      <c r="Q711" s="280"/>
      <c r="R711" s="280"/>
      <c r="S711" s="280"/>
      <c r="T711" s="280"/>
      <c r="U711" s="280"/>
      <c r="V711" s="280"/>
      <c r="W711" s="280"/>
      <c r="X711" s="280"/>
      <c r="Y711" s="280"/>
      <c r="Z711" s="280"/>
    </row>
    <row r="712">
      <c r="A712" s="284" t="s">
        <v>793</v>
      </c>
      <c r="B712" s="285" t="s">
        <v>717</v>
      </c>
      <c r="C712" s="286">
        <v>0.0</v>
      </c>
      <c r="D712" s="286" t="s">
        <v>454</v>
      </c>
      <c r="E712" s="286">
        <v>0.0</v>
      </c>
      <c r="F712" s="286">
        <v>0.0</v>
      </c>
      <c r="G712" s="280"/>
      <c r="H712" s="280"/>
      <c r="I712" s="280"/>
      <c r="J712" s="280"/>
      <c r="K712" s="280"/>
      <c r="L712" s="280"/>
      <c r="M712" s="280"/>
      <c r="N712" s="280"/>
      <c r="O712" s="280"/>
      <c r="P712" s="280"/>
      <c r="Q712" s="280"/>
      <c r="R712" s="280"/>
      <c r="S712" s="280"/>
      <c r="T712" s="280"/>
      <c r="U712" s="280"/>
      <c r="V712" s="280"/>
      <c r="W712" s="280"/>
      <c r="X712" s="280"/>
      <c r="Y712" s="280"/>
      <c r="Z712" s="280"/>
    </row>
    <row r="713">
      <c r="A713" s="284" t="s">
        <v>794</v>
      </c>
      <c r="B713" s="285" t="s">
        <v>717</v>
      </c>
      <c r="C713" s="286">
        <v>0.0</v>
      </c>
      <c r="D713" s="286">
        <v>0.0</v>
      </c>
      <c r="E713" s="286">
        <v>0.0</v>
      </c>
      <c r="F713" s="286" t="s">
        <v>450</v>
      </c>
      <c r="G713" s="280"/>
      <c r="H713" s="280"/>
      <c r="I713" s="280"/>
      <c r="J713" s="280"/>
      <c r="K713" s="280"/>
      <c r="L713" s="280"/>
      <c r="M713" s="280"/>
      <c r="N713" s="280"/>
      <c r="O713" s="280"/>
      <c r="P713" s="280"/>
      <c r="Q713" s="280"/>
      <c r="R713" s="280"/>
      <c r="S713" s="280"/>
      <c r="T713" s="280"/>
      <c r="U713" s="280"/>
      <c r="V713" s="280"/>
      <c r="W713" s="280"/>
      <c r="X713" s="280"/>
      <c r="Y713" s="280"/>
      <c r="Z713" s="280"/>
    </row>
    <row r="714">
      <c r="A714" s="284" t="s">
        <v>795</v>
      </c>
      <c r="B714" s="285" t="s">
        <v>717</v>
      </c>
      <c r="C714" s="286">
        <v>0.0</v>
      </c>
      <c r="D714" s="286" t="s">
        <v>461</v>
      </c>
      <c r="E714" s="286">
        <v>0.0</v>
      </c>
      <c r="F714" s="286">
        <v>0.0</v>
      </c>
      <c r="G714" s="280"/>
      <c r="H714" s="280"/>
      <c r="I714" s="280"/>
      <c r="J714" s="280"/>
      <c r="K714" s="280"/>
      <c r="L714" s="280"/>
      <c r="M714" s="280"/>
      <c r="N714" s="280"/>
      <c r="O714" s="280"/>
      <c r="P714" s="280"/>
      <c r="Q714" s="280"/>
      <c r="R714" s="280"/>
      <c r="S714" s="280"/>
      <c r="T714" s="280"/>
      <c r="U714" s="280"/>
      <c r="V714" s="280"/>
      <c r="W714" s="280"/>
      <c r="X714" s="280"/>
      <c r="Y714" s="280"/>
      <c r="Z714" s="280"/>
    </row>
    <row r="715">
      <c r="A715" s="284" t="s">
        <v>799</v>
      </c>
      <c r="B715" s="285" t="s">
        <v>254</v>
      </c>
      <c r="C715" s="286">
        <v>0.0</v>
      </c>
      <c r="D715" s="286" t="s">
        <v>461</v>
      </c>
      <c r="E715" s="286">
        <v>0.0</v>
      </c>
      <c r="F715" s="286" t="s">
        <v>450</v>
      </c>
      <c r="G715" s="280"/>
      <c r="H715" s="280"/>
      <c r="I715" s="280"/>
      <c r="J715" s="280"/>
      <c r="K715" s="280"/>
      <c r="L715" s="280"/>
      <c r="M715" s="280"/>
      <c r="N715" s="280"/>
      <c r="O715" s="280"/>
      <c r="P715" s="280"/>
      <c r="Q715" s="280"/>
      <c r="R715" s="280"/>
      <c r="S715" s="280"/>
      <c r="T715" s="280"/>
      <c r="U715" s="280"/>
      <c r="V715" s="280"/>
      <c r="W715" s="280"/>
      <c r="X715" s="280"/>
      <c r="Y715" s="280"/>
      <c r="Z715" s="280"/>
    </row>
    <row r="716">
      <c r="A716" s="284" t="s">
        <v>801</v>
      </c>
      <c r="B716" s="285" t="s">
        <v>254</v>
      </c>
      <c r="C716" s="286">
        <v>0.0</v>
      </c>
      <c r="D716" s="286" t="s">
        <v>460</v>
      </c>
      <c r="E716" s="286">
        <v>0.0</v>
      </c>
      <c r="F716" s="286" t="s">
        <v>450</v>
      </c>
      <c r="G716" s="280"/>
      <c r="H716" s="280"/>
      <c r="I716" s="280"/>
      <c r="J716" s="280"/>
      <c r="K716" s="280"/>
      <c r="L716" s="280"/>
      <c r="M716" s="280"/>
      <c r="N716" s="280"/>
      <c r="O716" s="280"/>
      <c r="P716" s="280"/>
      <c r="Q716" s="280"/>
      <c r="R716" s="280"/>
      <c r="S716" s="280"/>
      <c r="T716" s="280"/>
      <c r="U716" s="280"/>
      <c r="V716" s="280"/>
      <c r="W716" s="280"/>
      <c r="X716" s="280"/>
      <c r="Y716" s="280"/>
      <c r="Z716" s="280"/>
    </row>
    <row r="717">
      <c r="A717" s="284" t="s">
        <v>802</v>
      </c>
      <c r="B717" s="285" t="s">
        <v>254</v>
      </c>
      <c r="C717" s="286">
        <v>0.0</v>
      </c>
      <c r="D717" s="286" t="s">
        <v>461</v>
      </c>
      <c r="E717" s="286">
        <v>0.0</v>
      </c>
      <c r="F717" s="286" t="s">
        <v>450</v>
      </c>
      <c r="G717" s="280"/>
      <c r="H717" s="280"/>
      <c r="I717" s="280"/>
      <c r="J717" s="280"/>
      <c r="K717" s="280"/>
      <c r="L717" s="280"/>
      <c r="M717" s="280"/>
      <c r="N717" s="280"/>
      <c r="O717" s="280"/>
      <c r="P717" s="280"/>
      <c r="Q717" s="280"/>
      <c r="R717" s="280"/>
      <c r="S717" s="280"/>
      <c r="T717" s="280"/>
      <c r="U717" s="280"/>
      <c r="V717" s="280"/>
      <c r="W717" s="280"/>
      <c r="X717" s="280"/>
      <c r="Y717" s="280"/>
      <c r="Z717" s="280"/>
    </row>
    <row r="718">
      <c r="A718" s="284" t="s">
        <v>803</v>
      </c>
      <c r="B718" s="285" t="s">
        <v>254</v>
      </c>
      <c r="C718" s="286">
        <v>0.0</v>
      </c>
      <c r="D718" s="286" t="s">
        <v>454</v>
      </c>
      <c r="E718" s="286">
        <v>0.0</v>
      </c>
      <c r="F718" s="286" t="s">
        <v>450</v>
      </c>
      <c r="G718" s="280"/>
      <c r="H718" s="280"/>
      <c r="I718" s="280"/>
      <c r="J718" s="280"/>
      <c r="K718" s="280"/>
      <c r="L718" s="280"/>
      <c r="M718" s="280"/>
      <c r="N718" s="280"/>
      <c r="O718" s="280"/>
      <c r="P718" s="280"/>
      <c r="Q718" s="280"/>
      <c r="R718" s="280"/>
      <c r="S718" s="280"/>
      <c r="T718" s="280"/>
      <c r="U718" s="280"/>
      <c r="V718" s="280"/>
      <c r="W718" s="280"/>
      <c r="X718" s="280"/>
      <c r="Y718" s="280"/>
      <c r="Z718" s="280"/>
    </row>
    <row r="719">
      <c r="A719" s="284" t="s">
        <v>804</v>
      </c>
      <c r="B719" s="285" t="s">
        <v>254</v>
      </c>
      <c r="C719" s="286">
        <v>0.0</v>
      </c>
      <c r="D719" s="286" t="s">
        <v>454</v>
      </c>
      <c r="E719" s="286">
        <v>0.0</v>
      </c>
      <c r="F719" s="286">
        <v>0.0</v>
      </c>
      <c r="G719" s="280"/>
      <c r="H719" s="280"/>
      <c r="I719" s="280"/>
      <c r="J719" s="280"/>
      <c r="K719" s="280"/>
      <c r="L719" s="280"/>
      <c r="M719" s="280"/>
      <c r="N719" s="280"/>
      <c r="O719" s="280"/>
      <c r="P719" s="280"/>
      <c r="Q719" s="280"/>
      <c r="R719" s="280"/>
      <c r="S719" s="280"/>
      <c r="T719" s="280"/>
      <c r="U719" s="280"/>
      <c r="V719" s="280"/>
      <c r="W719" s="280"/>
      <c r="X719" s="280"/>
      <c r="Y719" s="280"/>
      <c r="Z719" s="280"/>
    </row>
    <row r="720">
      <c r="A720" s="284" t="s">
        <v>805</v>
      </c>
      <c r="B720" s="285" t="s">
        <v>254</v>
      </c>
      <c r="C720" s="286">
        <v>0.0</v>
      </c>
      <c r="D720" s="286" t="s">
        <v>461</v>
      </c>
      <c r="E720" s="286">
        <v>0.0</v>
      </c>
      <c r="F720" s="286" t="s">
        <v>450</v>
      </c>
      <c r="G720" s="280"/>
      <c r="H720" s="280"/>
      <c r="I720" s="280"/>
      <c r="J720" s="280"/>
      <c r="K720" s="280"/>
      <c r="L720" s="280"/>
      <c r="M720" s="280"/>
      <c r="N720" s="280"/>
      <c r="O720" s="280"/>
      <c r="P720" s="280"/>
      <c r="Q720" s="280"/>
      <c r="R720" s="280"/>
      <c r="S720" s="280"/>
      <c r="T720" s="280"/>
      <c r="U720" s="280"/>
      <c r="V720" s="280"/>
      <c r="W720" s="280"/>
      <c r="X720" s="280"/>
      <c r="Y720" s="280"/>
      <c r="Z720" s="280"/>
    </row>
    <row r="721">
      <c r="A721" s="284" t="s">
        <v>806</v>
      </c>
      <c r="B721" s="285" t="s">
        <v>254</v>
      </c>
      <c r="C721" s="286" t="s">
        <v>450</v>
      </c>
      <c r="D721" s="286" t="s">
        <v>943</v>
      </c>
      <c r="E721" s="286">
        <v>0.0</v>
      </c>
      <c r="F721" s="286" t="s">
        <v>450</v>
      </c>
      <c r="G721" s="280"/>
      <c r="H721" s="280"/>
      <c r="I721" s="280"/>
      <c r="J721" s="280"/>
      <c r="K721" s="280"/>
      <c r="L721" s="280"/>
      <c r="M721" s="280"/>
      <c r="N721" s="280"/>
      <c r="O721" s="280"/>
      <c r="P721" s="280"/>
      <c r="Q721" s="280"/>
      <c r="R721" s="280"/>
      <c r="S721" s="280"/>
      <c r="T721" s="280"/>
      <c r="U721" s="280"/>
      <c r="V721" s="280"/>
      <c r="W721" s="280"/>
      <c r="X721" s="280"/>
      <c r="Y721" s="280"/>
      <c r="Z721" s="280"/>
    </row>
    <row r="722">
      <c r="A722" s="284" t="s">
        <v>807</v>
      </c>
      <c r="B722" s="285" t="s">
        <v>254</v>
      </c>
      <c r="C722" s="286">
        <v>0.0</v>
      </c>
      <c r="D722" s="286" t="s">
        <v>461</v>
      </c>
      <c r="E722" s="286">
        <v>0.0</v>
      </c>
      <c r="F722" s="286" t="s">
        <v>450</v>
      </c>
      <c r="G722" s="280"/>
      <c r="H722" s="280"/>
      <c r="I722" s="280"/>
      <c r="J722" s="280"/>
      <c r="K722" s="280"/>
      <c r="L722" s="280"/>
      <c r="M722" s="280"/>
      <c r="N722" s="280"/>
      <c r="O722" s="280"/>
      <c r="P722" s="280"/>
      <c r="Q722" s="280"/>
      <c r="R722" s="280"/>
      <c r="S722" s="280"/>
      <c r="T722" s="280"/>
      <c r="U722" s="280"/>
      <c r="V722" s="280"/>
      <c r="W722" s="280"/>
      <c r="X722" s="280"/>
      <c r="Y722" s="280"/>
      <c r="Z722" s="280"/>
    </row>
    <row r="723">
      <c r="A723" s="284" t="s">
        <v>808</v>
      </c>
      <c r="B723" s="285" t="s">
        <v>254</v>
      </c>
      <c r="C723" s="286" t="s">
        <v>450</v>
      </c>
      <c r="D723" s="286" t="s">
        <v>458</v>
      </c>
      <c r="E723" s="286">
        <v>0.0</v>
      </c>
      <c r="F723" s="286" t="s">
        <v>450</v>
      </c>
      <c r="G723" s="280"/>
      <c r="H723" s="280"/>
      <c r="I723" s="280"/>
      <c r="J723" s="280"/>
      <c r="K723" s="280"/>
      <c r="L723" s="280"/>
      <c r="M723" s="280"/>
      <c r="N723" s="280"/>
      <c r="O723" s="280"/>
      <c r="P723" s="280"/>
      <c r="Q723" s="280"/>
      <c r="R723" s="280"/>
      <c r="S723" s="280"/>
      <c r="T723" s="280"/>
      <c r="U723" s="280"/>
      <c r="V723" s="280"/>
      <c r="W723" s="280"/>
      <c r="X723" s="280"/>
      <c r="Y723" s="280"/>
      <c r="Z723" s="280"/>
    </row>
    <row r="724">
      <c r="A724" s="284" t="s">
        <v>809</v>
      </c>
      <c r="B724" s="285" t="s">
        <v>254</v>
      </c>
      <c r="C724" s="286">
        <v>0.0</v>
      </c>
      <c r="D724" s="286" t="s">
        <v>456</v>
      </c>
      <c r="E724" s="286">
        <v>0.0</v>
      </c>
      <c r="F724" s="286" t="s">
        <v>450</v>
      </c>
      <c r="G724" s="280"/>
      <c r="H724" s="280"/>
      <c r="I724" s="280"/>
      <c r="J724" s="280"/>
      <c r="K724" s="280"/>
      <c r="L724" s="280"/>
      <c r="M724" s="280"/>
      <c r="N724" s="280"/>
      <c r="O724" s="280"/>
      <c r="P724" s="280"/>
      <c r="Q724" s="280"/>
      <c r="R724" s="280"/>
      <c r="S724" s="280"/>
      <c r="T724" s="280"/>
      <c r="U724" s="280"/>
      <c r="V724" s="280"/>
      <c r="W724" s="280"/>
      <c r="X724" s="280"/>
      <c r="Y724" s="280"/>
      <c r="Z724" s="280"/>
    </row>
    <row r="725">
      <c r="A725" s="284" t="s">
        <v>810</v>
      </c>
      <c r="B725" s="285" t="s">
        <v>254</v>
      </c>
      <c r="C725" s="286">
        <v>0.0</v>
      </c>
      <c r="D725" s="286" t="s">
        <v>461</v>
      </c>
      <c r="E725" s="286">
        <v>0.0</v>
      </c>
      <c r="F725" s="286">
        <v>0.0</v>
      </c>
      <c r="G725" s="280"/>
      <c r="H725" s="280"/>
      <c r="I725" s="280"/>
      <c r="J725" s="280"/>
      <c r="K725" s="280"/>
      <c r="L725" s="280"/>
      <c r="M725" s="280"/>
      <c r="N725" s="280"/>
      <c r="O725" s="280"/>
      <c r="P725" s="280"/>
      <c r="Q725" s="280"/>
      <c r="R725" s="280"/>
      <c r="S725" s="280"/>
      <c r="T725" s="280"/>
      <c r="U725" s="280"/>
      <c r="V725" s="280"/>
      <c r="W725" s="280"/>
      <c r="X725" s="280"/>
      <c r="Y725" s="280"/>
      <c r="Z725" s="280"/>
    </row>
    <row r="726">
      <c r="A726" s="284" t="s">
        <v>811</v>
      </c>
      <c r="B726" s="285" t="s">
        <v>254</v>
      </c>
      <c r="C726" s="286">
        <v>0.0</v>
      </c>
      <c r="D726" s="286" t="s">
        <v>454</v>
      </c>
      <c r="E726" s="286">
        <v>0.0</v>
      </c>
      <c r="F726" s="286">
        <v>0.0</v>
      </c>
      <c r="G726" s="280"/>
      <c r="H726" s="280"/>
      <c r="I726" s="280"/>
      <c r="J726" s="280"/>
      <c r="K726" s="280"/>
      <c r="L726" s="280"/>
      <c r="M726" s="280"/>
      <c r="N726" s="280"/>
      <c r="O726" s="280"/>
      <c r="P726" s="280"/>
      <c r="Q726" s="280"/>
      <c r="R726" s="280"/>
      <c r="S726" s="280"/>
      <c r="T726" s="280"/>
      <c r="U726" s="280"/>
      <c r="V726" s="280"/>
      <c r="W726" s="280"/>
      <c r="X726" s="280"/>
      <c r="Y726" s="280"/>
      <c r="Z726" s="280"/>
    </row>
    <row r="727">
      <c r="A727" s="284" t="s">
        <v>812</v>
      </c>
      <c r="B727" s="285" t="s">
        <v>254</v>
      </c>
      <c r="C727" s="286">
        <v>0.0</v>
      </c>
      <c r="D727" s="286" t="s">
        <v>454</v>
      </c>
      <c r="E727" s="286">
        <v>0.0</v>
      </c>
      <c r="F727" s="286">
        <v>0.0</v>
      </c>
      <c r="G727" s="280"/>
      <c r="H727" s="280"/>
      <c r="I727" s="280"/>
      <c r="J727" s="280"/>
      <c r="K727" s="280"/>
      <c r="L727" s="280"/>
      <c r="M727" s="280"/>
      <c r="N727" s="280"/>
      <c r="O727" s="280"/>
      <c r="P727" s="280"/>
      <c r="Q727" s="280"/>
      <c r="R727" s="280"/>
      <c r="S727" s="280"/>
      <c r="T727" s="280"/>
      <c r="U727" s="280"/>
      <c r="V727" s="280"/>
      <c r="W727" s="280"/>
      <c r="X727" s="280"/>
      <c r="Y727" s="280"/>
      <c r="Z727" s="280"/>
    </row>
    <row r="728">
      <c r="A728" s="284" t="s">
        <v>813</v>
      </c>
      <c r="B728" s="285" t="s">
        <v>254</v>
      </c>
      <c r="C728" s="286" t="s">
        <v>450</v>
      </c>
      <c r="D728" s="286" t="s">
        <v>461</v>
      </c>
      <c r="E728" s="286">
        <v>0.0</v>
      </c>
      <c r="F728" s="286">
        <v>0.0</v>
      </c>
      <c r="G728" s="280"/>
      <c r="H728" s="280"/>
      <c r="I728" s="280"/>
      <c r="J728" s="280"/>
      <c r="K728" s="280"/>
      <c r="L728" s="280"/>
      <c r="M728" s="280"/>
      <c r="N728" s="280"/>
      <c r="O728" s="280"/>
      <c r="P728" s="280"/>
      <c r="Q728" s="280"/>
      <c r="R728" s="280"/>
      <c r="S728" s="280"/>
      <c r="T728" s="280"/>
      <c r="U728" s="280"/>
      <c r="V728" s="280"/>
      <c r="W728" s="280"/>
      <c r="X728" s="280"/>
      <c r="Y728" s="280"/>
      <c r="Z728" s="280"/>
    </row>
    <row r="729">
      <c r="A729" s="284" t="s">
        <v>814</v>
      </c>
      <c r="B729" s="285" t="s">
        <v>254</v>
      </c>
      <c r="C729" s="286">
        <v>0.0</v>
      </c>
      <c r="D729" s="286" t="s">
        <v>450</v>
      </c>
      <c r="E729" s="286">
        <v>0.0</v>
      </c>
      <c r="F729" s="286">
        <v>0.0</v>
      </c>
      <c r="G729" s="280"/>
      <c r="H729" s="280"/>
      <c r="I729" s="280"/>
      <c r="J729" s="280"/>
      <c r="K729" s="280"/>
      <c r="L729" s="280"/>
      <c r="M729" s="280"/>
      <c r="N729" s="280"/>
      <c r="O729" s="280"/>
      <c r="P729" s="280"/>
      <c r="Q729" s="280"/>
      <c r="R729" s="280"/>
      <c r="S729" s="280"/>
      <c r="T729" s="280"/>
      <c r="U729" s="280"/>
      <c r="V729" s="280"/>
      <c r="W729" s="280"/>
      <c r="X729" s="280"/>
      <c r="Y729" s="280"/>
      <c r="Z729" s="280"/>
    </row>
    <row r="730">
      <c r="A730" s="284" t="s">
        <v>815</v>
      </c>
      <c r="B730" s="285" t="s">
        <v>254</v>
      </c>
      <c r="C730" s="286" t="s">
        <v>450</v>
      </c>
      <c r="D730" s="286" t="s">
        <v>460</v>
      </c>
      <c r="E730" s="286">
        <v>0.0</v>
      </c>
      <c r="F730" s="286" t="s">
        <v>450</v>
      </c>
      <c r="G730" s="280"/>
      <c r="H730" s="280"/>
      <c r="I730" s="280"/>
      <c r="J730" s="280"/>
      <c r="K730" s="280"/>
      <c r="L730" s="280"/>
      <c r="M730" s="280"/>
      <c r="N730" s="280"/>
      <c r="O730" s="280"/>
      <c r="P730" s="280"/>
      <c r="Q730" s="280"/>
      <c r="R730" s="280"/>
      <c r="S730" s="280"/>
      <c r="T730" s="280"/>
      <c r="U730" s="280"/>
      <c r="V730" s="280"/>
      <c r="W730" s="280"/>
      <c r="X730" s="280"/>
      <c r="Y730" s="280"/>
      <c r="Z730" s="280"/>
    </row>
    <row r="731">
      <c r="A731" s="284" t="s">
        <v>816</v>
      </c>
      <c r="B731" s="285" t="s">
        <v>254</v>
      </c>
      <c r="C731" s="286" t="s">
        <v>450</v>
      </c>
      <c r="D731" s="286" t="s">
        <v>516</v>
      </c>
      <c r="E731" s="286">
        <v>0.0</v>
      </c>
      <c r="F731" s="286" t="s">
        <v>450</v>
      </c>
      <c r="G731" s="280"/>
      <c r="H731" s="280"/>
      <c r="I731" s="280"/>
      <c r="J731" s="280"/>
      <c r="K731" s="280"/>
      <c r="L731" s="280"/>
      <c r="M731" s="280"/>
      <c r="N731" s="280"/>
      <c r="O731" s="280"/>
      <c r="P731" s="280"/>
      <c r="Q731" s="280"/>
      <c r="R731" s="280"/>
      <c r="S731" s="280"/>
      <c r="T731" s="280"/>
      <c r="U731" s="280"/>
      <c r="V731" s="280"/>
      <c r="W731" s="280"/>
      <c r="X731" s="280"/>
      <c r="Y731" s="280"/>
      <c r="Z731" s="280"/>
    </row>
    <row r="732">
      <c r="A732" s="284" t="s">
        <v>817</v>
      </c>
      <c r="B732" s="285" t="s">
        <v>254</v>
      </c>
      <c r="C732" s="286">
        <v>0.0</v>
      </c>
      <c r="D732" s="286" t="s">
        <v>482</v>
      </c>
      <c r="E732" s="286" t="s">
        <v>450</v>
      </c>
      <c r="F732" s="286" t="s">
        <v>450</v>
      </c>
      <c r="G732" s="280"/>
      <c r="H732" s="280"/>
      <c r="I732" s="280"/>
      <c r="J732" s="280"/>
      <c r="K732" s="280"/>
      <c r="L732" s="280"/>
      <c r="M732" s="280"/>
      <c r="N732" s="280"/>
      <c r="O732" s="280"/>
      <c r="P732" s="280"/>
      <c r="Q732" s="280"/>
      <c r="R732" s="280"/>
      <c r="S732" s="280"/>
      <c r="T732" s="280"/>
      <c r="U732" s="280"/>
      <c r="V732" s="280"/>
      <c r="W732" s="280"/>
      <c r="X732" s="280"/>
      <c r="Y732" s="280"/>
      <c r="Z732" s="280"/>
    </row>
    <row r="733">
      <c r="A733" s="284" t="s">
        <v>818</v>
      </c>
      <c r="B733" s="285" t="s">
        <v>254</v>
      </c>
      <c r="C733" s="286">
        <v>0.0</v>
      </c>
      <c r="D733" s="286" t="s">
        <v>454</v>
      </c>
      <c r="E733" s="286">
        <v>0.0</v>
      </c>
      <c r="F733" s="286">
        <v>0.0</v>
      </c>
      <c r="G733" s="280"/>
      <c r="H733" s="280"/>
      <c r="I733" s="280"/>
      <c r="J733" s="280"/>
      <c r="K733" s="280"/>
      <c r="L733" s="280"/>
      <c r="M733" s="280"/>
      <c r="N733" s="280"/>
      <c r="O733" s="280"/>
      <c r="P733" s="280"/>
      <c r="Q733" s="280"/>
      <c r="R733" s="280"/>
      <c r="S733" s="280"/>
      <c r="T733" s="280"/>
      <c r="U733" s="280"/>
      <c r="V733" s="280"/>
      <c r="W733" s="280"/>
      <c r="X733" s="280"/>
      <c r="Y733" s="280"/>
      <c r="Z733" s="280"/>
    </row>
    <row r="734">
      <c r="A734" s="287" t="s">
        <v>819</v>
      </c>
      <c r="B734" s="285" t="s">
        <v>254</v>
      </c>
      <c r="C734" s="286">
        <v>0.0</v>
      </c>
      <c r="D734" s="286" t="s">
        <v>450</v>
      </c>
      <c r="E734" s="286">
        <v>0.0</v>
      </c>
      <c r="F734" s="286">
        <v>0.0</v>
      </c>
      <c r="G734" s="280"/>
      <c r="H734" s="280"/>
      <c r="I734" s="280"/>
      <c r="J734" s="280"/>
      <c r="K734" s="280"/>
      <c r="L734" s="280"/>
      <c r="M734" s="280"/>
      <c r="N734" s="280"/>
      <c r="O734" s="280"/>
      <c r="P734" s="280"/>
      <c r="Q734" s="280"/>
      <c r="R734" s="280"/>
      <c r="S734" s="280"/>
      <c r="T734" s="280"/>
      <c r="U734" s="280"/>
      <c r="V734" s="280"/>
      <c r="W734" s="280"/>
      <c r="X734" s="280"/>
      <c r="Y734" s="280"/>
      <c r="Z734" s="280"/>
    </row>
    <row r="735">
      <c r="A735" s="284" t="s">
        <v>820</v>
      </c>
      <c r="B735" s="285" t="s">
        <v>254</v>
      </c>
      <c r="C735" s="286">
        <v>0.0</v>
      </c>
      <c r="D735" s="286" t="s">
        <v>494</v>
      </c>
      <c r="E735" s="286">
        <v>0.0</v>
      </c>
      <c r="F735" s="286" t="s">
        <v>450</v>
      </c>
      <c r="G735" s="280"/>
      <c r="H735" s="280"/>
      <c r="I735" s="280"/>
      <c r="J735" s="280"/>
      <c r="K735" s="280"/>
      <c r="L735" s="280"/>
      <c r="M735" s="280"/>
      <c r="N735" s="280"/>
      <c r="O735" s="280"/>
      <c r="P735" s="280"/>
      <c r="Q735" s="280"/>
      <c r="R735" s="280"/>
      <c r="S735" s="280"/>
      <c r="T735" s="280"/>
      <c r="U735" s="280"/>
      <c r="V735" s="280"/>
      <c r="W735" s="280"/>
      <c r="X735" s="280"/>
      <c r="Y735" s="280"/>
      <c r="Z735" s="280"/>
    </row>
    <row r="736">
      <c r="A736" s="284" t="s">
        <v>821</v>
      </c>
      <c r="B736" s="285" t="s">
        <v>254</v>
      </c>
      <c r="C736" s="286">
        <v>0.0</v>
      </c>
      <c r="D736" s="286" t="s">
        <v>461</v>
      </c>
      <c r="E736" s="286">
        <v>0.0</v>
      </c>
      <c r="F736" s="286" t="s">
        <v>450</v>
      </c>
      <c r="G736" s="280"/>
      <c r="H736" s="280"/>
      <c r="I736" s="280"/>
      <c r="J736" s="280"/>
      <c r="K736" s="280"/>
      <c r="L736" s="280"/>
      <c r="M736" s="280"/>
      <c r="N736" s="280"/>
      <c r="O736" s="280"/>
      <c r="P736" s="280"/>
      <c r="Q736" s="280"/>
      <c r="R736" s="280"/>
      <c r="S736" s="280"/>
      <c r="T736" s="280"/>
      <c r="U736" s="280"/>
      <c r="V736" s="280"/>
      <c r="W736" s="280"/>
      <c r="X736" s="280"/>
      <c r="Y736" s="280"/>
      <c r="Z736" s="280"/>
    </row>
    <row r="737">
      <c r="A737" s="284" t="s">
        <v>822</v>
      </c>
      <c r="B737" s="285" t="s">
        <v>254</v>
      </c>
      <c r="C737" s="286">
        <v>0.0</v>
      </c>
      <c r="D737" s="286" t="s">
        <v>454</v>
      </c>
      <c r="E737" s="286">
        <v>0.0</v>
      </c>
      <c r="F737" s="286">
        <v>0.0</v>
      </c>
      <c r="G737" s="280"/>
      <c r="H737" s="280"/>
      <c r="I737" s="280"/>
      <c r="J737" s="280"/>
      <c r="K737" s="280"/>
      <c r="L737" s="280"/>
      <c r="M737" s="280"/>
      <c r="N737" s="280"/>
      <c r="O737" s="280"/>
      <c r="P737" s="280"/>
      <c r="Q737" s="280"/>
      <c r="R737" s="280"/>
      <c r="S737" s="280"/>
      <c r="T737" s="280"/>
      <c r="U737" s="280"/>
      <c r="V737" s="280"/>
      <c r="W737" s="280"/>
      <c r="X737" s="280"/>
      <c r="Y737" s="280"/>
      <c r="Z737" s="280"/>
    </row>
    <row r="738">
      <c r="A738" s="284" t="s">
        <v>823</v>
      </c>
      <c r="B738" s="285" t="s">
        <v>254</v>
      </c>
      <c r="C738" s="286">
        <v>0.0</v>
      </c>
      <c r="D738" s="286">
        <v>0.0</v>
      </c>
      <c r="E738" s="286">
        <v>0.0</v>
      </c>
      <c r="F738" s="286" t="s">
        <v>450</v>
      </c>
      <c r="G738" s="280"/>
      <c r="H738" s="280"/>
      <c r="I738" s="280"/>
      <c r="J738" s="280"/>
      <c r="K738" s="280"/>
      <c r="L738" s="280"/>
      <c r="M738" s="280"/>
      <c r="N738" s="280"/>
      <c r="O738" s="280"/>
      <c r="P738" s="280"/>
      <c r="Q738" s="280"/>
      <c r="R738" s="280"/>
      <c r="S738" s="280"/>
      <c r="T738" s="280"/>
      <c r="U738" s="280"/>
      <c r="V738" s="280"/>
      <c r="W738" s="280"/>
      <c r="X738" s="280"/>
      <c r="Y738" s="280"/>
      <c r="Z738" s="280"/>
    </row>
    <row r="739">
      <c r="A739" s="284" t="s">
        <v>824</v>
      </c>
      <c r="B739" s="285" t="s">
        <v>254</v>
      </c>
      <c r="C739" s="286">
        <v>0.0</v>
      </c>
      <c r="D739" s="286" t="s">
        <v>461</v>
      </c>
      <c r="E739" s="286">
        <v>0.0</v>
      </c>
      <c r="F739" s="286" t="s">
        <v>450</v>
      </c>
      <c r="G739" s="280"/>
      <c r="H739" s="280"/>
      <c r="I739" s="280"/>
      <c r="J739" s="280"/>
      <c r="K739" s="280"/>
      <c r="L739" s="280"/>
      <c r="M739" s="280"/>
      <c r="N739" s="280"/>
      <c r="O739" s="280"/>
      <c r="P739" s="280"/>
      <c r="Q739" s="280"/>
      <c r="R739" s="280"/>
      <c r="S739" s="280"/>
      <c r="T739" s="280"/>
      <c r="U739" s="280"/>
      <c r="V739" s="280"/>
      <c r="W739" s="280"/>
      <c r="X739" s="280"/>
      <c r="Y739" s="280"/>
      <c r="Z739" s="280"/>
    </row>
    <row r="740">
      <c r="A740" s="284" t="s">
        <v>825</v>
      </c>
      <c r="B740" s="285" t="s">
        <v>254</v>
      </c>
      <c r="C740" s="286">
        <v>0.0</v>
      </c>
      <c r="D740" s="286" t="s">
        <v>458</v>
      </c>
      <c r="E740" s="286">
        <v>0.0</v>
      </c>
      <c r="F740" s="286" t="s">
        <v>450</v>
      </c>
      <c r="G740" s="280"/>
      <c r="H740" s="280"/>
      <c r="I740" s="280"/>
      <c r="J740" s="280"/>
      <c r="K740" s="280"/>
      <c r="L740" s="280"/>
      <c r="M740" s="280"/>
      <c r="N740" s="280"/>
      <c r="O740" s="280"/>
      <c r="P740" s="280"/>
      <c r="Q740" s="280"/>
      <c r="R740" s="280"/>
      <c r="S740" s="280"/>
      <c r="T740" s="280"/>
      <c r="U740" s="280"/>
      <c r="V740" s="280"/>
      <c r="W740" s="280"/>
      <c r="X740" s="280"/>
      <c r="Y740" s="280"/>
      <c r="Z740" s="280"/>
    </row>
    <row r="741">
      <c r="A741" s="284" t="s">
        <v>826</v>
      </c>
      <c r="B741" s="285" t="s">
        <v>254</v>
      </c>
      <c r="C741" s="286">
        <v>0.0</v>
      </c>
      <c r="D741" s="286" t="s">
        <v>454</v>
      </c>
      <c r="E741" s="286">
        <v>0.0</v>
      </c>
      <c r="F741" s="286" t="s">
        <v>450</v>
      </c>
      <c r="G741" s="280"/>
      <c r="H741" s="280"/>
      <c r="I741" s="280"/>
      <c r="J741" s="280"/>
      <c r="K741" s="280"/>
      <c r="L741" s="280"/>
      <c r="M741" s="280"/>
      <c r="N741" s="280"/>
      <c r="O741" s="280"/>
      <c r="P741" s="280"/>
      <c r="Q741" s="280"/>
      <c r="R741" s="280"/>
      <c r="S741" s="280"/>
      <c r="T741" s="280"/>
      <c r="U741" s="280"/>
      <c r="V741" s="280"/>
      <c r="W741" s="280"/>
      <c r="X741" s="280"/>
      <c r="Y741" s="280"/>
      <c r="Z741" s="280"/>
    </row>
    <row r="742">
      <c r="A742" s="284" t="s">
        <v>827</v>
      </c>
      <c r="B742" s="285" t="s">
        <v>254</v>
      </c>
      <c r="C742" s="286" t="s">
        <v>450</v>
      </c>
      <c r="D742" s="286" t="s">
        <v>458</v>
      </c>
      <c r="E742" s="286">
        <v>0.0</v>
      </c>
      <c r="F742" s="286" t="s">
        <v>450</v>
      </c>
      <c r="G742" s="280"/>
      <c r="H742" s="280"/>
      <c r="I742" s="280"/>
      <c r="J742" s="280"/>
      <c r="K742" s="280"/>
      <c r="L742" s="280"/>
      <c r="M742" s="280"/>
      <c r="N742" s="280"/>
      <c r="O742" s="280"/>
      <c r="P742" s="280"/>
      <c r="Q742" s="280"/>
      <c r="R742" s="280"/>
      <c r="S742" s="280"/>
      <c r="T742" s="280"/>
      <c r="U742" s="280"/>
      <c r="V742" s="280"/>
      <c r="W742" s="280"/>
      <c r="X742" s="280"/>
      <c r="Y742" s="280"/>
      <c r="Z742" s="280"/>
    </row>
    <row r="743">
      <c r="A743" s="284" t="s">
        <v>829</v>
      </c>
      <c r="B743" s="285" t="s">
        <v>254</v>
      </c>
      <c r="C743" s="286" t="s">
        <v>450</v>
      </c>
      <c r="D743" s="286" t="s">
        <v>454</v>
      </c>
      <c r="E743" s="286">
        <v>0.0</v>
      </c>
      <c r="F743" s="286">
        <v>0.0</v>
      </c>
      <c r="G743" s="280"/>
      <c r="H743" s="280"/>
      <c r="I743" s="280"/>
      <c r="J743" s="280"/>
      <c r="K743" s="280"/>
      <c r="L743" s="280"/>
      <c r="M743" s="280"/>
      <c r="N743" s="280"/>
      <c r="O743" s="280"/>
      <c r="P743" s="280"/>
      <c r="Q743" s="280"/>
      <c r="R743" s="280"/>
      <c r="S743" s="280"/>
      <c r="T743" s="280"/>
      <c r="U743" s="280"/>
      <c r="V743" s="280"/>
      <c r="W743" s="280"/>
      <c r="X743" s="280"/>
      <c r="Y743" s="280"/>
      <c r="Z743" s="280"/>
    </row>
    <row r="744">
      <c r="A744" s="284" t="s">
        <v>830</v>
      </c>
      <c r="B744" s="285" t="s">
        <v>254</v>
      </c>
      <c r="C744" s="286">
        <v>0.0</v>
      </c>
      <c r="D744" s="286" t="s">
        <v>456</v>
      </c>
      <c r="E744" s="286">
        <v>0.0</v>
      </c>
      <c r="F744" s="286" t="s">
        <v>450</v>
      </c>
      <c r="G744" s="280"/>
      <c r="H744" s="280"/>
      <c r="I744" s="280"/>
      <c r="J744" s="280"/>
      <c r="K744" s="280"/>
      <c r="L744" s="280"/>
      <c r="M744" s="280"/>
      <c r="N744" s="280"/>
      <c r="O744" s="280"/>
      <c r="P744" s="280"/>
      <c r="Q744" s="280"/>
      <c r="R744" s="280"/>
      <c r="S744" s="280"/>
      <c r="T744" s="280"/>
      <c r="U744" s="280"/>
      <c r="V744" s="280"/>
      <c r="W744" s="280"/>
      <c r="X744" s="280"/>
      <c r="Y744" s="280"/>
      <c r="Z744" s="280"/>
    </row>
    <row r="745">
      <c r="A745" s="284" t="s">
        <v>954</v>
      </c>
      <c r="B745" s="285" t="s">
        <v>254</v>
      </c>
      <c r="C745" s="286">
        <v>0.0</v>
      </c>
      <c r="D745" s="286" t="s">
        <v>450</v>
      </c>
      <c r="E745" s="286">
        <v>0.0</v>
      </c>
      <c r="F745" s="286" t="s">
        <v>450</v>
      </c>
      <c r="G745" s="280"/>
      <c r="H745" s="280"/>
      <c r="I745" s="280"/>
      <c r="J745" s="280"/>
      <c r="K745" s="280"/>
      <c r="L745" s="280"/>
      <c r="M745" s="280"/>
      <c r="N745" s="280"/>
      <c r="O745" s="280"/>
      <c r="P745" s="280"/>
      <c r="Q745" s="280"/>
      <c r="R745" s="280"/>
      <c r="S745" s="280"/>
      <c r="T745" s="280"/>
      <c r="U745" s="280"/>
      <c r="V745" s="280"/>
      <c r="W745" s="280"/>
      <c r="X745" s="280"/>
      <c r="Y745" s="280"/>
      <c r="Z745" s="280"/>
    </row>
    <row r="746">
      <c r="A746" s="284" t="s">
        <v>832</v>
      </c>
      <c r="B746" s="285" t="s">
        <v>254</v>
      </c>
      <c r="C746" s="286" t="s">
        <v>450</v>
      </c>
      <c r="D746" s="286" t="s">
        <v>461</v>
      </c>
      <c r="E746" s="286">
        <v>0.0</v>
      </c>
      <c r="F746" s="286">
        <v>0.0</v>
      </c>
      <c r="G746" s="280"/>
      <c r="H746" s="280"/>
      <c r="I746" s="280"/>
      <c r="J746" s="280"/>
      <c r="K746" s="280"/>
      <c r="L746" s="280"/>
      <c r="M746" s="280"/>
      <c r="N746" s="280"/>
      <c r="O746" s="280"/>
      <c r="P746" s="280"/>
      <c r="Q746" s="280"/>
      <c r="R746" s="280"/>
      <c r="S746" s="280"/>
      <c r="T746" s="280"/>
      <c r="U746" s="280"/>
      <c r="V746" s="280"/>
      <c r="W746" s="280"/>
      <c r="X746" s="280"/>
      <c r="Y746" s="280"/>
      <c r="Z746" s="280"/>
    </row>
    <row r="747">
      <c r="A747" s="284" t="s">
        <v>833</v>
      </c>
      <c r="B747" s="285" t="s">
        <v>254</v>
      </c>
      <c r="C747" s="286">
        <v>0.0</v>
      </c>
      <c r="D747" s="286" t="s">
        <v>461</v>
      </c>
      <c r="E747" s="286">
        <v>0.0</v>
      </c>
      <c r="F747" s="286" t="s">
        <v>450</v>
      </c>
      <c r="G747" s="280"/>
      <c r="H747" s="280"/>
      <c r="I747" s="280"/>
      <c r="J747" s="280"/>
      <c r="K747" s="280"/>
      <c r="L747" s="280"/>
      <c r="M747" s="280"/>
      <c r="N747" s="280"/>
      <c r="O747" s="280"/>
      <c r="P747" s="280"/>
      <c r="Q747" s="280"/>
      <c r="R747" s="280"/>
      <c r="S747" s="280"/>
      <c r="T747" s="280"/>
      <c r="U747" s="280"/>
      <c r="V747" s="280"/>
      <c r="W747" s="280"/>
      <c r="X747" s="280"/>
      <c r="Y747" s="280"/>
      <c r="Z747" s="280"/>
    </row>
    <row r="748">
      <c r="A748" s="284" t="s">
        <v>834</v>
      </c>
      <c r="B748" s="285" t="s">
        <v>254</v>
      </c>
      <c r="C748" s="286">
        <v>0.0</v>
      </c>
      <c r="D748" s="286" t="s">
        <v>450</v>
      </c>
      <c r="E748" s="286">
        <v>0.0</v>
      </c>
      <c r="F748" s="286" t="s">
        <v>450</v>
      </c>
      <c r="G748" s="280"/>
      <c r="H748" s="280"/>
      <c r="I748" s="280"/>
      <c r="J748" s="280"/>
      <c r="K748" s="280"/>
      <c r="L748" s="280"/>
      <c r="M748" s="280"/>
      <c r="N748" s="280"/>
      <c r="O748" s="280"/>
      <c r="P748" s="280"/>
      <c r="Q748" s="280"/>
      <c r="R748" s="280"/>
      <c r="S748" s="280"/>
      <c r="T748" s="280"/>
      <c r="U748" s="280"/>
      <c r="V748" s="280"/>
      <c r="W748" s="280"/>
      <c r="X748" s="280"/>
      <c r="Y748" s="280"/>
      <c r="Z748" s="280"/>
    </row>
    <row r="749">
      <c r="A749" s="284" t="s">
        <v>835</v>
      </c>
      <c r="B749" s="285" t="s">
        <v>254</v>
      </c>
      <c r="C749" s="286">
        <v>0.0</v>
      </c>
      <c r="D749" s="286" t="s">
        <v>456</v>
      </c>
      <c r="E749" s="286">
        <v>0.0</v>
      </c>
      <c r="F749" s="286" t="s">
        <v>450</v>
      </c>
      <c r="G749" s="280"/>
      <c r="H749" s="280"/>
      <c r="I749" s="280"/>
      <c r="J749" s="280"/>
      <c r="K749" s="280"/>
      <c r="L749" s="280"/>
      <c r="M749" s="280"/>
      <c r="N749" s="280"/>
      <c r="O749" s="280"/>
      <c r="P749" s="280"/>
      <c r="Q749" s="280"/>
      <c r="R749" s="280"/>
      <c r="S749" s="280"/>
      <c r="T749" s="280"/>
      <c r="U749" s="280"/>
      <c r="V749" s="280"/>
      <c r="W749" s="280"/>
      <c r="X749" s="280"/>
      <c r="Y749" s="280"/>
      <c r="Z749" s="280"/>
    </row>
    <row r="750">
      <c r="A750" s="287" t="s">
        <v>836</v>
      </c>
      <c r="B750" s="285" t="s">
        <v>254</v>
      </c>
      <c r="C750" s="286">
        <v>0.0</v>
      </c>
      <c r="D750" s="286" t="s">
        <v>454</v>
      </c>
      <c r="E750" s="286">
        <v>0.0</v>
      </c>
      <c r="F750" s="286">
        <v>0.0</v>
      </c>
      <c r="G750" s="280"/>
      <c r="H750" s="280"/>
      <c r="I750" s="280"/>
      <c r="J750" s="280"/>
      <c r="K750" s="280"/>
      <c r="L750" s="280"/>
      <c r="M750" s="280"/>
      <c r="N750" s="280"/>
      <c r="O750" s="280"/>
      <c r="P750" s="280"/>
      <c r="Q750" s="280"/>
      <c r="R750" s="280"/>
      <c r="S750" s="280"/>
      <c r="T750" s="280"/>
      <c r="U750" s="280"/>
      <c r="V750" s="280"/>
      <c r="W750" s="280"/>
      <c r="X750" s="280"/>
      <c r="Y750" s="280"/>
      <c r="Z750" s="280"/>
    </row>
    <row r="751">
      <c r="A751" s="284" t="s">
        <v>837</v>
      </c>
      <c r="B751" s="285" t="s">
        <v>254</v>
      </c>
      <c r="C751" s="286">
        <v>0.0</v>
      </c>
      <c r="D751" s="286" t="s">
        <v>454</v>
      </c>
      <c r="E751" s="286">
        <v>0.0</v>
      </c>
      <c r="F751" s="286" t="s">
        <v>450</v>
      </c>
      <c r="G751" s="280"/>
      <c r="H751" s="280"/>
      <c r="I751" s="280"/>
      <c r="J751" s="280"/>
      <c r="K751" s="280"/>
      <c r="L751" s="280"/>
      <c r="M751" s="280"/>
      <c r="N751" s="280"/>
      <c r="O751" s="280"/>
      <c r="P751" s="280"/>
      <c r="Q751" s="280"/>
      <c r="R751" s="280"/>
      <c r="S751" s="280"/>
      <c r="T751" s="280"/>
      <c r="U751" s="280"/>
      <c r="V751" s="280"/>
      <c r="W751" s="280"/>
      <c r="X751" s="280"/>
      <c r="Y751" s="280"/>
      <c r="Z751" s="280"/>
    </row>
    <row r="752">
      <c r="A752" s="284" t="s">
        <v>838</v>
      </c>
      <c r="B752" s="285" t="s">
        <v>254</v>
      </c>
      <c r="C752" s="286">
        <v>0.0</v>
      </c>
      <c r="D752" s="286" t="s">
        <v>516</v>
      </c>
      <c r="E752" s="286">
        <v>0.0</v>
      </c>
      <c r="F752" s="286" t="s">
        <v>450</v>
      </c>
      <c r="G752" s="280"/>
      <c r="H752" s="280"/>
      <c r="I752" s="280"/>
      <c r="J752" s="280"/>
      <c r="K752" s="280"/>
      <c r="L752" s="280"/>
      <c r="M752" s="280"/>
      <c r="N752" s="280"/>
      <c r="O752" s="280"/>
      <c r="P752" s="280"/>
      <c r="Q752" s="280"/>
      <c r="R752" s="280"/>
      <c r="S752" s="280"/>
      <c r="T752" s="280"/>
      <c r="U752" s="280"/>
      <c r="V752" s="280"/>
      <c r="W752" s="280"/>
      <c r="X752" s="280"/>
      <c r="Y752" s="280"/>
      <c r="Z752" s="280"/>
    </row>
    <row r="753">
      <c r="A753" s="284" t="s">
        <v>839</v>
      </c>
      <c r="B753" s="285" t="s">
        <v>254</v>
      </c>
      <c r="C753" s="286">
        <v>0.0</v>
      </c>
      <c r="D753" s="286" t="s">
        <v>461</v>
      </c>
      <c r="E753" s="286">
        <v>0.0</v>
      </c>
      <c r="F753" s="286" t="s">
        <v>450</v>
      </c>
      <c r="G753" s="280"/>
      <c r="H753" s="280"/>
      <c r="I753" s="280"/>
      <c r="J753" s="280"/>
      <c r="K753" s="280"/>
      <c r="L753" s="280"/>
      <c r="M753" s="280"/>
      <c r="N753" s="280"/>
      <c r="O753" s="280"/>
      <c r="P753" s="280"/>
      <c r="Q753" s="280"/>
      <c r="R753" s="280"/>
      <c r="S753" s="280"/>
      <c r="T753" s="280"/>
      <c r="U753" s="280"/>
      <c r="V753" s="280"/>
      <c r="W753" s="280"/>
      <c r="X753" s="280"/>
      <c r="Y753" s="280"/>
      <c r="Z753" s="280"/>
    </row>
    <row r="754">
      <c r="A754" s="284" t="s">
        <v>840</v>
      </c>
      <c r="B754" s="285" t="s">
        <v>254</v>
      </c>
      <c r="C754" s="286">
        <v>0.0</v>
      </c>
      <c r="D754" s="286" t="s">
        <v>460</v>
      </c>
      <c r="E754" s="286">
        <v>0.0</v>
      </c>
      <c r="F754" s="286">
        <v>0.0</v>
      </c>
      <c r="G754" s="280"/>
      <c r="H754" s="280"/>
      <c r="I754" s="280"/>
      <c r="J754" s="280"/>
      <c r="K754" s="280"/>
      <c r="L754" s="280"/>
      <c r="M754" s="280"/>
      <c r="N754" s="280"/>
      <c r="O754" s="280"/>
      <c r="P754" s="280"/>
      <c r="Q754" s="280"/>
      <c r="R754" s="280"/>
      <c r="S754" s="280"/>
      <c r="T754" s="280"/>
      <c r="U754" s="280"/>
      <c r="V754" s="280"/>
      <c r="W754" s="280"/>
      <c r="X754" s="280"/>
      <c r="Y754" s="280"/>
      <c r="Z754" s="280"/>
    </row>
    <row r="755">
      <c r="A755" s="284" t="s">
        <v>841</v>
      </c>
      <c r="B755" s="285" t="s">
        <v>254</v>
      </c>
      <c r="C755" s="286">
        <v>0.0</v>
      </c>
      <c r="D755" s="286" t="s">
        <v>461</v>
      </c>
      <c r="E755" s="286">
        <v>0.0</v>
      </c>
      <c r="F755" s="286" t="s">
        <v>450</v>
      </c>
      <c r="G755" s="280"/>
      <c r="H755" s="280"/>
      <c r="I755" s="280"/>
      <c r="J755" s="280"/>
      <c r="K755" s="280"/>
      <c r="L755" s="280"/>
      <c r="M755" s="280"/>
      <c r="N755" s="280"/>
      <c r="O755" s="280"/>
      <c r="P755" s="280"/>
      <c r="Q755" s="280"/>
      <c r="R755" s="280"/>
      <c r="S755" s="280"/>
      <c r="T755" s="280"/>
      <c r="U755" s="280"/>
      <c r="V755" s="280"/>
      <c r="W755" s="280"/>
      <c r="X755" s="280"/>
      <c r="Y755" s="280"/>
      <c r="Z755" s="280"/>
    </row>
    <row r="756">
      <c r="A756" s="284" t="s">
        <v>842</v>
      </c>
      <c r="B756" s="285" t="s">
        <v>254</v>
      </c>
      <c r="C756" s="286">
        <v>0.0</v>
      </c>
      <c r="D756" s="286" t="s">
        <v>456</v>
      </c>
      <c r="E756" s="286">
        <v>0.0</v>
      </c>
      <c r="F756" s="286" t="s">
        <v>450</v>
      </c>
      <c r="G756" s="280"/>
      <c r="H756" s="280"/>
      <c r="I756" s="280"/>
      <c r="J756" s="280"/>
      <c r="K756" s="280"/>
      <c r="L756" s="280"/>
      <c r="M756" s="280"/>
      <c r="N756" s="280"/>
      <c r="O756" s="280"/>
      <c r="P756" s="280"/>
      <c r="Q756" s="280"/>
      <c r="R756" s="280"/>
      <c r="S756" s="280"/>
      <c r="T756" s="280"/>
      <c r="U756" s="280"/>
      <c r="V756" s="280"/>
      <c r="W756" s="280"/>
      <c r="X756" s="280"/>
      <c r="Y756" s="280"/>
      <c r="Z756" s="280"/>
    </row>
    <row r="757">
      <c r="A757" s="287" t="s">
        <v>843</v>
      </c>
      <c r="B757" s="285" t="s">
        <v>254</v>
      </c>
      <c r="C757" s="286">
        <v>0.0</v>
      </c>
      <c r="D757" s="286" t="s">
        <v>460</v>
      </c>
      <c r="E757" s="286">
        <v>0.0</v>
      </c>
      <c r="F757" s="286">
        <v>0.0</v>
      </c>
      <c r="G757" s="280"/>
      <c r="H757" s="280"/>
      <c r="I757" s="280"/>
      <c r="J757" s="280"/>
      <c r="K757" s="280"/>
      <c r="L757" s="280"/>
      <c r="M757" s="280"/>
      <c r="N757" s="280"/>
      <c r="O757" s="280"/>
      <c r="P757" s="280"/>
      <c r="Q757" s="280"/>
      <c r="R757" s="280"/>
      <c r="S757" s="280"/>
      <c r="T757" s="280"/>
      <c r="U757" s="280"/>
      <c r="V757" s="280"/>
      <c r="W757" s="280"/>
      <c r="X757" s="280"/>
      <c r="Y757" s="280"/>
      <c r="Z757" s="280"/>
    </row>
    <row r="758">
      <c r="A758" s="284" t="s">
        <v>844</v>
      </c>
      <c r="B758" s="285" t="s">
        <v>254</v>
      </c>
      <c r="C758" s="286">
        <v>0.0</v>
      </c>
      <c r="D758" s="286" t="s">
        <v>450</v>
      </c>
      <c r="E758" s="286">
        <v>0.0</v>
      </c>
      <c r="F758" s="286">
        <v>0.0</v>
      </c>
      <c r="G758" s="280"/>
      <c r="H758" s="280"/>
      <c r="I758" s="280"/>
      <c r="J758" s="280"/>
      <c r="K758" s="280"/>
      <c r="L758" s="280"/>
      <c r="M758" s="280"/>
      <c r="N758" s="280"/>
      <c r="O758" s="280"/>
      <c r="P758" s="280"/>
      <c r="Q758" s="280"/>
      <c r="R758" s="280"/>
      <c r="S758" s="280"/>
      <c r="T758" s="280"/>
      <c r="U758" s="280"/>
      <c r="V758" s="280"/>
      <c r="W758" s="280"/>
      <c r="X758" s="280"/>
      <c r="Y758" s="280"/>
      <c r="Z758" s="280"/>
    </row>
    <row r="759">
      <c r="A759" s="284" t="s">
        <v>845</v>
      </c>
      <c r="B759" s="285" t="s">
        <v>846</v>
      </c>
      <c r="C759" s="286">
        <v>0.0</v>
      </c>
      <c r="D759" s="286" t="s">
        <v>450</v>
      </c>
      <c r="E759" s="286">
        <v>0.0</v>
      </c>
      <c r="F759" s="286">
        <v>0.0</v>
      </c>
      <c r="G759" s="280"/>
      <c r="H759" s="280"/>
      <c r="I759" s="280"/>
      <c r="J759" s="280"/>
      <c r="K759" s="280"/>
      <c r="L759" s="280"/>
      <c r="M759" s="280"/>
      <c r="N759" s="280"/>
      <c r="O759" s="280"/>
      <c r="P759" s="280"/>
      <c r="Q759" s="280"/>
      <c r="R759" s="280"/>
      <c r="S759" s="280"/>
      <c r="T759" s="280"/>
      <c r="U759" s="280"/>
      <c r="V759" s="280"/>
      <c r="W759" s="280"/>
      <c r="X759" s="280"/>
      <c r="Y759" s="280"/>
      <c r="Z759" s="280"/>
    </row>
    <row r="760">
      <c r="A760" s="284" t="s">
        <v>847</v>
      </c>
      <c r="B760" s="285" t="s">
        <v>848</v>
      </c>
      <c r="C760" s="286">
        <v>0.0</v>
      </c>
      <c r="D760" s="286" t="s">
        <v>461</v>
      </c>
      <c r="E760" s="286">
        <v>0.0</v>
      </c>
      <c r="F760" s="286">
        <v>0.0</v>
      </c>
      <c r="G760" s="280"/>
      <c r="H760" s="280"/>
      <c r="I760" s="280"/>
      <c r="J760" s="280"/>
      <c r="K760" s="280"/>
      <c r="L760" s="280"/>
      <c r="M760" s="280"/>
      <c r="N760" s="280"/>
      <c r="O760" s="280"/>
      <c r="P760" s="280"/>
      <c r="Q760" s="280"/>
      <c r="R760" s="280"/>
      <c r="S760" s="280"/>
      <c r="T760" s="280"/>
      <c r="U760" s="280"/>
      <c r="V760" s="280"/>
      <c r="W760" s="280"/>
      <c r="X760" s="280"/>
      <c r="Y760" s="280"/>
      <c r="Z760" s="280"/>
    </row>
    <row r="761">
      <c r="A761" s="284" t="s">
        <v>850</v>
      </c>
      <c r="B761" s="285" t="s">
        <v>851</v>
      </c>
      <c r="C761" s="286">
        <v>0.0</v>
      </c>
      <c r="D761" s="286" t="s">
        <v>460</v>
      </c>
      <c r="E761" s="286">
        <v>0.0</v>
      </c>
      <c r="F761" s="286" t="s">
        <v>450</v>
      </c>
      <c r="G761" s="280"/>
      <c r="H761" s="280"/>
      <c r="I761" s="280"/>
      <c r="J761" s="280"/>
      <c r="K761" s="280"/>
      <c r="L761" s="280"/>
      <c r="M761" s="280"/>
      <c r="N761" s="280"/>
      <c r="O761" s="280"/>
      <c r="P761" s="280"/>
      <c r="Q761" s="280"/>
      <c r="R761" s="280"/>
      <c r="S761" s="280"/>
      <c r="T761" s="280"/>
      <c r="U761" s="280"/>
      <c r="V761" s="280"/>
      <c r="W761" s="280"/>
      <c r="X761" s="280"/>
      <c r="Y761" s="280"/>
      <c r="Z761" s="280"/>
    </row>
    <row r="762">
      <c r="A762" s="284" t="s">
        <v>852</v>
      </c>
      <c r="B762" s="285" t="s">
        <v>256</v>
      </c>
      <c r="C762" s="286">
        <v>0.0</v>
      </c>
      <c r="D762" s="286" t="s">
        <v>450</v>
      </c>
      <c r="E762" s="286">
        <v>0.0</v>
      </c>
      <c r="F762" s="286" t="s">
        <v>450</v>
      </c>
      <c r="G762" s="280"/>
      <c r="H762" s="280"/>
      <c r="I762" s="280"/>
      <c r="J762" s="280"/>
      <c r="K762" s="280"/>
      <c r="L762" s="280"/>
      <c r="M762" s="280"/>
      <c r="N762" s="280"/>
      <c r="O762" s="280"/>
      <c r="P762" s="280"/>
      <c r="Q762" s="280"/>
      <c r="R762" s="280"/>
      <c r="S762" s="280"/>
      <c r="T762" s="280"/>
      <c r="U762" s="280"/>
      <c r="V762" s="280"/>
      <c r="W762" s="280"/>
      <c r="X762" s="280"/>
      <c r="Y762" s="280"/>
      <c r="Z762" s="280"/>
    </row>
    <row r="763">
      <c r="A763" s="284" t="s">
        <v>853</v>
      </c>
      <c r="B763" s="285" t="s">
        <v>256</v>
      </c>
      <c r="C763" s="286">
        <v>0.0</v>
      </c>
      <c r="D763" s="286" t="s">
        <v>450</v>
      </c>
      <c r="E763" s="286">
        <v>0.0</v>
      </c>
      <c r="F763" s="286" t="s">
        <v>450</v>
      </c>
      <c r="G763" s="280"/>
      <c r="H763" s="280"/>
      <c r="I763" s="280"/>
      <c r="J763" s="280"/>
      <c r="K763" s="280"/>
      <c r="L763" s="280"/>
      <c r="M763" s="280"/>
      <c r="N763" s="280"/>
      <c r="O763" s="280"/>
      <c r="P763" s="280"/>
      <c r="Q763" s="280"/>
      <c r="R763" s="280"/>
      <c r="S763" s="280"/>
      <c r="T763" s="280"/>
      <c r="U763" s="280"/>
      <c r="V763" s="280"/>
      <c r="W763" s="280"/>
      <c r="X763" s="280"/>
      <c r="Y763" s="280"/>
      <c r="Z763" s="280"/>
    </row>
    <row r="764">
      <c r="A764" s="284" t="s">
        <v>854</v>
      </c>
      <c r="B764" s="285" t="s">
        <v>256</v>
      </c>
      <c r="C764" s="286">
        <v>0.0</v>
      </c>
      <c r="D764" s="286">
        <v>0.0</v>
      </c>
      <c r="E764" s="286">
        <v>0.0</v>
      </c>
      <c r="F764" s="286" t="s">
        <v>450</v>
      </c>
      <c r="G764" s="280"/>
      <c r="H764" s="280"/>
      <c r="I764" s="280"/>
      <c r="J764" s="280"/>
      <c r="K764" s="280"/>
      <c r="L764" s="280"/>
      <c r="M764" s="280"/>
      <c r="N764" s="280"/>
      <c r="O764" s="280"/>
      <c r="P764" s="280"/>
      <c r="Q764" s="280"/>
      <c r="R764" s="280"/>
      <c r="S764" s="280"/>
      <c r="T764" s="280"/>
      <c r="U764" s="280"/>
      <c r="V764" s="280"/>
      <c r="W764" s="280"/>
      <c r="X764" s="280"/>
      <c r="Y764" s="280"/>
      <c r="Z764" s="280"/>
    </row>
    <row r="765">
      <c r="A765" s="284" t="s">
        <v>855</v>
      </c>
      <c r="B765" s="285" t="s">
        <v>256</v>
      </c>
      <c r="C765" s="286">
        <v>0.0</v>
      </c>
      <c r="D765" s="286" t="s">
        <v>454</v>
      </c>
      <c r="E765" s="286">
        <v>0.0</v>
      </c>
      <c r="F765" s="286">
        <v>0.0</v>
      </c>
      <c r="G765" s="280"/>
      <c r="H765" s="280"/>
      <c r="I765" s="280"/>
      <c r="J765" s="280"/>
      <c r="K765" s="280"/>
      <c r="L765" s="280"/>
      <c r="M765" s="280"/>
      <c r="N765" s="280"/>
      <c r="O765" s="280"/>
      <c r="P765" s="280"/>
      <c r="Q765" s="280"/>
      <c r="R765" s="280"/>
      <c r="S765" s="280"/>
      <c r="T765" s="280"/>
      <c r="U765" s="280"/>
      <c r="V765" s="280"/>
      <c r="W765" s="280"/>
      <c r="X765" s="280"/>
      <c r="Y765" s="280"/>
      <c r="Z765" s="280"/>
    </row>
    <row r="766">
      <c r="A766" s="284" t="s">
        <v>856</v>
      </c>
      <c r="B766" s="285" t="s">
        <v>256</v>
      </c>
      <c r="C766" s="286">
        <v>0.0</v>
      </c>
      <c r="D766" s="286" t="s">
        <v>461</v>
      </c>
      <c r="E766" s="286">
        <v>0.0</v>
      </c>
      <c r="F766" s="286" t="s">
        <v>450</v>
      </c>
      <c r="G766" s="280"/>
      <c r="H766" s="280"/>
      <c r="I766" s="280"/>
      <c r="J766" s="280"/>
      <c r="K766" s="280"/>
      <c r="L766" s="280"/>
      <c r="M766" s="280"/>
      <c r="N766" s="280"/>
      <c r="O766" s="280"/>
      <c r="P766" s="280"/>
      <c r="Q766" s="280"/>
      <c r="R766" s="280"/>
      <c r="S766" s="280"/>
      <c r="T766" s="280"/>
      <c r="U766" s="280"/>
      <c r="V766" s="280"/>
      <c r="W766" s="280"/>
      <c r="X766" s="280"/>
      <c r="Y766" s="280"/>
      <c r="Z766" s="280"/>
    </row>
    <row r="767">
      <c r="A767" s="284" t="s">
        <v>857</v>
      </c>
      <c r="B767" s="285" t="s">
        <v>857</v>
      </c>
      <c r="C767" s="286">
        <v>0.0</v>
      </c>
      <c r="D767" s="286" t="s">
        <v>450</v>
      </c>
      <c r="E767" s="286">
        <v>0.0</v>
      </c>
      <c r="F767" s="286">
        <v>0.0</v>
      </c>
      <c r="G767" s="280"/>
      <c r="H767" s="280"/>
      <c r="I767" s="280"/>
      <c r="J767" s="280"/>
      <c r="K767" s="280"/>
      <c r="L767" s="280"/>
      <c r="M767" s="280"/>
      <c r="N767" s="280"/>
      <c r="O767" s="280"/>
      <c r="P767" s="280"/>
      <c r="Q767" s="280"/>
      <c r="R767" s="280"/>
      <c r="S767" s="280"/>
      <c r="T767" s="280"/>
      <c r="U767" s="280"/>
      <c r="V767" s="280"/>
      <c r="W767" s="280"/>
      <c r="X767" s="280"/>
      <c r="Y767" s="280"/>
      <c r="Z767" s="280"/>
    </row>
    <row r="768">
      <c r="A768" s="284" t="s">
        <v>858</v>
      </c>
      <c r="B768" s="285" t="s">
        <v>859</v>
      </c>
      <c r="C768" s="286">
        <v>0.0</v>
      </c>
      <c r="D768" s="286" t="s">
        <v>450</v>
      </c>
      <c r="E768" s="286">
        <v>0.0</v>
      </c>
      <c r="F768" s="286">
        <v>0.0</v>
      </c>
      <c r="G768" s="280"/>
      <c r="H768" s="280"/>
      <c r="I768" s="280"/>
      <c r="J768" s="280"/>
      <c r="K768" s="280"/>
      <c r="L768" s="280"/>
      <c r="M768" s="280"/>
      <c r="N768" s="280"/>
      <c r="O768" s="280"/>
      <c r="P768" s="280"/>
      <c r="Q768" s="280"/>
      <c r="R768" s="280"/>
      <c r="S768" s="280"/>
      <c r="T768" s="280"/>
      <c r="U768" s="280"/>
      <c r="V768" s="280"/>
      <c r="W768" s="280"/>
      <c r="X768" s="280"/>
      <c r="Y768" s="280"/>
      <c r="Z768" s="280"/>
    </row>
    <row r="769">
      <c r="A769" s="284" t="s">
        <v>955</v>
      </c>
      <c r="B769" s="285" t="s">
        <v>859</v>
      </c>
      <c r="C769" s="286">
        <v>0.0</v>
      </c>
      <c r="D769" s="286" t="s">
        <v>450</v>
      </c>
      <c r="E769" s="286">
        <v>0.0</v>
      </c>
      <c r="F769" s="286">
        <v>0.0</v>
      </c>
      <c r="G769" s="280"/>
      <c r="H769" s="280"/>
      <c r="I769" s="280"/>
      <c r="J769" s="280"/>
      <c r="K769" s="280"/>
      <c r="L769" s="280"/>
      <c r="M769" s="280"/>
      <c r="N769" s="280"/>
      <c r="O769" s="280"/>
      <c r="P769" s="280"/>
      <c r="Q769" s="280"/>
      <c r="R769" s="280"/>
      <c r="S769" s="280"/>
      <c r="T769" s="280"/>
      <c r="U769" s="280"/>
      <c r="V769" s="280"/>
      <c r="W769" s="280"/>
      <c r="X769" s="280"/>
      <c r="Y769" s="280"/>
      <c r="Z769" s="280"/>
    </row>
    <row r="770">
      <c r="A770" s="284" t="s">
        <v>860</v>
      </c>
      <c r="B770" s="285" t="s">
        <v>257</v>
      </c>
      <c r="C770" s="286">
        <v>0.0</v>
      </c>
      <c r="D770" s="286" t="s">
        <v>450</v>
      </c>
      <c r="E770" s="286">
        <v>0.0</v>
      </c>
      <c r="F770" s="286" t="s">
        <v>450</v>
      </c>
      <c r="G770" s="280"/>
      <c r="H770" s="280"/>
      <c r="I770" s="280"/>
      <c r="J770" s="280"/>
      <c r="K770" s="280"/>
      <c r="L770" s="280"/>
      <c r="M770" s="280"/>
      <c r="N770" s="280"/>
      <c r="O770" s="280"/>
      <c r="P770" s="280"/>
      <c r="Q770" s="280"/>
      <c r="R770" s="280"/>
      <c r="S770" s="280"/>
      <c r="T770" s="280"/>
      <c r="U770" s="280"/>
      <c r="V770" s="280"/>
      <c r="W770" s="280"/>
      <c r="X770" s="280"/>
      <c r="Y770" s="280"/>
      <c r="Z770" s="280"/>
    </row>
    <row r="771">
      <c r="A771" s="284" t="s">
        <v>862</v>
      </c>
      <c r="B771" s="285" t="s">
        <v>257</v>
      </c>
      <c r="C771" s="286">
        <v>0.0</v>
      </c>
      <c r="D771" s="286" t="s">
        <v>450</v>
      </c>
      <c r="E771" s="286">
        <v>0.0</v>
      </c>
      <c r="F771" s="286">
        <v>0.0</v>
      </c>
      <c r="G771" s="280"/>
      <c r="H771" s="280"/>
      <c r="I771" s="280"/>
      <c r="J771" s="280"/>
      <c r="K771" s="280"/>
      <c r="L771" s="280"/>
      <c r="M771" s="280"/>
      <c r="N771" s="280"/>
      <c r="O771" s="280"/>
      <c r="P771" s="280"/>
      <c r="Q771" s="280"/>
      <c r="R771" s="280"/>
      <c r="S771" s="280"/>
      <c r="T771" s="280"/>
      <c r="U771" s="280"/>
      <c r="V771" s="280"/>
      <c r="W771" s="280"/>
      <c r="X771" s="280"/>
      <c r="Y771" s="280"/>
      <c r="Z771" s="280"/>
    </row>
    <row r="772">
      <c r="A772" s="284" t="s">
        <v>863</v>
      </c>
      <c r="B772" s="285" t="s">
        <v>257</v>
      </c>
      <c r="C772" s="286">
        <v>0.0</v>
      </c>
      <c r="D772" s="286" t="s">
        <v>461</v>
      </c>
      <c r="E772" s="286">
        <v>0.0</v>
      </c>
      <c r="F772" s="286" t="s">
        <v>450</v>
      </c>
      <c r="G772" s="280"/>
      <c r="H772" s="280"/>
      <c r="I772" s="280"/>
      <c r="J772" s="280"/>
      <c r="K772" s="280"/>
      <c r="L772" s="280"/>
      <c r="M772" s="280"/>
      <c r="N772" s="280"/>
      <c r="O772" s="280"/>
      <c r="P772" s="280"/>
      <c r="Q772" s="280"/>
      <c r="R772" s="280"/>
      <c r="S772" s="280"/>
      <c r="T772" s="280"/>
      <c r="U772" s="280"/>
      <c r="V772" s="280"/>
      <c r="W772" s="280"/>
      <c r="X772" s="280"/>
      <c r="Y772" s="280"/>
      <c r="Z772" s="280"/>
    </row>
    <row r="773">
      <c r="A773" s="284" t="s">
        <v>864</v>
      </c>
      <c r="B773" s="285" t="s">
        <v>257</v>
      </c>
      <c r="C773" s="286">
        <v>0.0</v>
      </c>
      <c r="D773" s="286" t="s">
        <v>516</v>
      </c>
      <c r="E773" s="286">
        <v>0.0</v>
      </c>
      <c r="F773" s="286" t="s">
        <v>450</v>
      </c>
      <c r="G773" s="280"/>
      <c r="H773" s="280"/>
      <c r="I773" s="280"/>
      <c r="J773" s="280"/>
      <c r="K773" s="280"/>
      <c r="L773" s="280"/>
      <c r="M773" s="280"/>
      <c r="N773" s="280"/>
      <c r="O773" s="280"/>
      <c r="P773" s="280"/>
      <c r="Q773" s="280"/>
      <c r="R773" s="280"/>
      <c r="S773" s="280"/>
      <c r="T773" s="280"/>
      <c r="U773" s="280"/>
      <c r="V773" s="280"/>
      <c r="W773" s="280"/>
      <c r="X773" s="280"/>
      <c r="Y773" s="280"/>
      <c r="Z773" s="280"/>
    </row>
    <row r="774">
      <c r="A774" s="284" t="s">
        <v>865</v>
      </c>
      <c r="B774" s="285" t="s">
        <v>257</v>
      </c>
      <c r="C774" s="286">
        <v>0.0</v>
      </c>
      <c r="D774" s="286" t="s">
        <v>456</v>
      </c>
      <c r="E774" s="286">
        <v>0.0</v>
      </c>
      <c r="F774" s="286" t="s">
        <v>450</v>
      </c>
      <c r="G774" s="280"/>
      <c r="H774" s="280"/>
      <c r="I774" s="280"/>
      <c r="J774" s="280"/>
      <c r="K774" s="280"/>
      <c r="L774" s="280"/>
      <c r="M774" s="280"/>
      <c r="N774" s="280"/>
      <c r="O774" s="280"/>
      <c r="P774" s="280"/>
      <c r="Q774" s="280"/>
      <c r="R774" s="280"/>
      <c r="S774" s="280"/>
      <c r="T774" s="280"/>
      <c r="U774" s="280"/>
      <c r="V774" s="280"/>
      <c r="W774" s="280"/>
      <c r="X774" s="280"/>
      <c r="Y774" s="280"/>
      <c r="Z774" s="280"/>
    </row>
    <row r="775">
      <c r="A775" s="284" t="s">
        <v>866</v>
      </c>
      <c r="B775" s="285" t="s">
        <v>257</v>
      </c>
      <c r="C775" s="286">
        <v>0.0</v>
      </c>
      <c r="D775" s="286" t="s">
        <v>450</v>
      </c>
      <c r="E775" s="286">
        <v>0.0</v>
      </c>
      <c r="F775" s="286">
        <v>0.0</v>
      </c>
      <c r="G775" s="280"/>
      <c r="H775" s="280"/>
      <c r="I775" s="280"/>
      <c r="J775" s="280"/>
      <c r="K775" s="280"/>
      <c r="L775" s="280"/>
      <c r="M775" s="280"/>
      <c r="N775" s="280"/>
      <c r="O775" s="280"/>
      <c r="P775" s="280"/>
      <c r="Q775" s="280"/>
      <c r="R775" s="280"/>
      <c r="S775" s="280"/>
      <c r="T775" s="280"/>
      <c r="U775" s="280"/>
      <c r="V775" s="280"/>
      <c r="W775" s="280"/>
      <c r="X775" s="280"/>
      <c r="Y775" s="280"/>
      <c r="Z775" s="280"/>
    </row>
    <row r="776">
      <c r="A776" s="284" t="s">
        <v>867</v>
      </c>
      <c r="B776" s="285" t="s">
        <v>258</v>
      </c>
      <c r="C776" s="286" t="s">
        <v>450</v>
      </c>
      <c r="D776" s="286" t="s">
        <v>461</v>
      </c>
      <c r="E776" s="286">
        <v>0.0</v>
      </c>
      <c r="F776" s="286">
        <v>0.0</v>
      </c>
      <c r="G776" s="280"/>
      <c r="H776" s="280"/>
      <c r="I776" s="280"/>
      <c r="J776" s="280"/>
      <c r="K776" s="280"/>
      <c r="L776" s="280"/>
      <c r="M776" s="280"/>
      <c r="N776" s="280"/>
      <c r="O776" s="280"/>
      <c r="P776" s="280"/>
      <c r="Q776" s="280"/>
      <c r="R776" s="280"/>
      <c r="S776" s="280"/>
      <c r="T776" s="280"/>
      <c r="U776" s="280"/>
      <c r="V776" s="280"/>
      <c r="W776" s="280"/>
      <c r="X776" s="280"/>
      <c r="Y776" s="280"/>
      <c r="Z776" s="280"/>
    </row>
    <row r="777">
      <c r="A777" s="284" t="s">
        <v>868</v>
      </c>
      <c r="B777" s="285" t="s">
        <v>258</v>
      </c>
      <c r="C777" s="286">
        <v>0.0</v>
      </c>
      <c r="D777" s="286" t="s">
        <v>460</v>
      </c>
      <c r="E777" s="286">
        <v>0.0</v>
      </c>
      <c r="F777" s="286">
        <v>0.0</v>
      </c>
      <c r="G777" s="280"/>
      <c r="H777" s="280"/>
      <c r="I777" s="280"/>
      <c r="J777" s="280"/>
      <c r="K777" s="280"/>
      <c r="L777" s="280"/>
      <c r="M777" s="280"/>
      <c r="N777" s="280"/>
      <c r="O777" s="280"/>
      <c r="P777" s="280"/>
      <c r="Q777" s="280"/>
      <c r="R777" s="280"/>
      <c r="S777" s="280"/>
      <c r="T777" s="280"/>
      <c r="U777" s="280"/>
      <c r="V777" s="280"/>
      <c r="W777" s="280"/>
      <c r="X777" s="280"/>
      <c r="Y777" s="280"/>
      <c r="Z777" s="280"/>
    </row>
    <row r="778">
      <c r="A778" s="284" t="s">
        <v>869</v>
      </c>
      <c r="B778" s="285" t="s">
        <v>258</v>
      </c>
      <c r="C778" s="286">
        <v>0.0</v>
      </c>
      <c r="D778" s="286" t="s">
        <v>450</v>
      </c>
      <c r="E778" s="286">
        <v>0.0</v>
      </c>
      <c r="F778" s="286">
        <v>0.0</v>
      </c>
      <c r="G778" s="280"/>
      <c r="H778" s="280"/>
      <c r="I778" s="280"/>
      <c r="J778" s="280"/>
      <c r="K778" s="280"/>
      <c r="L778" s="280"/>
      <c r="M778" s="280"/>
      <c r="N778" s="280"/>
      <c r="O778" s="280"/>
      <c r="P778" s="280"/>
      <c r="Q778" s="280"/>
      <c r="R778" s="280"/>
      <c r="S778" s="280"/>
      <c r="T778" s="280"/>
      <c r="U778" s="280"/>
      <c r="V778" s="280"/>
      <c r="W778" s="280"/>
      <c r="X778" s="280"/>
      <c r="Y778" s="280"/>
      <c r="Z778" s="280"/>
    </row>
    <row r="779">
      <c r="A779" s="284" t="s">
        <v>870</v>
      </c>
      <c r="B779" s="285" t="s">
        <v>258</v>
      </c>
      <c r="C779" s="286" t="s">
        <v>450</v>
      </c>
      <c r="D779" s="286" t="s">
        <v>461</v>
      </c>
      <c r="E779" s="286">
        <v>0.0</v>
      </c>
      <c r="F779" s="286" t="s">
        <v>450</v>
      </c>
      <c r="G779" s="280"/>
      <c r="H779" s="280"/>
      <c r="I779" s="280"/>
      <c r="J779" s="280"/>
      <c r="K779" s="280"/>
      <c r="L779" s="280"/>
      <c r="M779" s="280"/>
      <c r="N779" s="280"/>
      <c r="O779" s="280"/>
      <c r="P779" s="280"/>
      <c r="Q779" s="280"/>
      <c r="R779" s="280"/>
      <c r="S779" s="280"/>
      <c r="T779" s="280"/>
      <c r="U779" s="280"/>
      <c r="V779" s="280"/>
      <c r="W779" s="280"/>
      <c r="X779" s="280"/>
      <c r="Y779" s="280"/>
      <c r="Z779" s="280"/>
    </row>
    <row r="780">
      <c r="A780" s="284" t="s">
        <v>871</v>
      </c>
      <c r="B780" s="285" t="s">
        <v>258</v>
      </c>
      <c r="C780" s="286" t="s">
        <v>450</v>
      </c>
      <c r="D780" s="286" t="s">
        <v>456</v>
      </c>
      <c r="E780" s="286">
        <v>0.0</v>
      </c>
      <c r="F780" s="286">
        <v>0.0</v>
      </c>
      <c r="G780" s="280"/>
      <c r="H780" s="280"/>
      <c r="I780" s="280"/>
      <c r="J780" s="280"/>
      <c r="K780" s="280"/>
      <c r="L780" s="280"/>
      <c r="M780" s="280"/>
      <c r="N780" s="280"/>
      <c r="O780" s="280"/>
      <c r="P780" s="280"/>
      <c r="Q780" s="280"/>
      <c r="R780" s="280"/>
      <c r="S780" s="280"/>
      <c r="T780" s="280"/>
      <c r="U780" s="280"/>
      <c r="V780" s="280"/>
      <c r="W780" s="280"/>
      <c r="X780" s="280"/>
      <c r="Y780" s="280"/>
      <c r="Z780" s="280"/>
    </row>
    <row r="781">
      <c r="A781" s="284" t="s">
        <v>872</v>
      </c>
      <c r="B781" s="285" t="s">
        <v>258</v>
      </c>
      <c r="C781" s="286">
        <v>0.0</v>
      </c>
      <c r="D781" s="286" t="s">
        <v>450</v>
      </c>
      <c r="E781" s="286">
        <v>0.0</v>
      </c>
      <c r="F781" s="286">
        <v>0.0</v>
      </c>
      <c r="G781" s="280"/>
      <c r="H781" s="280"/>
      <c r="I781" s="280"/>
      <c r="J781" s="280"/>
      <c r="K781" s="280"/>
      <c r="L781" s="280"/>
      <c r="M781" s="280"/>
      <c r="N781" s="280"/>
      <c r="O781" s="280"/>
      <c r="P781" s="280"/>
      <c r="Q781" s="280"/>
      <c r="R781" s="280"/>
      <c r="S781" s="280"/>
      <c r="T781" s="280"/>
      <c r="U781" s="280"/>
      <c r="V781" s="280"/>
      <c r="W781" s="280"/>
      <c r="X781" s="280"/>
      <c r="Y781" s="280"/>
      <c r="Z781" s="280"/>
    </row>
    <row r="782">
      <c r="A782" s="284" t="s">
        <v>873</v>
      </c>
      <c r="B782" s="285" t="s">
        <v>258</v>
      </c>
      <c r="C782" s="286">
        <v>0.0</v>
      </c>
      <c r="D782" s="286">
        <v>0.0</v>
      </c>
      <c r="E782" s="286">
        <v>0.0</v>
      </c>
      <c r="F782" s="286" t="s">
        <v>450</v>
      </c>
      <c r="G782" s="280"/>
      <c r="H782" s="280"/>
      <c r="I782" s="280"/>
      <c r="J782" s="280"/>
      <c r="K782" s="280"/>
      <c r="L782" s="280"/>
      <c r="M782" s="280"/>
      <c r="N782" s="280"/>
      <c r="O782" s="280"/>
      <c r="P782" s="280"/>
      <c r="Q782" s="280"/>
      <c r="R782" s="280"/>
      <c r="S782" s="280"/>
      <c r="T782" s="280"/>
      <c r="U782" s="280"/>
      <c r="V782" s="280"/>
      <c r="W782" s="280"/>
      <c r="X782" s="280"/>
      <c r="Y782" s="280"/>
      <c r="Z782" s="280"/>
    </row>
    <row r="783">
      <c r="A783" s="284" t="s">
        <v>874</v>
      </c>
      <c r="B783" s="285" t="s">
        <v>875</v>
      </c>
      <c r="C783" s="286">
        <v>0.0</v>
      </c>
      <c r="D783" s="286" t="s">
        <v>461</v>
      </c>
      <c r="E783" s="286">
        <v>0.0</v>
      </c>
      <c r="F783" s="286" t="s">
        <v>450</v>
      </c>
      <c r="G783" s="280"/>
      <c r="H783" s="280"/>
      <c r="I783" s="280"/>
      <c r="J783" s="280"/>
      <c r="K783" s="280"/>
      <c r="L783" s="280"/>
      <c r="M783" s="280"/>
      <c r="N783" s="280"/>
      <c r="O783" s="280"/>
      <c r="P783" s="280"/>
      <c r="Q783" s="280"/>
      <c r="R783" s="280"/>
      <c r="S783" s="280"/>
      <c r="T783" s="280"/>
      <c r="U783" s="280"/>
      <c r="V783" s="280"/>
      <c r="W783" s="280"/>
      <c r="X783" s="280"/>
      <c r="Y783" s="280"/>
      <c r="Z783" s="280"/>
    </row>
    <row r="784">
      <c r="A784" s="284" t="s">
        <v>877</v>
      </c>
      <c r="B784" s="285" t="s">
        <v>877</v>
      </c>
      <c r="C784" s="286">
        <v>0.0</v>
      </c>
      <c r="D784" s="286" t="s">
        <v>450</v>
      </c>
      <c r="E784" s="286">
        <v>0.0</v>
      </c>
      <c r="F784" s="286" t="s">
        <v>450</v>
      </c>
      <c r="G784" s="280"/>
      <c r="H784" s="280"/>
      <c r="I784" s="280"/>
      <c r="J784" s="280"/>
      <c r="K784" s="280"/>
      <c r="L784" s="280"/>
      <c r="M784" s="280"/>
      <c r="N784" s="280"/>
      <c r="O784" s="280"/>
      <c r="P784" s="280"/>
      <c r="Q784" s="280"/>
      <c r="R784" s="280"/>
      <c r="S784" s="280"/>
      <c r="T784" s="280"/>
      <c r="U784" s="280"/>
      <c r="V784" s="280"/>
      <c r="W784" s="280"/>
      <c r="X784" s="280"/>
      <c r="Y784" s="280"/>
      <c r="Z784" s="280"/>
    </row>
    <row r="785">
      <c r="A785" s="284" t="s">
        <v>878</v>
      </c>
      <c r="B785" s="285" t="s">
        <v>878</v>
      </c>
      <c r="C785" s="286">
        <v>0.0</v>
      </c>
      <c r="D785" s="286" t="s">
        <v>454</v>
      </c>
      <c r="E785" s="286">
        <v>0.0</v>
      </c>
      <c r="F785" s="286">
        <v>0.0</v>
      </c>
      <c r="G785" s="280"/>
      <c r="H785" s="280"/>
      <c r="I785" s="280"/>
      <c r="J785" s="280"/>
      <c r="K785" s="280"/>
      <c r="L785" s="280"/>
      <c r="M785" s="280"/>
      <c r="N785" s="280"/>
      <c r="O785" s="280"/>
      <c r="P785" s="280"/>
      <c r="Q785" s="280"/>
      <c r="R785" s="280"/>
      <c r="S785" s="280"/>
      <c r="T785" s="280"/>
      <c r="U785" s="280"/>
      <c r="V785" s="280"/>
      <c r="W785" s="280"/>
      <c r="X785" s="280"/>
      <c r="Y785" s="280"/>
      <c r="Z785" s="280"/>
    </row>
    <row r="786">
      <c r="A786" s="284" t="s">
        <v>879</v>
      </c>
      <c r="B786" s="285" t="s">
        <v>259</v>
      </c>
      <c r="C786" s="286">
        <v>0.0</v>
      </c>
      <c r="D786" s="286" t="s">
        <v>461</v>
      </c>
      <c r="E786" s="286">
        <v>0.0</v>
      </c>
      <c r="F786" s="286">
        <v>0.0</v>
      </c>
      <c r="G786" s="280"/>
      <c r="H786" s="280"/>
      <c r="I786" s="280"/>
      <c r="J786" s="280"/>
      <c r="K786" s="280"/>
      <c r="L786" s="280"/>
      <c r="M786" s="280"/>
      <c r="N786" s="280"/>
      <c r="O786" s="280"/>
      <c r="P786" s="280"/>
      <c r="Q786" s="280"/>
      <c r="R786" s="280"/>
      <c r="S786" s="280"/>
      <c r="T786" s="280"/>
      <c r="U786" s="280"/>
      <c r="V786" s="280"/>
      <c r="W786" s="280"/>
      <c r="X786" s="280"/>
      <c r="Y786" s="280"/>
      <c r="Z786" s="280"/>
    </row>
    <row r="787">
      <c r="A787" s="284" t="s">
        <v>880</v>
      </c>
      <c r="B787" s="285" t="s">
        <v>259</v>
      </c>
      <c r="C787" s="286">
        <v>0.0</v>
      </c>
      <c r="D787" s="286" t="s">
        <v>450</v>
      </c>
      <c r="E787" s="286">
        <v>0.0</v>
      </c>
      <c r="F787" s="286">
        <v>0.0</v>
      </c>
      <c r="G787" s="280"/>
      <c r="H787" s="280"/>
      <c r="I787" s="280"/>
      <c r="J787" s="280"/>
      <c r="K787" s="280"/>
      <c r="L787" s="280"/>
      <c r="M787" s="280"/>
      <c r="N787" s="280"/>
      <c r="O787" s="280"/>
      <c r="P787" s="280"/>
      <c r="Q787" s="280"/>
      <c r="R787" s="280"/>
      <c r="S787" s="280"/>
      <c r="T787" s="280"/>
      <c r="U787" s="280"/>
      <c r="V787" s="280"/>
      <c r="W787" s="280"/>
      <c r="X787" s="280"/>
      <c r="Y787" s="280"/>
      <c r="Z787" s="280"/>
    </row>
    <row r="788">
      <c r="A788" s="284" t="s">
        <v>881</v>
      </c>
      <c r="B788" s="285" t="s">
        <v>259</v>
      </c>
      <c r="C788" s="286" t="s">
        <v>450</v>
      </c>
      <c r="D788" s="286" t="s">
        <v>454</v>
      </c>
      <c r="E788" s="286">
        <v>0.0</v>
      </c>
      <c r="F788" s="286">
        <v>0.0</v>
      </c>
      <c r="G788" s="280"/>
      <c r="H788" s="280"/>
      <c r="I788" s="280"/>
      <c r="J788" s="280"/>
      <c r="K788" s="280"/>
      <c r="L788" s="280"/>
      <c r="M788" s="280"/>
      <c r="N788" s="280"/>
      <c r="O788" s="280"/>
      <c r="P788" s="280"/>
      <c r="Q788" s="280"/>
      <c r="R788" s="280"/>
      <c r="S788" s="280"/>
      <c r="T788" s="280"/>
      <c r="U788" s="280"/>
      <c r="V788" s="280"/>
      <c r="W788" s="280"/>
      <c r="X788" s="280"/>
      <c r="Y788" s="280"/>
      <c r="Z788" s="280"/>
    </row>
    <row r="789">
      <c r="A789" s="284" t="s">
        <v>882</v>
      </c>
      <c r="B789" s="285" t="s">
        <v>259</v>
      </c>
      <c r="C789" s="286">
        <v>0.0</v>
      </c>
      <c r="D789" s="286" t="s">
        <v>461</v>
      </c>
      <c r="E789" s="286">
        <v>0.0</v>
      </c>
      <c r="F789" s="286">
        <v>0.0</v>
      </c>
      <c r="G789" s="280"/>
      <c r="H789" s="280"/>
      <c r="I789" s="280"/>
      <c r="J789" s="280"/>
      <c r="K789" s="280"/>
      <c r="L789" s="280"/>
      <c r="M789" s="280"/>
      <c r="N789" s="280"/>
      <c r="O789" s="280"/>
      <c r="P789" s="280"/>
      <c r="Q789" s="280"/>
      <c r="R789" s="280"/>
      <c r="S789" s="280"/>
      <c r="T789" s="280"/>
      <c r="U789" s="280"/>
      <c r="V789" s="280"/>
      <c r="W789" s="280"/>
      <c r="X789" s="280"/>
      <c r="Y789" s="280"/>
      <c r="Z789" s="280"/>
    </row>
    <row r="790">
      <c r="A790" s="284" t="s">
        <v>883</v>
      </c>
      <c r="B790" s="285" t="s">
        <v>259</v>
      </c>
      <c r="C790" s="286">
        <v>0.0</v>
      </c>
      <c r="D790" s="286">
        <v>0.0</v>
      </c>
      <c r="E790" s="286">
        <v>0.0</v>
      </c>
      <c r="F790" s="286" t="s">
        <v>450</v>
      </c>
      <c r="G790" s="280"/>
      <c r="H790" s="280"/>
      <c r="I790" s="280"/>
      <c r="J790" s="280"/>
      <c r="K790" s="280"/>
      <c r="L790" s="280"/>
      <c r="M790" s="280"/>
      <c r="N790" s="280"/>
      <c r="O790" s="280"/>
      <c r="P790" s="280"/>
      <c r="Q790" s="280"/>
      <c r="R790" s="280"/>
      <c r="S790" s="280"/>
      <c r="T790" s="280"/>
      <c r="U790" s="280"/>
      <c r="V790" s="280"/>
      <c r="W790" s="280"/>
      <c r="X790" s="280"/>
      <c r="Y790" s="280"/>
      <c r="Z790" s="280"/>
    </row>
    <row r="791">
      <c r="A791" s="284" t="s">
        <v>884</v>
      </c>
      <c r="B791" s="285" t="s">
        <v>884</v>
      </c>
      <c r="C791" s="286">
        <v>0.0</v>
      </c>
      <c r="D791" s="286" t="s">
        <v>516</v>
      </c>
      <c r="E791" s="286">
        <v>0.0</v>
      </c>
      <c r="F791" s="286" t="s">
        <v>450</v>
      </c>
      <c r="G791" s="280"/>
      <c r="H791" s="280"/>
      <c r="I791" s="280"/>
      <c r="J791" s="280"/>
      <c r="K791" s="280"/>
      <c r="L791" s="280"/>
      <c r="M791" s="280"/>
      <c r="N791" s="280"/>
      <c r="O791" s="280"/>
      <c r="P791" s="280"/>
      <c r="Q791" s="280"/>
      <c r="R791" s="280"/>
      <c r="S791" s="280"/>
      <c r="T791" s="280"/>
      <c r="U791" s="280"/>
      <c r="V791" s="280"/>
      <c r="W791" s="280"/>
      <c r="X791" s="280"/>
      <c r="Y791" s="280"/>
      <c r="Z791" s="280"/>
    </row>
    <row r="792">
      <c r="A792" s="284" t="s">
        <v>885</v>
      </c>
      <c r="B792" s="285" t="s">
        <v>886</v>
      </c>
      <c r="C792" s="286">
        <v>0.0</v>
      </c>
      <c r="D792" s="286" t="s">
        <v>461</v>
      </c>
      <c r="E792" s="286">
        <v>0.0</v>
      </c>
      <c r="F792" s="286">
        <v>0.0</v>
      </c>
      <c r="G792" s="280"/>
      <c r="H792" s="280"/>
      <c r="I792" s="280"/>
      <c r="J792" s="280"/>
      <c r="K792" s="280"/>
      <c r="L792" s="280"/>
      <c r="M792" s="280"/>
      <c r="N792" s="280"/>
      <c r="O792" s="280"/>
      <c r="P792" s="280"/>
      <c r="Q792" s="280"/>
      <c r="R792" s="280"/>
      <c r="S792" s="280"/>
      <c r="T792" s="280"/>
      <c r="U792" s="280"/>
      <c r="V792" s="280"/>
      <c r="W792" s="280"/>
      <c r="X792" s="280"/>
      <c r="Y792" s="280"/>
      <c r="Z792" s="280"/>
    </row>
    <row r="793">
      <c r="A793" s="284" t="s">
        <v>887</v>
      </c>
      <c r="B793" s="285" t="s">
        <v>888</v>
      </c>
      <c r="C793" s="286">
        <v>0.0</v>
      </c>
      <c r="D793" s="286" t="s">
        <v>516</v>
      </c>
      <c r="E793" s="286">
        <v>0.0</v>
      </c>
      <c r="F793" s="286" t="s">
        <v>450</v>
      </c>
      <c r="G793" s="280"/>
      <c r="H793" s="280"/>
      <c r="I793" s="280"/>
      <c r="J793" s="280"/>
      <c r="K793" s="280"/>
      <c r="L793" s="280"/>
      <c r="M793" s="280"/>
      <c r="N793" s="280"/>
      <c r="O793" s="280"/>
      <c r="P793" s="280"/>
      <c r="Q793" s="280"/>
      <c r="R793" s="280"/>
      <c r="S793" s="280"/>
      <c r="T793" s="280"/>
      <c r="U793" s="280"/>
      <c r="V793" s="280"/>
      <c r="W793" s="280"/>
      <c r="X793" s="280"/>
      <c r="Y793" s="280"/>
      <c r="Z793" s="280"/>
    </row>
    <row r="794">
      <c r="A794" s="284" t="s">
        <v>889</v>
      </c>
      <c r="B794" s="285" t="s">
        <v>261</v>
      </c>
      <c r="C794" s="286">
        <v>0.0</v>
      </c>
      <c r="D794" s="286" t="s">
        <v>461</v>
      </c>
      <c r="E794" s="286">
        <v>0.0</v>
      </c>
      <c r="F794" s="286" t="s">
        <v>450</v>
      </c>
      <c r="G794" s="280"/>
      <c r="H794" s="280"/>
      <c r="I794" s="280"/>
      <c r="J794" s="280"/>
      <c r="K794" s="280"/>
      <c r="L794" s="280"/>
      <c r="M794" s="280"/>
      <c r="N794" s="280"/>
      <c r="O794" s="280"/>
      <c r="P794" s="280"/>
      <c r="Q794" s="280"/>
      <c r="R794" s="280"/>
      <c r="S794" s="280"/>
      <c r="T794" s="280"/>
      <c r="U794" s="280"/>
      <c r="V794" s="280"/>
      <c r="W794" s="280"/>
      <c r="X794" s="280"/>
      <c r="Y794" s="280"/>
      <c r="Z794" s="280"/>
    </row>
    <row r="795">
      <c r="A795" s="284" t="s">
        <v>890</v>
      </c>
      <c r="B795" s="285" t="s">
        <v>261</v>
      </c>
      <c r="C795" s="286">
        <v>0.0</v>
      </c>
      <c r="D795" s="286" t="s">
        <v>450</v>
      </c>
      <c r="E795" s="286">
        <v>0.0</v>
      </c>
      <c r="F795" s="286">
        <v>0.0</v>
      </c>
      <c r="G795" s="280"/>
      <c r="H795" s="280"/>
      <c r="I795" s="280"/>
      <c r="J795" s="280"/>
      <c r="K795" s="280"/>
      <c r="L795" s="280"/>
      <c r="M795" s="280"/>
      <c r="N795" s="280"/>
      <c r="O795" s="280"/>
      <c r="P795" s="280"/>
      <c r="Q795" s="280"/>
      <c r="R795" s="280"/>
      <c r="S795" s="280"/>
      <c r="T795" s="280"/>
      <c r="U795" s="280"/>
      <c r="V795" s="280"/>
      <c r="W795" s="280"/>
      <c r="X795" s="280"/>
      <c r="Y795" s="280"/>
      <c r="Z795" s="280"/>
    </row>
    <row r="796">
      <c r="A796" s="284" t="s">
        <v>891</v>
      </c>
      <c r="B796" s="285" t="s">
        <v>261</v>
      </c>
      <c r="C796" s="286">
        <v>0.0</v>
      </c>
      <c r="D796" s="286" t="s">
        <v>450</v>
      </c>
      <c r="E796" s="286">
        <v>0.0</v>
      </c>
      <c r="F796" s="286">
        <v>0.0</v>
      </c>
      <c r="G796" s="280"/>
      <c r="H796" s="280"/>
      <c r="I796" s="280"/>
      <c r="J796" s="280"/>
      <c r="K796" s="280"/>
      <c r="L796" s="280"/>
      <c r="M796" s="280"/>
      <c r="N796" s="280"/>
      <c r="O796" s="280"/>
      <c r="P796" s="280"/>
      <c r="Q796" s="280"/>
      <c r="R796" s="280"/>
      <c r="S796" s="280"/>
      <c r="T796" s="280"/>
      <c r="U796" s="280"/>
      <c r="V796" s="280"/>
      <c r="W796" s="280"/>
      <c r="X796" s="280"/>
      <c r="Y796" s="280"/>
      <c r="Z796" s="280"/>
    </row>
    <row r="797">
      <c r="A797" s="284" t="s">
        <v>892</v>
      </c>
      <c r="B797" s="285" t="s">
        <v>261</v>
      </c>
      <c r="C797" s="286">
        <v>0.0</v>
      </c>
      <c r="D797" s="286" t="s">
        <v>461</v>
      </c>
      <c r="E797" s="286">
        <v>0.0</v>
      </c>
      <c r="F797" s="286" t="s">
        <v>450</v>
      </c>
      <c r="G797" s="280"/>
      <c r="H797" s="280"/>
      <c r="I797" s="280"/>
      <c r="J797" s="280"/>
      <c r="K797" s="280"/>
      <c r="L797" s="280"/>
      <c r="M797" s="280"/>
      <c r="N797" s="280"/>
      <c r="O797" s="280"/>
      <c r="P797" s="280"/>
      <c r="Q797" s="280"/>
      <c r="R797" s="280"/>
      <c r="S797" s="280"/>
      <c r="T797" s="280"/>
      <c r="U797" s="280"/>
      <c r="V797" s="280"/>
      <c r="W797" s="280"/>
      <c r="X797" s="280"/>
      <c r="Y797" s="280"/>
      <c r="Z797" s="280"/>
    </row>
    <row r="798">
      <c r="A798" s="284" t="s">
        <v>893</v>
      </c>
      <c r="B798" s="285" t="s">
        <v>261</v>
      </c>
      <c r="C798" s="286">
        <v>0.0</v>
      </c>
      <c r="D798" s="286" t="s">
        <v>461</v>
      </c>
      <c r="E798" s="286">
        <v>0.0</v>
      </c>
      <c r="F798" s="286">
        <v>0.0</v>
      </c>
      <c r="G798" s="280"/>
      <c r="H798" s="280"/>
      <c r="I798" s="280"/>
      <c r="J798" s="280"/>
      <c r="K798" s="280"/>
      <c r="L798" s="280"/>
      <c r="M798" s="280"/>
      <c r="N798" s="280"/>
      <c r="O798" s="280"/>
      <c r="P798" s="280"/>
      <c r="Q798" s="280"/>
      <c r="R798" s="280"/>
      <c r="S798" s="280"/>
      <c r="T798" s="280"/>
      <c r="U798" s="280"/>
      <c r="V798" s="280"/>
      <c r="W798" s="280"/>
      <c r="X798" s="280"/>
      <c r="Y798" s="280"/>
      <c r="Z798" s="280"/>
    </row>
    <row r="799">
      <c r="A799" s="284" t="s">
        <v>894</v>
      </c>
      <c r="B799" s="285" t="s">
        <v>261</v>
      </c>
      <c r="C799" s="286">
        <v>0.0</v>
      </c>
      <c r="D799" s="286" t="s">
        <v>461</v>
      </c>
      <c r="E799" s="286">
        <v>0.0</v>
      </c>
      <c r="F799" s="286">
        <v>0.0</v>
      </c>
      <c r="G799" s="280"/>
      <c r="H799" s="280"/>
      <c r="I799" s="280"/>
      <c r="J799" s="280"/>
      <c r="K799" s="280"/>
      <c r="L799" s="280"/>
      <c r="M799" s="280"/>
      <c r="N799" s="280"/>
      <c r="O799" s="280"/>
      <c r="P799" s="280"/>
      <c r="Q799" s="280"/>
      <c r="R799" s="280"/>
      <c r="S799" s="280"/>
      <c r="T799" s="280"/>
      <c r="U799" s="280"/>
      <c r="V799" s="280"/>
      <c r="W799" s="280"/>
      <c r="X799" s="280"/>
      <c r="Y799" s="280"/>
      <c r="Z799" s="280"/>
    </row>
    <row r="800">
      <c r="A800" s="284" t="s">
        <v>895</v>
      </c>
      <c r="B800" s="285" t="s">
        <v>261</v>
      </c>
      <c r="C800" s="286">
        <v>0.0</v>
      </c>
      <c r="D800" s="286" t="s">
        <v>461</v>
      </c>
      <c r="E800" s="286">
        <v>0.0</v>
      </c>
      <c r="F800" s="286" t="s">
        <v>450</v>
      </c>
      <c r="G800" s="280"/>
      <c r="H800" s="280"/>
      <c r="I800" s="280"/>
      <c r="J800" s="280"/>
      <c r="K800" s="280"/>
      <c r="L800" s="280"/>
      <c r="M800" s="280"/>
      <c r="N800" s="280"/>
      <c r="O800" s="280"/>
      <c r="P800" s="280"/>
      <c r="Q800" s="280"/>
      <c r="R800" s="280"/>
      <c r="S800" s="280"/>
      <c r="T800" s="280"/>
      <c r="U800" s="280"/>
      <c r="V800" s="280"/>
      <c r="W800" s="280"/>
      <c r="X800" s="280"/>
      <c r="Y800" s="280"/>
      <c r="Z800" s="280"/>
    </row>
    <row r="801">
      <c r="A801" s="284" t="s">
        <v>896</v>
      </c>
      <c r="B801" s="285" t="s">
        <v>261</v>
      </c>
      <c r="C801" s="286">
        <v>0.0</v>
      </c>
      <c r="D801" s="286" t="s">
        <v>461</v>
      </c>
      <c r="E801" s="286">
        <v>0.0</v>
      </c>
      <c r="F801" s="286" t="s">
        <v>450</v>
      </c>
      <c r="G801" s="280"/>
      <c r="H801" s="280"/>
      <c r="I801" s="280"/>
      <c r="J801" s="280"/>
      <c r="K801" s="280"/>
      <c r="L801" s="280"/>
      <c r="M801" s="280"/>
      <c r="N801" s="280"/>
      <c r="O801" s="280"/>
      <c r="P801" s="280"/>
      <c r="Q801" s="280"/>
      <c r="R801" s="280"/>
      <c r="S801" s="280"/>
      <c r="T801" s="280"/>
      <c r="U801" s="280"/>
      <c r="V801" s="280"/>
      <c r="W801" s="280"/>
      <c r="X801" s="280"/>
      <c r="Y801" s="280"/>
      <c r="Z801" s="280"/>
    </row>
    <row r="802">
      <c r="A802" s="284" t="s">
        <v>897</v>
      </c>
      <c r="B802" s="285" t="s">
        <v>261</v>
      </c>
      <c r="C802" s="286">
        <v>0.0</v>
      </c>
      <c r="D802" s="286" t="s">
        <v>450</v>
      </c>
      <c r="E802" s="286">
        <v>0.0</v>
      </c>
      <c r="F802" s="286" t="s">
        <v>450</v>
      </c>
      <c r="G802" s="280"/>
      <c r="H802" s="280"/>
      <c r="I802" s="280"/>
      <c r="J802" s="280"/>
      <c r="K802" s="280"/>
      <c r="L802" s="280"/>
      <c r="M802" s="280"/>
      <c r="N802" s="280"/>
      <c r="O802" s="280"/>
      <c r="P802" s="280"/>
      <c r="Q802" s="280"/>
      <c r="R802" s="280"/>
      <c r="S802" s="280"/>
      <c r="T802" s="280"/>
      <c r="U802" s="280"/>
      <c r="V802" s="280"/>
      <c r="W802" s="280"/>
      <c r="X802" s="280"/>
      <c r="Y802" s="280"/>
      <c r="Z802" s="280"/>
    </row>
    <row r="803">
      <c r="A803" s="284" t="s">
        <v>898</v>
      </c>
      <c r="B803" s="285" t="s">
        <v>261</v>
      </c>
      <c r="C803" s="286">
        <v>0.0</v>
      </c>
      <c r="D803" s="286" t="s">
        <v>461</v>
      </c>
      <c r="E803" s="286">
        <v>0.0</v>
      </c>
      <c r="F803" s="286" t="s">
        <v>450</v>
      </c>
      <c r="G803" s="280"/>
      <c r="H803" s="280"/>
      <c r="I803" s="280"/>
      <c r="J803" s="280"/>
      <c r="K803" s="280"/>
      <c r="L803" s="280"/>
      <c r="M803" s="280"/>
      <c r="N803" s="280"/>
      <c r="O803" s="280"/>
      <c r="P803" s="280"/>
      <c r="Q803" s="280"/>
      <c r="R803" s="280"/>
      <c r="S803" s="280"/>
      <c r="T803" s="280"/>
      <c r="U803" s="280"/>
      <c r="V803" s="280"/>
      <c r="W803" s="280"/>
      <c r="X803" s="280"/>
      <c r="Y803" s="280"/>
      <c r="Z803" s="280"/>
    </row>
    <row r="804">
      <c r="A804" s="284" t="s">
        <v>899</v>
      </c>
      <c r="B804" s="285" t="s">
        <v>261</v>
      </c>
      <c r="C804" s="286" t="s">
        <v>450</v>
      </c>
      <c r="D804" s="286" t="s">
        <v>450</v>
      </c>
      <c r="E804" s="286">
        <v>0.0</v>
      </c>
      <c r="F804" s="286" t="s">
        <v>450</v>
      </c>
      <c r="G804" s="280"/>
      <c r="H804" s="280"/>
      <c r="I804" s="280"/>
      <c r="J804" s="280"/>
      <c r="K804" s="280"/>
      <c r="L804" s="280"/>
      <c r="M804" s="280"/>
      <c r="N804" s="280"/>
      <c r="O804" s="280"/>
      <c r="P804" s="280"/>
      <c r="Q804" s="280"/>
      <c r="R804" s="280"/>
      <c r="S804" s="280"/>
      <c r="T804" s="280"/>
      <c r="U804" s="280"/>
      <c r="V804" s="280"/>
      <c r="W804" s="280"/>
      <c r="X804" s="280"/>
      <c r="Y804" s="280"/>
      <c r="Z804" s="280"/>
    </row>
    <row r="805">
      <c r="A805" s="284" t="s">
        <v>900</v>
      </c>
      <c r="B805" s="285" t="s">
        <v>261</v>
      </c>
      <c r="C805" s="286" t="s">
        <v>450</v>
      </c>
      <c r="D805" s="286" t="s">
        <v>502</v>
      </c>
      <c r="E805" s="286">
        <v>0.0</v>
      </c>
      <c r="F805" s="286" t="s">
        <v>450</v>
      </c>
      <c r="G805" s="280"/>
      <c r="H805" s="280"/>
      <c r="I805" s="280"/>
      <c r="J805" s="280"/>
      <c r="K805" s="280"/>
      <c r="L805" s="280"/>
      <c r="M805" s="280"/>
      <c r="N805" s="280"/>
      <c r="O805" s="280"/>
      <c r="P805" s="280"/>
      <c r="Q805" s="280"/>
      <c r="R805" s="280"/>
      <c r="S805" s="280"/>
      <c r="T805" s="280"/>
      <c r="U805" s="280"/>
      <c r="V805" s="280"/>
      <c r="W805" s="280"/>
      <c r="X805" s="280"/>
      <c r="Y805" s="280"/>
      <c r="Z805" s="280"/>
    </row>
    <row r="806">
      <c r="A806" s="284" t="s">
        <v>901</v>
      </c>
      <c r="B806" s="285" t="s">
        <v>261</v>
      </c>
      <c r="C806" s="286">
        <v>0.0</v>
      </c>
      <c r="D806" s="286" t="s">
        <v>461</v>
      </c>
      <c r="E806" s="286">
        <v>0.0</v>
      </c>
      <c r="F806" s="286" t="s">
        <v>450</v>
      </c>
      <c r="G806" s="280"/>
      <c r="H806" s="280"/>
      <c r="I806" s="280"/>
      <c r="J806" s="280"/>
      <c r="K806" s="280"/>
      <c r="L806" s="280"/>
      <c r="M806" s="280"/>
      <c r="N806" s="280"/>
      <c r="O806" s="280"/>
      <c r="P806" s="280"/>
      <c r="Q806" s="280"/>
      <c r="R806" s="280"/>
      <c r="S806" s="280"/>
      <c r="T806" s="280"/>
      <c r="U806" s="280"/>
      <c r="V806" s="280"/>
      <c r="W806" s="280"/>
      <c r="X806" s="280"/>
      <c r="Y806" s="280"/>
      <c r="Z806" s="280"/>
    </row>
    <row r="807">
      <c r="A807" s="284" t="s">
        <v>902</v>
      </c>
      <c r="B807" s="285" t="s">
        <v>261</v>
      </c>
      <c r="C807" s="286">
        <v>0.0</v>
      </c>
      <c r="D807" s="286" t="s">
        <v>674</v>
      </c>
      <c r="E807" s="286">
        <v>0.0</v>
      </c>
      <c r="F807" s="286" t="s">
        <v>450</v>
      </c>
      <c r="G807" s="280"/>
      <c r="H807" s="280"/>
      <c r="I807" s="280"/>
      <c r="J807" s="280"/>
      <c r="K807" s="280"/>
      <c r="L807" s="280"/>
      <c r="M807" s="280"/>
      <c r="N807" s="280"/>
      <c r="O807" s="280"/>
      <c r="P807" s="280"/>
      <c r="Q807" s="280"/>
      <c r="R807" s="280"/>
      <c r="S807" s="280"/>
      <c r="T807" s="280"/>
      <c r="U807" s="280"/>
      <c r="V807" s="280"/>
      <c r="W807" s="280"/>
      <c r="X807" s="280"/>
      <c r="Y807" s="280"/>
      <c r="Z807" s="280"/>
    </row>
    <row r="808">
      <c r="A808" s="284" t="s">
        <v>903</v>
      </c>
      <c r="B808" s="285" t="s">
        <v>261</v>
      </c>
      <c r="C808" s="286">
        <v>0.0</v>
      </c>
      <c r="D808" s="286">
        <v>0.0</v>
      </c>
      <c r="E808" s="286">
        <v>0.0</v>
      </c>
      <c r="F808" s="286" t="s">
        <v>450</v>
      </c>
      <c r="G808" s="280"/>
      <c r="H808" s="280"/>
      <c r="I808" s="280"/>
      <c r="J808" s="280"/>
      <c r="K808" s="280"/>
      <c r="L808" s="280"/>
      <c r="M808" s="280"/>
      <c r="N808" s="280"/>
      <c r="O808" s="280"/>
      <c r="P808" s="280"/>
      <c r="Q808" s="280"/>
      <c r="R808" s="280"/>
      <c r="S808" s="280"/>
      <c r="T808" s="280"/>
      <c r="U808" s="280"/>
      <c r="V808" s="280"/>
      <c r="W808" s="280"/>
      <c r="X808" s="280"/>
      <c r="Y808" s="280"/>
      <c r="Z808" s="280"/>
    </row>
    <row r="809">
      <c r="A809" s="284" t="s">
        <v>904</v>
      </c>
      <c r="B809" s="285" t="s">
        <v>261</v>
      </c>
      <c r="C809" s="286">
        <v>0.0</v>
      </c>
      <c r="D809" s="286" t="s">
        <v>450</v>
      </c>
      <c r="E809" s="286">
        <v>0.0</v>
      </c>
      <c r="F809" s="286">
        <v>0.0</v>
      </c>
      <c r="G809" s="280"/>
      <c r="H809" s="280"/>
      <c r="I809" s="280"/>
      <c r="J809" s="280"/>
      <c r="K809" s="280"/>
      <c r="L809" s="280"/>
      <c r="M809" s="280"/>
      <c r="N809" s="280"/>
      <c r="O809" s="280"/>
      <c r="P809" s="280"/>
      <c r="Q809" s="280"/>
      <c r="R809" s="280"/>
      <c r="S809" s="280"/>
      <c r="T809" s="280"/>
      <c r="U809" s="280"/>
      <c r="V809" s="280"/>
      <c r="W809" s="280"/>
      <c r="X809" s="280"/>
      <c r="Y809" s="280"/>
      <c r="Z809" s="280"/>
    </row>
    <row r="810">
      <c r="A810" s="284" t="s">
        <v>905</v>
      </c>
      <c r="B810" s="285" t="s">
        <v>261</v>
      </c>
      <c r="C810" s="286">
        <v>0.0</v>
      </c>
      <c r="D810" s="286" t="s">
        <v>461</v>
      </c>
      <c r="E810" s="286">
        <v>0.0</v>
      </c>
      <c r="F810" s="286">
        <v>0.0</v>
      </c>
      <c r="G810" s="280"/>
      <c r="H810" s="280"/>
      <c r="I810" s="280"/>
      <c r="J810" s="280"/>
      <c r="K810" s="280"/>
      <c r="L810" s="280"/>
      <c r="M810" s="280"/>
      <c r="N810" s="280"/>
      <c r="O810" s="280"/>
      <c r="P810" s="280"/>
      <c r="Q810" s="280"/>
      <c r="R810" s="280"/>
      <c r="S810" s="280"/>
      <c r="T810" s="280"/>
      <c r="U810" s="280"/>
      <c r="V810" s="280"/>
      <c r="W810" s="280"/>
      <c r="X810" s="280"/>
      <c r="Y810" s="280"/>
      <c r="Z810" s="280"/>
    </row>
    <row r="811">
      <c r="A811" s="284" t="s">
        <v>906</v>
      </c>
      <c r="B811" s="285" t="s">
        <v>261</v>
      </c>
      <c r="C811" s="286">
        <v>0.0</v>
      </c>
      <c r="D811" s="286" t="s">
        <v>458</v>
      </c>
      <c r="E811" s="286">
        <v>0.0</v>
      </c>
      <c r="F811" s="286" t="s">
        <v>450</v>
      </c>
      <c r="G811" s="280"/>
      <c r="H811" s="280"/>
      <c r="I811" s="280"/>
      <c r="J811" s="280"/>
      <c r="K811" s="280"/>
      <c r="L811" s="280"/>
      <c r="M811" s="280"/>
      <c r="N811" s="280"/>
      <c r="O811" s="280"/>
      <c r="P811" s="280"/>
      <c r="Q811" s="280"/>
      <c r="R811" s="280"/>
      <c r="S811" s="280"/>
      <c r="T811" s="280"/>
      <c r="U811" s="280"/>
      <c r="V811" s="280"/>
      <c r="W811" s="280"/>
      <c r="X811" s="280"/>
      <c r="Y811" s="280"/>
      <c r="Z811" s="280"/>
    </row>
    <row r="812">
      <c r="A812" s="284" t="s">
        <v>908</v>
      </c>
      <c r="B812" s="285" t="s">
        <v>261</v>
      </c>
      <c r="C812" s="286" t="s">
        <v>450</v>
      </c>
      <c r="D812" s="286" t="s">
        <v>482</v>
      </c>
      <c r="E812" s="286">
        <v>0.0</v>
      </c>
      <c r="F812" s="286" t="s">
        <v>450</v>
      </c>
      <c r="G812" s="280"/>
      <c r="H812" s="280"/>
      <c r="I812" s="280"/>
      <c r="J812" s="280"/>
      <c r="K812" s="280"/>
      <c r="L812" s="280"/>
      <c r="M812" s="280"/>
      <c r="N812" s="280"/>
      <c r="O812" s="280"/>
      <c r="P812" s="280"/>
      <c r="Q812" s="280"/>
      <c r="R812" s="280"/>
      <c r="S812" s="280"/>
      <c r="T812" s="280"/>
      <c r="U812" s="280"/>
      <c r="V812" s="280"/>
      <c r="W812" s="280"/>
      <c r="X812" s="280"/>
      <c r="Y812" s="280"/>
      <c r="Z812" s="280"/>
    </row>
    <row r="813">
      <c r="A813" s="284" t="s">
        <v>909</v>
      </c>
      <c r="B813" s="285" t="s">
        <v>909</v>
      </c>
      <c r="C813" s="286">
        <v>0.0</v>
      </c>
      <c r="D813" s="286" t="s">
        <v>450</v>
      </c>
      <c r="E813" s="286">
        <v>0.0</v>
      </c>
      <c r="F813" s="286">
        <v>0.0</v>
      </c>
      <c r="G813" s="280"/>
      <c r="H813" s="280"/>
      <c r="I813" s="280"/>
      <c r="J813" s="280"/>
      <c r="K813" s="280"/>
      <c r="L813" s="280"/>
      <c r="M813" s="280"/>
      <c r="N813" s="280"/>
      <c r="O813" s="280"/>
      <c r="P813" s="280"/>
      <c r="Q813" s="280"/>
      <c r="R813" s="280"/>
      <c r="S813" s="280"/>
      <c r="T813" s="280"/>
      <c r="U813" s="280"/>
      <c r="V813" s="280"/>
      <c r="W813" s="280"/>
      <c r="X813" s="280"/>
      <c r="Y813" s="280"/>
      <c r="Z813" s="280"/>
    </row>
    <row r="814">
      <c r="A814" s="284" t="s">
        <v>910</v>
      </c>
      <c r="B814" s="285" t="s">
        <v>263</v>
      </c>
      <c r="C814" s="286">
        <v>0.0</v>
      </c>
      <c r="D814" s="286" t="s">
        <v>454</v>
      </c>
      <c r="E814" s="286">
        <v>0.0</v>
      </c>
      <c r="F814" s="286">
        <v>0.0</v>
      </c>
      <c r="G814" s="280"/>
      <c r="H814" s="280"/>
      <c r="I814" s="280"/>
      <c r="J814" s="280"/>
      <c r="K814" s="280"/>
      <c r="L814" s="280"/>
      <c r="M814" s="280"/>
      <c r="N814" s="280"/>
      <c r="O814" s="280"/>
      <c r="P814" s="280"/>
      <c r="Q814" s="280"/>
      <c r="R814" s="280"/>
      <c r="S814" s="280"/>
      <c r="T814" s="280"/>
      <c r="U814" s="280"/>
      <c r="V814" s="280"/>
      <c r="W814" s="280"/>
      <c r="X814" s="280"/>
      <c r="Y814" s="280"/>
      <c r="Z814" s="280"/>
    </row>
    <row r="815">
      <c r="A815" s="284" t="s">
        <v>911</v>
      </c>
      <c r="B815" s="285" t="s">
        <v>263</v>
      </c>
      <c r="C815" s="286">
        <v>0.0</v>
      </c>
      <c r="D815" s="286" t="s">
        <v>456</v>
      </c>
      <c r="E815" s="286">
        <v>0.0</v>
      </c>
      <c r="F815" s="286" t="s">
        <v>461</v>
      </c>
      <c r="G815" s="280"/>
      <c r="H815" s="280"/>
      <c r="I815" s="280"/>
      <c r="J815" s="280"/>
      <c r="K815" s="280"/>
      <c r="L815" s="280"/>
      <c r="M815" s="280"/>
      <c r="N815" s="280"/>
      <c r="O815" s="280"/>
      <c r="P815" s="280"/>
      <c r="Q815" s="280"/>
      <c r="R815" s="280"/>
      <c r="S815" s="280"/>
      <c r="T815" s="280"/>
      <c r="U815" s="280"/>
      <c r="V815" s="280"/>
      <c r="W815" s="280"/>
      <c r="X815" s="280"/>
      <c r="Y815" s="280"/>
      <c r="Z815" s="280"/>
    </row>
    <row r="816">
      <c r="A816" s="284" t="s">
        <v>912</v>
      </c>
      <c r="B816" s="285" t="s">
        <v>263</v>
      </c>
      <c r="C816" s="286">
        <v>0.0</v>
      </c>
      <c r="D816" s="286" t="s">
        <v>456</v>
      </c>
      <c r="E816" s="286">
        <v>0.0</v>
      </c>
      <c r="F816" s="286" t="s">
        <v>450</v>
      </c>
      <c r="G816" s="280"/>
      <c r="H816" s="280"/>
      <c r="I816" s="280"/>
      <c r="J816" s="280"/>
      <c r="K816" s="280"/>
      <c r="L816" s="280"/>
      <c r="M816" s="280"/>
      <c r="N816" s="280"/>
      <c r="O816" s="280"/>
      <c r="P816" s="280"/>
      <c r="Q816" s="280"/>
      <c r="R816" s="280"/>
      <c r="S816" s="280"/>
      <c r="T816" s="280"/>
      <c r="U816" s="280"/>
      <c r="V816" s="280"/>
      <c r="W816" s="280"/>
      <c r="X816" s="280"/>
      <c r="Y816" s="280"/>
      <c r="Z816" s="280"/>
    </row>
    <row r="817">
      <c r="A817" s="284" t="s">
        <v>913</v>
      </c>
      <c r="B817" s="285" t="s">
        <v>263</v>
      </c>
      <c r="C817" s="286">
        <v>0.0</v>
      </c>
      <c r="D817" s="286" t="s">
        <v>450</v>
      </c>
      <c r="E817" s="286">
        <v>0.0</v>
      </c>
      <c r="F817" s="286" t="s">
        <v>450</v>
      </c>
      <c r="G817" s="280"/>
      <c r="H817" s="280"/>
      <c r="I817" s="280"/>
      <c r="J817" s="280"/>
      <c r="K817" s="280"/>
      <c r="L817" s="280"/>
      <c r="M817" s="280"/>
      <c r="N817" s="280"/>
      <c r="O817" s="280"/>
      <c r="P817" s="280"/>
      <c r="Q817" s="280"/>
      <c r="R817" s="280"/>
      <c r="S817" s="280"/>
      <c r="T817" s="280"/>
      <c r="U817" s="280"/>
      <c r="V817" s="280"/>
      <c r="W817" s="280"/>
      <c r="X817" s="280"/>
      <c r="Y817" s="280"/>
      <c r="Z817" s="280"/>
    </row>
    <row r="818">
      <c r="A818" s="284" t="s">
        <v>914</v>
      </c>
      <c r="B818" s="285" t="s">
        <v>263</v>
      </c>
      <c r="C818" s="286">
        <v>0.0</v>
      </c>
      <c r="D818" s="286" t="s">
        <v>454</v>
      </c>
      <c r="E818" s="286">
        <v>0.0</v>
      </c>
      <c r="F818" s="286" t="s">
        <v>450</v>
      </c>
      <c r="G818" s="280"/>
      <c r="H818" s="280"/>
      <c r="I818" s="280"/>
      <c r="J818" s="280"/>
      <c r="K818" s="280"/>
      <c r="L818" s="280"/>
      <c r="M818" s="280"/>
      <c r="N818" s="280"/>
      <c r="O818" s="280"/>
      <c r="P818" s="280"/>
      <c r="Q818" s="280"/>
      <c r="R818" s="280"/>
      <c r="S818" s="280"/>
      <c r="T818" s="280"/>
      <c r="U818" s="280"/>
      <c r="V818" s="280"/>
      <c r="W818" s="280"/>
      <c r="X818" s="280"/>
      <c r="Y818" s="280"/>
      <c r="Z818" s="280"/>
    </row>
    <row r="819">
      <c r="A819" s="284" t="s">
        <v>915</v>
      </c>
      <c r="B819" s="285" t="s">
        <v>263</v>
      </c>
      <c r="C819" s="286">
        <v>0.0</v>
      </c>
      <c r="D819" s="286" t="s">
        <v>494</v>
      </c>
      <c r="E819" s="286">
        <v>0.0</v>
      </c>
      <c r="F819" s="286" t="s">
        <v>461</v>
      </c>
      <c r="G819" s="280"/>
      <c r="H819" s="280"/>
      <c r="I819" s="280"/>
      <c r="J819" s="280"/>
      <c r="K819" s="280"/>
      <c r="L819" s="280"/>
      <c r="M819" s="280"/>
      <c r="N819" s="280"/>
      <c r="O819" s="280"/>
      <c r="P819" s="280"/>
      <c r="Q819" s="280"/>
      <c r="R819" s="280"/>
      <c r="S819" s="280"/>
      <c r="T819" s="280"/>
      <c r="U819" s="280"/>
      <c r="V819" s="280"/>
      <c r="W819" s="280"/>
      <c r="X819" s="280"/>
      <c r="Y819" s="280"/>
      <c r="Z819" s="280"/>
    </row>
    <row r="820">
      <c r="A820" s="284" t="s">
        <v>916</v>
      </c>
      <c r="B820" s="285" t="s">
        <v>264</v>
      </c>
      <c r="C820" s="286">
        <v>0.0</v>
      </c>
      <c r="D820" s="286" t="s">
        <v>450</v>
      </c>
      <c r="E820" s="286">
        <v>0.0</v>
      </c>
      <c r="F820" s="286">
        <v>0.0</v>
      </c>
      <c r="G820" s="280"/>
      <c r="H820" s="280"/>
      <c r="I820" s="280"/>
      <c r="J820" s="280"/>
      <c r="K820" s="280"/>
      <c r="L820" s="280"/>
      <c r="M820" s="280"/>
      <c r="N820" s="280"/>
      <c r="O820" s="280"/>
      <c r="P820" s="280"/>
      <c r="Q820" s="280"/>
      <c r="R820" s="280"/>
      <c r="S820" s="280"/>
      <c r="T820" s="280"/>
      <c r="U820" s="280"/>
      <c r="V820" s="280"/>
      <c r="W820" s="280"/>
      <c r="X820" s="280"/>
      <c r="Y820" s="280"/>
      <c r="Z820" s="280"/>
    </row>
    <row r="821">
      <c r="A821" s="284" t="s">
        <v>917</v>
      </c>
      <c r="B821" s="285" t="s">
        <v>264</v>
      </c>
      <c r="C821" s="286">
        <v>0.0</v>
      </c>
      <c r="D821" s="286" t="s">
        <v>450</v>
      </c>
      <c r="E821" s="286">
        <v>0.0</v>
      </c>
      <c r="F821" s="286">
        <v>0.0</v>
      </c>
      <c r="G821" s="280"/>
      <c r="H821" s="280"/>
      <c r="I821" s="280"/>
      <c r="J821" s="280"/>
      <c r="K821" s="280"/>
      <c r="L821" s="280"/>
      <c r="M821" s="280"/>
      <c r="N821" s="280"/>
      <c r="O821" s="280"/>
      <c r="P821" s="280"/>
      <c r="Q821" s="280"/>
      <c r="R821" s="280"/>
      <c r="S821" s="280"/>
      <c r="T821" s="280"/>
      <c r="U821" s="280"/>
      <c r="V821" s="280"/>
      <c r="W821" s="280"/>
      <c r="X821" s="280"/>
      <c r="Y821" s="280"/>
      <c r="Z821" s="280"/>
    </row>
    <row r="822">
      <c r="A822" s="284" t="s">
        <v>918</v>
      </c>
      <c r="B822" s="285" t="s">
        <v>264</v>
      </c>
      <c r="C822" s="286">
        <v>0.0</v>
      </c>
      <c r="D822" s="286" t="s">
        <v>450</v>
      </c>
      <c r="E822" s="286">
        <v>0.0</v>
      </c>
      <c r="F822" s="286">
        <v>0.0</v>
      </c>
      <c r="G822" s="280"/>
      <c r="H822" s="280"/>
      <c r="I822" s="280"/>
      <c r="J822" s="280"/>
      <c r="K822" s="280"/>
      <c r="L822" s="280"/>
      <c r="M822" s="280"/>
      <c r="N822" s="280"/>
      <c r="O822" s="280"/>
      <c r="P822" s="280"/>
      <c r="Q822" s="280"/>
      <c r="R822" s="280"/>
      <c r="S822" s="280"/>
      <c r="T822" s="280"/>
      <c r="U822" s="280"/>
      <c r="V822" s="280"/>
      <c r="W822" s="280"/>
      <c r="X822" s="280"/>
      <c r="Y822" s="280"/>
      <c r="Z822" s="280"/>
    </row>
    <row r="823">
      <c r="A823" s="284" t="s">
        <v>919</v>
      </c>
      <c r="B823" s="285" t="s">
        <v>264</v>
      </c>
      <c r="C823" s="286" t="s">
        <v>450</v>
      </c>
      <c r="D823" s="286" t="s">
        <v>460</v>
      </c>
      <c r="E823" s="286">
        <v>0.0</v>
      </c>
      <c r="F823" s="286" t="s">
        <v>450</v>
      </c>
      <c r="G823" s="280"/>
      <c r="H823" s="280"/>
      <c r="I823" s="280"/>
      <c r="J823" s="280"/>
      <c r="K823" s="280"/>
      <c r="L823" s="280"/>
      <c r="M823" s="280"/>
      <c r="N823" s="280"/>
      <c r="O823" s="280"/>
      <c r="P823" s="280"/>
      <c r="Q823" s="280"/>
      <c r="R823" s="280"/>
      <c r="S823" s="280"/>
      <c r="T823" s="280"/>
      <c r="U823" s="280"/>
      <c r="V823" s="280"/>
      <c r="W823" s="280"/>
      <c r="X823" s="280"/>
      <c r="Y823" s="280"/>
      <c r="Z823" s="280"/>
    </row>
    <row r="824">
      <c r="A824" s="284" t="s">
        <v>921</v>
      </c>
      <c r="B824" s="285" t="s">
        <v>264</v>
      </c>
      <c r="C824" s="286">
        <v>0.0</v>
      </c>
      <c r="D824" s="286" t="s">
        <v>460</v>
      </c>
      <c r="E824" s="286">
        <v>0.0</v>
      </c>
      <c r="F824" s="286">
        <v>0.0</v>
      </c>
      <c r="G824" s="280"/>
      <c r="H824" s="280"/>
      <c r="I824" s="280"/>
      <c r="J824" s="280"/>
      <c r="K824" s="280"/>
      <c r="L824" s="280"/>
      <c r="M824" s="280"/>
      <c r="N824" s="280"/>
      <c r="O824" s="280"/>
      <c r="P824" s="280"/>
      <c r="Q824" s="280"/>
      <c r="R824" s="280"/>
      <c r="S824" s="280"/>
      <c r="T824" s="280"/>
      <c r="U824" s="280"/>
      <c r="V824" s="280"/>
      <c r="W824" s="280"/>
      <c r="X824" s="280"/>
      <c r="Y824" s="280"/>
      <c r="Z824" s="280"/>
    </row>
    <row r="825">
      <c r="A825" s="284" t="s">
        <v>922</v>
      </c>
      <c r="B825" s="285" t="s">
        <v>265</v>
      </c>
      <c r="C825" s="286">
        <v>0.0</v>
      </c>
      <c r="D825" s="286" t="s">
        <v>454</v>
      </c>
      <c r="E825" s="286">
        <v>0.0</v>
      </c>
      <c r="F825" s="286">
        <v>0.0</v>
      </c>
      <c r="G825" s="280"/>
      <c r="H825" s="280"/>
      <c r="I825" s="280"/>
      <c r="J825" s="280"/>
      <c r="K825" s="280"/>
      <c r="L825" s="280"/>
      <c r="M825" s="280"/>
      <c r="N825" s="280"/>
      <c r="O825" s="280"/>
      <c r="P825" s="280"/>
      <c r="Q825" s="280"/>
      <c r="R825" s="280"/>
      <c r="S825" s="280"/>
      <c r="T825" s="280"/>
      <c r="U825" s="280"/>
      <c r="V825" s="280"/>
      <c r="W825" s="280"/>
      <c r="X825" s="280"/>
      <c r="Y825" s="280"/>
      <c r="Z825" s="280"/>
    </row>
    <row r="826">
      <c r="A826" s="284" t="s">
        <v>923</v>
      </c>
      <c r="B826" s="285" t="s">
        <v>265</v>
      </c>
      <c r="C826" s="286">
        <v>0.0</v>
      </c>
      <c r="D826" s="286" t="s">
        <v>454</v>
      </c>
      <c r="E826" s="286">
        <v>0.0</v>
      </c>
      <c r="F826" s="286" t="s">
        <v>450</v>
      </c>
      <c r="G826" s="280"/>
      <c r="H826" s="280"/>
      <c r="I826" s="280"/>
      <c r="J826" s="280"/>
      <c r="K826" s="280"/>
      <c r="L826" s="280"/>
      <c r="M826" s="280"/>
      <c r="N826" s="280"/>
      <c r="O826" s="280"/>
      <c r="P826" s="280"/>
      <c r="Q826" s="280"/>
      <c r="R826" s="280"/>
      <c r="S826" s="280"/>
      <c r="T826" s="280"/>
      <c r="U826" s="280"/>
      <c r="V826" s="280"/>
      <c r="W826" s="280"/>
      <c r="X826" s="280"/>
      <c r="Y826" s="280"/>
      <c r="Z826" s="280"/>
    </row>
    <row r="827">
      <c r="A827" s="284" t="s">
        <v>924</v>
      </c>
      <c r="B827" s="285" t="s">
        <v>265</v>
      </c>
      <c r="C827" s="286" t="s">
        <v>450</v>
      </c>
      <c r="D827" s="286" t="s">
        <v>454</v>
      </c>
      <c r="E827" s="286">
        <v>0.0</v>
      </c>
      <c r="F827" s="286" t="s">
        <v>450</v>
      </c>
      <c r="G827" s="280"/>
      <c r="H827" s="280"/>
      <c r="I827" s="280"/>
      <c r="J827" s="280"/>
      <c r="K827" s="280"/>
      <c r="L827" s="280"/>
      <c r="M827" s="280"/>
      <c r="N827" s="280"/>
      <c r="O827" s="280"/>
      <c r="P827" s="280"/>
      <c r="Q827" s="280"/>
      <c r="R827" s="280"/>
      <c r="S827" s="280"/>
      <c r="T827" s="280"/>
      <c r="U827" s="280"/>
      <c r="V827" s="280"/>
      <c r="W827" s="280"/>
      <c r="X827" s="280"/>
      <c r="Y827" s="280"/>
      <c r="Z827" s="280"/>
    </row>
    <row r="828">
      <c r="A828" s="284" t="s">
        <v>925</v>
      </c>
      <c r="B828" s="285" t="s">
        <v>265</v>
      </c>
      <c r="C828" s="286">
        <v>0.0</v>
      </c>
      <c r="D828" s="286" t="s">
        <v>454</v>
      </c>
      <c r="E828" s="286">
        <v>0.0</v>
      </c>
      <c r="F828" s="286" t="s">
        <v>450</v>
      </c>
      <c r="G828" s="280"/>
      <c r="H828" s="280"/>
      <c r="I828" s="280"/>
      <c r="J828" s="280"/>
      <c r="K828" s="280"/>
      <c r="L828" s="280"/>
      <c r="M828" s="280"/>
      <c r="N828" s="280"/>
      <c r="O828" s="280"/>
      <c r="P828" s="280"/>
      <c r="Q828" s="280"/>
      <c r="R828" s="280"/>
      <c r="S828" s="280"/>
      <c r="T828" s="280"/>
      <c r="U828" s="280"/>
      <c r="V828" s="280"/>
      <c r="W828" s="280"/>
      <c r="X828" s="280"/>
      <c r="Y828" s="280"/>
      <c r="Z828" s="280"/>
    </row>
    <row r="829">
      <c r="A829" s="284" t="s">
        <v>926</v>
      </c>
      <c r="B829" s="285" t="s">
        <v>265</v>
      </c>
      <c r="C829" s="286">
        <v>0.0</v>
      </c>
      <c r="D829" s="286" t="s">
        <v>454</v>
      </c>
      <c r="E829" s="286">
        <v>0.0</v>
      </c>
      <c r="F829" s="286" t="s">
        <v>450</v>
      </c>
      <c r="G829" s="280"/>
      <c r="H829" s="280"/>
      <c r="I829" s="280"/>
      <c r="J829" s="280"/>
      <c r="K829" s="280"/>
      <c r="L829" s="280"/>
      <c r="M829" s="280"/>
      <c r="N829" s="280"/>
      <c r="O829" s="280"/>
      <c r="P829" s="280"/>
      <c r="Q829" s="280"/>
      <c r="R829" s="280"/>
      <c r="S829" s="280"/>
      <c r="T829" s="280"/>
      <c r="U829" s="280"/>
      <c r="V829" s="280"/>
      <c r="W829" s="280"/>
      <c r="X829" s="280"/>
      <c r="Y829" s="280"/>
      <c r="Z829" s="280"/>
    </row>
    <row r="830">
      <c r="A830" s="284" t="s">
        <v>927</v>
      </c>
      <c r="B830" s="285" t="s">
        <v>265</v>
      </c>
      <c r="C830" s="286">
        <v>0.0</v>
      </c>
      <c r="D830" s="286" t="s">
        <v>456</v>
      </c>
      <c r="E830" s="286">
        <v>0.0</v>
      </c>
      <c r="F830" s="286" t="s">
        <v>461</v>
      </c>
      <c r="G830" s="280"/>
      <c r="H830" s="280"/>
      <c r="I830" s="280"/>
      <c r="J830" s="280"/>
      <c r="K830" s="280"/>
      <c r="L830" s="280"/>
      <c r="M830" s="280"/>
      <c r="N830" s="280"/>
      <c r="O830" s="280"/>
      <c r="P830" s="280"/>
      <c r="Q830" s="280"/>
      <c r="R830" s="280"/>
      <c r="S830" s="280"/>
      <c r="T830" s="280"/>
      <c r="U830" s="280"/>
      <c r="V830" s="280"/>
      <c r="W830" s="280"/>
      <c r="X830" s="280"/>
      <c r="Y830" s="280"/>
      <c r="Z830" s="280"/>
    </row>
    <row r="831">
      <c r="A831" s="284" t="s">
        <v>929</v>
      </c>
      <c r="B831" s="285" t="s">
        <v>265</v>
      </c>
      <c r="C831" s="286" t="s">
        <v>450</v>
      </c>
      <c r="D831" s="286" t="s">
        <v>934</v>
      </c>
      <c r="E831" s="286">
        <v>0.0</v>
      </c>
      <c r="F831" s="286" t="s">
        <v>461</v>
      </c>
      <c r="G831" s="280"/>
      <c r="H831" s="280"/>
      <c r="I831" s="280"/>
      <c r="J831" s="280"/>
      <c r="K831" s="280"/>
      <c r="L831" s="280"/>
      <c r="M831" s="280"/>
      <c r="N831" s="280"/>
      <c r="O831" s="280"/>
      <c r="P831" s="280"/>
      <c r="Q831" s="280"/>
      <c r="R831" s="280"/>
      <c r="S831" s="280"/>
      <c r="T831" s="280"/>
      <c r="U831" s="280"/>
      <c r="V831" s="280"/>
      <c r="W831" s="280"/>
      <c r="X831" s="280"/>
      <c r="Y831" s="280"/>
      <c r="Z831" s="280"/>
    </row>
    <row r="832">
      <c r="A832" s="284" t="s">
        <v>930</v>
      </c>
      <c r="B832" s="285" t="s">
        <v>265</v>
      </c>
      <c r="C832" s="286" t="s">
        <v>450</v>
      </c>
      <c r="D832" s="286" t="s">
        <v>456</v>
      </c>
      <c r="E832" s="286">
        <v>0.0</v>
      </c>
      <c r="F832" s="286" t="s">
        <v>450</v>
      </c>
      <c r="G832" s="280"/>
      <c r="H832" s="280"/>
      <c r="I832" s="280"/>
      <c r="J832" s="280"/>
      <c r="K832" s="280"/>
      <c r="L832" s="280"/>
      <c r="M832" s="280"/>
      <c r="N832" s="280"/>
      <c r="O832" s="280"/>
      <c r="P832" s="280"/>
      <c r="Q832" s="280"/>
      <c r="R832" s="280"/>
      <c r="S832" s="280"/>
      <c r="T832" s="280"/>
      <c r="U832" s="280"/>
      <c r="V832" s="280"/>
      <c r="W832" s="280"/>
      <c r="X832" s="280"/>
      <c r="Y832" s="280"/>
      <c r="Z832" s="280"/>
    </row>
    <row r="833">
      <c r="A833" s="284" t="s">
        <v>931</v>
      </c>
      <c r="B833" s="285" t="s">
        <v>265</v>
      </c>
      <c r="C833" s="286">
        <v>0.0</v>
      </c>
      <c r="D833" s="286" t="s">
        <v>460</v>
      </c>
      <c r="E833" s="286">
        <v>0.0</v>
      </c>
      <c r="F833" s="286" t="s">
        <v>450</v>
      </c>
      <c r="G833" s="280"/>
      <c r="H833" s="280"/>
      <c r="I833" s="280"/>
      <c r="J833" s="280"/>
      <c r="K833" s="280"/>
      <c r="L833" s="280"/>
      <c r="M833" s="280"/>
      <c r="N833" s="280"/>
      <c r="O833" s="280"/>
      <c r="P833" s="280"/>
      <c r="Q833" s="280"/>
      <c r="R833" s="280"/>
      <c r="S833" s="280"/>
      <c r="T833" s="280"/>
      <c r="U833" s="280"/>
      <c r="V833" s="280"/>
      <c r="W833" s="280"/>
      <c r="X833" s="280"/>
      <c r="Y833" s="280"/>
      <c r="Z833" s="280"/>
    </row>
    <row r="834">
      <c r="A834" s="284" t="s">
        <v>932</v>
      </c>
      <c r="B834" s="285" t="s">
        <v>933</v>
      </c>
      <c r="C834" s="286" t="s">
        <v>461</v>
      </c>
      <c r="D834" s="286" t="s">
        <v>956</v>
      </c>
      <c r="E834" s="286" t="s">
        <v>450</v>
      </c>
      <c r="F834" s="286" t="s">
        <v>943</v>
      </c>
      <c r="G834" s="280"/>
      <c r="H834" s="280"/>
      <c r="I834" s="280"/>
      <c r="J834" s="280"/>
      <c r="K834" s="280"/>
      <c r="L834" s="280"/>
      <c r="M834" s="280"/>
      <c r="N834" s="280"/>
      <c r="O834" s="280"/>
      <c r="P834" s="280"/>
      <c r="Q834" s="280"/>
      <c r="R834" s="280"/>
      <c r="S834" s="280"/>
      <c r="T834" s="280"/>
      <c r="U834" s="280"/>
      <c r="V834" s="280"/>
      <c r="W834" s="280"/>
      <c r="X834" s="280"/>
      <c r="Y834" s="280"/>
      <c r="Z834" s="280"/>
    </row>
    <row r="835">
      <c r="A835" s="288"/>
      <c r="B835" s="289" t="s">
        <v>936</v>
      </c>
      <c r="C835" s="290" t="s">
        <v>551</v>
      </c>
      <c r="D835" s="290" t="s">
        <v>957</v>
      </c>
      <c r="E835" s="290" t="s">
        <v>461</v>
      </c>
      <c r="F835" s="290" t="s">
        <v>958</v>
      </c>
      <c r="G835" s="280"/>
      <c r="H835" s="280"/>
      <c r="I835" s="280"/>
      <c r="J835" s="280"/>
      <c r="K835" s="280"/>
      <c r="L835" s="280"/>
      <c r="M835" s="280"/>
      <c r="N835" s="280"/>
      <c r="O835" s="280"/>
      <c r="P835" s="280"/>
      <c r="Q835" s="280"/>
      <c r="R835" s="280"/>
      <c r="S835" s="280"/>
      <c r="T835" s="280"/>
      <c r="U835" s="280"/>
      <c r="V835" s="280"/>
      <c r="W835" s="280"/>
      <c r="X835" s="280"/>
      <c r="Y835" s="280"/>
      <c r="Z835" s="280"/>
    </row>
    <row r="836">
      <c r="A836" s="292" t="s">
        <v>959</v>
      </c>
      <c r="B836" s="111"/>
      <c r="C836" s="111"/>
      <c r="D836" s="111"/>
      <c r="E836" s="111"/>
      <c r="F836" s="41"/>
      <c r="G836" s="280"/>
      <c r="H836" s="280"/>
      <c r="I836" s="280"/>
      <c r="J836" s="280"/>
      <c r="K836" s="280"/>
      <c r="L836" s="280"/>
      <c r="M836" s="280"/>
      <c r="N836" s="280"/>
      <c r="O836" s="280"/>
      <c r="P836" s="280"/>
      <c r="Q836" s="280"/>
      <c r="R836" s="280"/>
      <c r="S836" s="280"/>
      <c r="T836" s="280"/>
      <c r="U836" s="280"/>
      <c r="V836" s="280"/>
      <c r="W836" s="280"/>
      <c r="X836" s="280"/>
      <c r="Y836" s="280"/>
      <c r="Z836" s="280"/>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3" t="s">
        <v>960</v>
      </c>
    </row>
    <row r="2">
      <c r="A2" s="294" t="s">
        <v>961</v>
      </c>
      <c r="B2" s="295"/>
      <c r="C2" s="295"/>
      <c r="D2" s="295"/>
    </row>
    <row r="3">
      <c r="A3" s="296" t="s">
        <v>962</v>
      </c>
      <c r="B3" s="297" t="s">
        <v>963</v>
      </c>
      <c r="C3" s="297" t="s">
        <v>964</v>
      </c>
      <c r="D3" s="298" t="s">
        <v>965</v>
      </c>
    </row>
    <row r="4">
      <c r="A4" s="299" t="s">
        <v>966</v>
      </c>
      <c r="B4" s="111"/>
      <c r="C4" s="111"/>
      <c r="D4" s="41"/>
    </row>
    <row r="5">
      <c r="A5" s="300" t="s">
        <v>967</v>
      </c>
      <c r="B5" s="301" t="s">
        <v>943</v>
      </c>
      <c r="C5" s="302">
        <v>0.0</v>
      </c>
      <c r="D5" s="303" t="s">
        <v>460</v>
      </c>
    </row>
    <row r="6">
      <c r="A6" s="304" t="s">
        <v>968</v>
      </c>
      <c r="B6" s="301" t="s">
        <v>482</v>
      </c>
      <c r="C6" s="302">
        <v>0.0</v>
      </c>
      <c r="D6" s="303" t="s">
        <v>454</v>
      </c>
    </row>
    <row r="7">
      <c r="A7" s="304" t="s">
        <v>969</v>
      </c>
      <c r="B7" s="301" t="s">
        <v>458</v>
      </c>
      <c r="C7" s="305">
        <v>0.0</v>
      </c>
      <c r="D7" s="303" t="s">
        <v>461</v>
      </c>
    </row>
    <row r="8">
      <c r="A8" s="304" t="s">
        <v>970</v>
      </c>
      <c r="B8" s="301" t="s">
        <v>456</v>
      </c>
      <c r="C8" s="305">
        <v>0.0</v>
      </c>
      <c r="D8" s="303" t="s">
        <v>450</v>
      </c>
    </row>
    <row r="9">
      <c r="A9" s="306" t="s">
        <v>971</v>
      </c>
      <c r="B9" s="307" t="s">
        <v>482</v>
      </c>
      <c r="C9" s="308">
        <v>0.0</v>
      </c>
      <c r="D9" s="309" t="s">
        <v>454</v>
      </c>
    </row>
    <row r="10">
      <c r="A10" s="306" t="s">
        <v>972</v>
      </c>
      <c r="B10" s="307" t="s">
        <v>973</v>
      </c>
      <c r="C10" s="308">
        <v>0.0</v>
      </c>
      <c r="D10" s="309" t="s">
        <v>460</v>
      </c>
    </row>
    <row r="11">
      <c r="A11" s="310" t="s">
        <v>974</v>
      </c>
      <c r="B11" s="311" t="s">
        <v>494</v>
      </c>
      <c r="C11" s="308">
        <v>0.0</v>
      </c>
      <c r="D11" s="309" t="s">
        <v>454</v>
      </c>
    </row>
    <row r="12">
      <c r="A12" s="306" t="s">
        <v>975</v>
      </c>
      <c r="B12" s="307" t="s">
        <v>976</v>
      </c>
      <c r="C12" s="308">
        <v>0.0</v>
      </c>
      <c r="D12" s="309" t="s">
        <v>494</v>
      </c>
    </row>
    <row r="13">
      <c r="A13" s="306" t="s">
        <v>977</v>
      </c>
      <c r="B13" s="307" t="s">
        <v>456</v>
      </c>
      <c r="C13" s="308">
        <v>0.0</v>
      </c>
      <c r="D13" s="309" t="s">
        <v>454</v>
      </c>
    </row>
    <row r="14">
      <c r="A14" s="310" t="s">
        <v>978</v>
      </c>
      <c r="B14" s="311" t="s">
        <v>979</v>
      </c>
      <c r="C14" s="308">
        <v>0.0</v>
      </c>
      <c r="D14" s="309" t="s">
        <v>516</v>
      </c>
    </row>
    <row r="15">
      <c r="A15" s="306" t="s">
        <v>980</v>
      </c>
      <c r="B15" s="307" t="s">
        <v>981</v>
      </c>
      <c r="C15" s="305">
        <v>0.0</v>
      </c>
      <c r="D15" s="309" t="s">
        <v>458</v>
      </c>
    </row>
    <row r="16">
      <c r="A16" s="306" t="s">
        <v>982</v>
      </c>
      <c r="B16" s="307" t="s">
        <v>456</v>
      </c>
      <c r="C16" s="308">
        <v>0.0</v>
      </c>
      <c r="D16" s="309" t="s">
        <v>450</v>
      </c>
    </row>
    <row r="17">
      <c r="A17" s="306" t="s">
        <v>983</v>
      </c>
      <c r="B17" s="307" t="s">
        <v>516</v>
      </c>
      <c r="C17" s="308">
        <v>0.0</v>
      </c>
      <c r="D17" s="309" t="s">
        <v>461</v>
      </c>
    </row>
    <row r="18">
      <c r="A18" s="306" t="s">
        <v>984</v>
      </c>
      <c r="B18" s="307" t="s">
        <v>985</v>
      </c>
      <c r="C18" s="305">
        <v>0.0</v>
      </c>
      <c r="D18" s="309" t="s">
        <v>482</v>
      </c>
    </row>
    <row r="19">
      <c r="A19" s="306" t="s">
        <v>986</v>
      </c>
      <c r="B19" s="307" t="s">
        <v>979</v>
      </c>
      <c r="C19" s="308">
        <v>0.0</v>
      </c>
      <c r="D19" s="309" t="s">
        <v>460</v>
      </c>
    </row>
    <row r="20">
      <c r="A20" s="306" t="s">
        <v>987</v>
      </c>
      <c r="B20" s="307" t="s">
        <v>985</v>
      </c>
      <c r="C20" s="308">
        <v>0.0</v>
      </c>
      <c r="D20" s="309" t="s">
        <v>942</v>
      </c>
    </row>
    <row r="21">
      <c r="A21" s="306" t="s">
        <v>988</v>
      </c>
      <c r="B21" s="307" t="s">
        <v>456</v>
      </c>
      <c r="C21" s="308">
        <v>0.0</v>
      </c>
      <c r="D21" s="309" t="s">
        <v>461</v>
      </c>
    </row>
    <row r="22">
      <c r="A22" s="306" t="s">
        <v>989</v>
      </c>
      <c r="B22" s="307" t="s">
        <v>942</v>
      </c>
      <c r="C22" s="308">
        <v>0.0</v>
      </c>
      <c r="D22" s="309" t="s">
        <v>460</v>
      </c>
    </row>
    <row r="23">
      <c r="A23" s="306" t="s">
        <v>990</v>
      </c>
      <c r="B23" s="307" t="s">
        <v>494</v>
      </c>
      <c r="C23" s="305">
        <v>0.0</v>
      </c>
      <c r="D23" s="309" t="s">
        <v>460</v>
      </c>
    </row>
    <row r="24">
      <c r="A24" s="306" t="s">
        <v>991</v>
      </c>
      <c r="B24" s="307" t="s">
        <v>674</v>
      </c>
      <c r="C24" s="308">
        <v>0.0</v>
      </c>
      <c r="D24" s="309" t="s">
        <v>454</v>
      </c>
    </row>
    <row r="25">
      <c r="A25" s="306" t="s">
        <v>992</v>
      </c>
      <c r="B25" s="307" t="s">
        <v>482</v>
      </c>
      <c r="C25" s="308">
        <v>0.0</v>
      </c>
      <c r="D25" s="309" t="s">
        <v>454</v>
      </c>
    </row>
    <row r="26">
      <c r="A26" s="310" t="s">
        <v>993</v>
      </c>
      <c r="B26" s="311" t="s">
        <v>461</v>
      </c>
      <c r="C26" s="308">
        <v>0.0</v>
      </c>
      <c r="D26" s="309" t="s">
        <v>450</v>
      </c>
    </row>
    <row r="27">
      <c r="A27" s="306" t="s">
        <v>994</v>
      </c>
      <c r="B27" s="307" t="s">
        <v>995</v>
      </c>
      <c r="C27" s="305">
        <v>0.0</v>
      </c>
      <c r="D27" s="309" t="s">
        <v>674</v>
      </c>
    </row>
    <row r="28">
      <c r="A28" s="306" t="s">
        <v>996</v>
      </c>
      <c r="B28" s="307" t="s">
        <v>943</v>
      </c>
      <c r="C28" s="308" t="s">
        <v>450</v>
      </c>
      <c r="D28" s="309" t="s">
        <v>461</v>
      </c>
    </row>
    <row r="29">
      <c r="A29" s="306" t="s">
        <v>997</v>
      </c>
      <c r="B29" s="307" t="s">
        <v>956</v>
      </c>
      <c r="C29" s="308">
        <v>0.0</v>
      </c>
      <c r="D29" s="309" t="s">
        <v>456</v>
      </c>
    </row>
    <row r="30">
      <c r="A30" s="306" t="s">
        <v>998</v>
      </c>
      <c r="B30" s="307" t="s">
        <v>945</v>
      </c>
      <c r="C30" s="308">
        <v>0.0</v>
      </c>
      <c r="D30" s="309" t="s">
        <v>482</v>
      </c>
    </row>
    <row r="31">
      <c r="A31" s="306" t="s">
        <v>999</v>
      </c>
      <c r="B31" s="307" t="s">
        <v>1000</v>
      </c>
      <c r="C31" s="308" t="s">
        <v>450</v>
      </c>
      <c r="D31" s="309" t="s">
        <v>458</v>
      </c>
    </row>
    <row r="32">
      <c r="A32" s="306" t="s">
        <v>1001</v>
      </c>
      <c r="B32" s="307" t="s">
        <v>979</v>
      </c>
      <c r="C32" s="308">
        <v>0.0</v>
      </c>
      <c r="D32" s="309" t="s">
        <v>516</v>
      </c>
    </row>
    <row r="33">
      <c r="A33" s="306" t="s">
        <v>1002</v>
      </c>
      <c r="B33" s="307" t="s">
        <v>461</v>
      </c>
      <c r="C33" s="305">
        <v>0.0</v>
      </c>
      <c r="D33" s="309" t="s">
        <v>450</v>
      </c>
    </row>
    <row r="34">
      <c r="A34" s="306" t="s">
        <v>1003</v>
      </c>
      <c r="B34" s="307" t="s">
        <v>502</v>
      </c>
      <c r="C34" s="308">
        <v>0.0</v>
      </c>
      <c r="D34" s="312" t="s">
        <v>454</v>
      </c>
    </row>
    <row r="35">
      <c r="A35" s="310" t="s">
        <v>1004</v>
      </c>
      <c r="B35" s="307" t="s">
        <v>1005</v>
      </c>
      <c r="C35" s="308">
        <v>0.0</v>
      </c>
      <c r="D35" s="309" t="s">
        <v>456</v>
      </c>
    </row>
    <row r="36">
      <c r="A36" s="306" t="s">
        <v>1006</v>
      </c>
      <c r="B36" s="307" t="s">
        <v>945</v>
      </c>
      <c r="C36" s="305">
        <v>0.0</v>
      </c>
      <c r="D36" s="309" t="s">
        <v>460</v>
      </c>
    </row>
    <row r="37">
      <c r="A37" s="306" t="s">
        <v>1007</v>
      </c>
      <c r="B37" s="307" t="s">
        <v>456</v>
      </c>
      <c r="C37" s="308">
        <v>0.0</v>
      </c>
      <c r="D37" s="309" t="s">
        <v>454</v>
      </c>
    </row>
    <row r="38">
      <c r="A38" s="306" t="s">
        <v>1008</v>
      </c>
      <c r="B38" s="307" t="s">
        <v>516</v>
      </c>
      <c r="C38" s="308">
        <v>0.0</v>
      </c>
      <c r="D38" s="309" t="s">
        <v>450</v>
      </c>
    </row>
    <row r="39">
      <c r="A39" s="306" t="s">
        <v>1009</v>
      </c>
      <c r="B39" s="307" t="s">
        <v>456</v>
      </c>
      <c r="C39" s="308">
        <v>0.0</v>
      </c>
      <c r="D39" s="309" t="s">
        <v>461</v>
      </c>
    </row>
    <row r="40">
      <c r="A40" s="306" t="s">
        <v>1010</v>
      </c>
      <c r="B40" s="307" t="s">
        <v>516</v>
      </c>
      <c r="C40" s="308">
        <v>0.0</v>
      </c>
      <c r="D40" s="309" t="s">
        <v>450</v>
      </c>
    </row>
    <row r="41">
      <c r="A41" s="306" t="s">
        <v>1011</v>
      </c>
      <c r="B41" s="307" t="s">
        <v>460</v>
      </c>
      <c r="C41" s="308">
        <v>0.0</v>
      </c>
      <c r="D41" s="309" t="s">
        <v>450</v>
      </c>
    </row>
    <row r="42">
      <c r="A42" s="306" t="s">
        <v>1012</v>
      </c>
      <c r="B42" s="307" t="s">
        <v>973</v>
      </c>
      <c r="C42" s="308">
        <v>0.0</v>
      </c>
      <c r="D42" s="309" t="s">
        <v>456</v>
      </c>
    </row>
    <row r="43">
      <c r="A43" s="306" t="s">
        <v>1013</v>
      </c>
      <c r="B43" s="307" t="s">
        <v>551</v>
      </c>
      <c r="C43" s="305">
        <v>0.0</v>
      </c>
      <c r="D43" s="309" t="s">
        <v>516</v>
      </c>
    </row>
    <row r="44">
      <c r="A44" s="306" t="s">
        <v>1014</v>
      </c>
      <c r="B44" s="307" t="s">
        <v>1015</v>
      </c>
      <c r="C44" s="305">
        <v>0.0</v>
      </c>
      <c r="D44" s="309" t="s">
        <v>458</v>
      </c>
    </row>
    <row r="45">
      <c r="A45" s="306" t="s">
        <v>1016</v>
      </c>
      <c r="B45" s="307" t="s">
        <v>1015</v>
      </c>
      <c r="C45" s="308">
        <v>0.0</v>
      </c>
      <c r="D45" s="309" t="s">
        <v>456</v>
      </c>
    </row>
    <row r="46">
      <c r="A46" s="306" t="s">
        <v>1017</v>
      </c>
      <c r="B46" s="307" t="s">
        <v>460</v>
      </c>
      <c r="C46" s="305">
        <v>0.0</v>
      </c>
      <c r="D46" s="309" t="s">
        <v>450</v>
      </c>
    </row>
    <row r="47">
      <c r="A47" s="306" t="s">
        <v>1018</v>
      </c>
      <c r="B47" s="307" t="s">
        <v>1019</v>
      </c>
      <c r="C47" s="305">
        <v>0.0</v>
      </c>
      <c r="D47" s="309">
        <v>0.0</v>
      </c>
    </row>
    <row r="48">
      <c r="A48" s="306" t="s">
        <v>1020</v>
      </c>
      <c r="B48" s="307" t="s">
        <v>942</v>
      </c>
      <c r="C48" s="308">
        <v>0.0</v>
      </c>
      <c r="D48" s="309" t="s">
        <v>461</v>
      </c>
    </row>
    <row r="49">
      <c r="A49" s="310" t="s">
        <v>1021</v>
      </c>
      <c r="B49" s="307" t="s">
        <v>942</v>
      </c>
      <c r="C49" s="308">
        <v>0.0</v>
      </c>
      <c r="D49" s="309" t="s">
        <v>461</v>
      </c>
    </row>
    <row r="50">
      <c r="A50" s="306" t="s">
        <v>1022</v>
      </c>
      <c r="B50" s="307" t="s">
        <v>943</v>
      </c>
      <c r="C50" s="308" t="s">
        <v>450</v>
      </c>
      <c r="D50" s="309" t="s">
        <v>460</v>
      </c>
    </row>
    <row r="51">
      <c r="A51" s="306" t="s">
        <v>1023</v>
      </c>
      <c r="B51" s="307" t="s">
        <v>942</v>
      </c>
      <c r="C51" s="308">
        <v>0.0</v>
      </c>
      <c r="D51" s="309">
        <v>0.0</v>
      </c>
    </row>
    <row r="52">
      <c r="A52" s="306" t="s">
        <v>1024</v>
      </c>
      <c r="B52" s="307" t="s">
        <v>1025</v>
      </c>
      <c r="C52" s="305">
        <v>0.0</v>
      </c>
      <c r="D52" s="309" t="s">
        <v>456</v>
      </c>
    </row>
    <row r="53">
      <c r="A53" s="306" t="s">
        <v>1026</v>
      </c>
      <c r="B53" s="307" t="s">
        <v>934</v>
      </c>
      <c r="C53" s="308">
        <v>0.0</v>
      </c>
      <c r="D53" s="309" t="s">
        <v>516</v>
      </c>
    </row>
    <row r="54">
      <c r="A54" s="306" t="s">
        <v>1027</v>
      </c>
      <c r="B54" s="307" t="s">
        <v>1028</v>
      </c>
      <c r="C54" s="308">
        <v>0.0</v>
      </c>
      <c r="D54" s="309" t="s">
        <v>482</v>
      </c>
    </row>
    <row r="55">
      <c r="A55" s="306" t="s">
        <v>1029</v>
      </c>
      <c r="B55" s="307" t="s">
        <v>985</v>
      </c>
      <c r="C55" s="308">
        <v>0.0</v>
      </c>
      <c r="D55" s="313" t="s">
        <v>482</v>
      </c>
    </row>
    <row r="56">
      <c r="A56" s="306" t="s">
        <v>1030</v>
      </c>
      <c r="B56" s="307" t="s">
        <v>1031</v>
      </c>
      <c r="C56" s="308">
        <v>0.0</v>
      </c>
      <c r="D56" s="309" t="s">
        <v>674</v>
      </c>
    </row>
    <row r="57">
      <c r="A57" s="310" t="s">
        <v>1032</v>
      </c>
      <c r="B57" s="311" t="s">
        <v>934</v>
      </c>
      <c r="C57" s="308">
        <v>0.0</v>
      </c>
      <c r="D57" s="309" t="s">
        <v>456</v>
      </c>
    </row>
    <row r="58">
      <c r="A58" s="306" t="s">
        <v>1033</v>
      </c>
      <c r="B58" s="307" t="s">
        <v>943</v>
      </c>
      <c r="C58" s="308">
        <v>0.0</v>
      </c>
      <c r="D58" s="309" t="s">
        <v>461</v>
      </c>
    </row>
    <row r="59">
      <c r="A59" s="310" t="s">
        <v>1034</v>
      </c>
      <c r="B59" s="311" t="s">
        <v>945</v>
      </c>
      <c r="C59" s="308">
        <v>0.0</v>
      </c>
      <c r="D59" s="309" t="s">
        <v>516</v>
      </c>
    </row>
    <row r="60">
      <c r="A60" s="306" t="s">
        <v>1035</v>
      </c>
      <c r="B60" s="307" t="s">
        <v>494</v>
      </c>
      <c r="C60" s="308">
        <v>0.0</v>
      </c>
      <c r="D60" s="309" t="s">
        <v>454</v>
      </c>
    </row>
    <row r="61">
      <c r="A61" s="306" t="s">
        <v>1036</v>
      </c>
      <c r="B61" s="307" t="s">
        <v>1015</v>
      </c>
      <c r="C61" s="308">
        <v>0.0</v>
      </c>
      <c r="D61" s="309" t="s">
        <v>456</v>
      </c>
    </row>
    <row r="62">
      <c r="A62" s="306" t="s">
        <v>1037</v>
      </c>
      <c r="B62" s="307" t="s">
        <v>674</v>
      </c>
      <c r="C62" s="308">
        <v>0.0</v>
      </c>
      <c r="D62" s="309" t="s">
        <v>454</v>
      </c>
    </row>
    <row r="63">
      <c r="A63" s="306" t="s">
        <v>1038</v>
      </c>
      <c r="B63" s="307" t="s">
        <v>454</v>
      </c>
      <c r="C63" s="308">
        <v>0.0</v>
      </c>
      <c r="D63" s="309">
        <v>0.0</v>
      </c>
    </row>
    <row r="64">
      <c r="A64" s="306" t="s">
        <v>1039</v>
      </c>
      <c r="B64" s="307" t="s">
        <v>454</v>
      </c>
      <c r="C64" s="308">
        <v>0.0</v>
      </c>
      <c r="D64" s="309" t="s">
        <v>450</v>
      </c>
    </row>
    <row r="65">
      <c r="A65" s="306" t="s">
        <v>1040</v>
      </c>
      <c r="B65" s="307" t="s">
        <v>1015</v>
      </c>
      <c r="C65" s="308">
        <v>0.0</v>
      </c>
      <c r="D65" s="309" t="s">
        <v>943</v>
      </c>
    </row>
    <row r="66">
      <c r="A66" s="306" t="s">
        <v>1041</v>
      </c>
      <c r="B66" s="307" t="s">
        <v>1019</v>
      </c>
      <c r="C66" s="308">
        <v>0.0</v>
      </c>
      <c r="D66" s="309">
        <v>0.0</v>
      </c>
    </row>
    <row r="67">
      <c r="A67" s="306" t="s">
        <v>1042</v>
      </c>
      <c r="B67" s="307" t="s">
        <v>947</v>
      </c>
      <c r="C67" s="305">
        <v>0.0</v>
      </c>
      <c r="D67" s="309" t="s">
        <v>460</v>
      </c>
    </row>
    <row r="68">
      <c r="A68" s="306" t="s">
        <v>1043</v>
      </c>
      <c r="B68" s="307" t="s">
        <v>1044</v>
      </c>
      <c r="C68" s="308">
        <v>0.0</v>
      </c>
      <c r="D68" s="309" t="s">
        <v>516</v>
      </c>
    </row>
    <row r="69">
      <c r="A69" s="306" t="s">
        <v>1045</v>
      </c>
      <c r="B69" s="307" t="s">
        <v>551</v>
      </c>
      <c r="C69" s="305">
        <v>0.0</v>
      </c>
      <c r="D69" s="309" t="s">
        <v>456</v>
      </c>
    </row>
    <row r="70">
      <c r="A70" s="314" t="s">
        <v>1046</v>
      </c>
      <c r="B70" s="311" t="s">
        <v>942</v>
      </c>
      <c r="C70" s="311">
        <v>0.0</v>
      </c>
      <c r="D70" s="311" t="s">
        <v>454</v>
      </c>
    </row>
    <row r="71">
      <c r="A71" s="306" t="s">
        <v>1047</v>
      </c>
      <c r="B71" s="307" t="s">
        <v>1044</v>
      </c>
      <c r="C71" s="305">
        <v>0.0</v>
      </c>
      <c r="D71" s="309" t="s">
        <v>456</v>
      </c>
    </row>
    <row r="72">
      <c r="A72" s="306" t="s">
        <v>1048</v>
      </c>
      <c r="B72" s="307" t="s">
        <v>1025</v>
      </c>
      <c r="C72" s="308">
        <v>0.0</v>
      </c>
      <c r="D72" s="309" t="s">
        <v>456</v>
      </c>
    </row>
    <row r="73">
      <c r="A73" s="306" t="s">
        <v>1049</v>
      </c>
      <c r="B73" s="307" t="s">
        <v>482</v>
      </c>
      <c r="C73" s="308">
        <v>0.0</v>
      </c>
      <c r="D73" s="309" t="s">
        <v>461</v>
      </c>
    </row>
    <row r="74">
      <c r="A74" s="306" t="s">
        <v>1050</v>
      </c>
      <c r="B74" s="307" t="s">
        <v>1005</v>
      </c>
      <c r="C74" s="308">
        <v>0.0</v>
      </c>
      <c r="D74" s="309" t="s">
        <v>482</v>
      </c>
    </row>
    <row r="75">
      <c r="A75" s="306" t="s">
        <v>1051</v>
      </c>
      <c r="B75" s="307" t="s">
        <v>1025</v>
      </c>
      <c r="C75" s="308">
        <v>0.0</v>
      </c>
      <c r="D75" s="309" t="s">
        <v>456</v>
      </c>
    </row>
    <row r="76">
      <c r="A76" s="306" t="s">
        <v>1052</v>
      </c>
      <c r="B76" s="307" t="s">
        <v>1028</v>
      </c>
      <c r="C76" s="308">
        <v>0.0</v>
      </c>
      <c r="D76" s="309" t="s">
        <v>482</v>
      </c>
    </row>
    <row r="77">
      <c r="A77" s="306" t="s">
        <v>1053</v>
      </c>
      <c r="B77" s="307" t="s">
        <v>456</v>
      </c>
      <c r="C77" s="305">
        <v>0.0</v>
      </c>
      <c r="D77" s="309" t="s">
        <v>450</v>
      </c>
    </row>
    <row r="78">
      <c r="A78" s="310" t="s">
        <v>1054</v>
      </c>
      <c r="B78" s="311" t="s">
        <v>461</v>
      </c>
      <c r="C78" s="308">
        <v>0.0</v>
      </c>
      <c r="D78" s="309">
        <v>0.0</v>
      </c>
    </row>
    <row r="79">
      <c r="A79" s="315" t="s">
        <v>1055</v>
      </c>
      <c r="B79" s="311" t="s">
        <v>454</v>
      </c>
      <c r="C79" s="305">
        <v>0.0</v>
      </c>
      <c r="D79" s="309" t="s">
        <v>450</v>
      </c>
    </row>
    <row r="80">
      <c r="A80" s="306" t="s">
        <v>1056</v>
      </c>
      <c r="B80" s="307" t="s">
        <v>956</v>
      </c>
      <c r="C80" s="305">
        <v>0.0</v>
      </c>
      <c r="D80" s="309" t="s">
        <v>516</v>
      </c>
    </row>
    <row r="81">
      <c r="A81" s="306" t="s">
        <v>1057</v>
      </c>
      <c r="B81" s="307" t="s">
        <v>460</v>
      </c>
      <c r="C81" s="305" t="s">
        <v>450</v>
      </c>
      <c r="D81" s="309" t="s">
        <v>450</v>
      </c>
    </row>
    <row r="82">
      <c r="A82" s="306" t="s">
        <v>1058</v>
      </c>
      <c r="B82" s="307" t="s">
        <v>460</v>
      </c>
      <c r="C82" s="308">
        <v>0.0</v>
      </c>
      <c r="D82" s="309" t="s">
        <v>450</v>
      </c>
    </row>
    <row r="83">
      <c r="A83" s="306" t="s">
        <v>1059</v>
      </c>
      <c r="B83" s="307" t="s">
        <v>979</v>
      </c>
      <c r="C83" s="308" t="s">
        <v>450</v>
      </c>
      <c r="D83" s="309" t="s">
        <v>454</v>
      </c>
    </row>
    <row r="84">
      <c r="A84" s="306" t="s">
        <v>1060</v>
      </c>
      <c r="B84" s="307" t="s">
        <v>1000</v>
      </c>
      <c r="C84" s="308">
        <v>0.0</v>
      </c>
      <c r="D84" s="309" t="s">
        <v>943</v>
      </c>
    </row>
    <row r="85">
      <c r="A85" s="306" t="s">
        <v>1061</v>
      </c>
      <c r="B85" s="307" t="s">
        <v>973</v>
      </c>
      <c r="C85" s="305">
        <v>0.0</v>
      </c>
      <c r="D85" s="309" t="s">
        <v>516</v>
      </c>
    </row>
    <row r="86">
      <c r="A86" s="310" t="s">
        <v>1062</v>
      </c>
      <c r="B86" s="311" t="s">
        <v>461</v>
      </c>
      <c r="C86" s="305">
        <v>0.0</v>
      </c>
      <c r="D86" s="309">
        <v>0.0</v>
      </c>
    </row>
    <row r="87">
      <c r="A87" s="310" t="s">
        <v>1063</v>
      </c>
      <c r="B87" s="311" t="s">
        <v>460</v>
      </c>
      <c r="C87" s="305">
        <v>0.0</v>
      </c>
      <c r="D87" s="309" t="s">
        <v>450</v>
      </c>
    </row>
    <row r="88">
      <c r="A88" s="306" t="s">
        <v>1064</v>
      </c>
      <c r="B88" s="307" t="s">
        <v>973</v>
      </c>
      <c r="C88" s="305">
        <v>0.0</v>
      </c>
      <c r="D88" s="309" t="s">
        <v>516</v>
      </c>
    </row>
    <row r="89">
      <c r="A89" s="316" t="s">
        <v>105</v>
      </c>
      <c r="B89" s="317" t="s">
        <v>1065</v>
      </c>
      <c r="C89" s="318" t="s">
        <v>461</v>
      </c>
      <c r="D89" s="319" t="s">
        <v>1066</v>
      </c>
    </row>
    <row r="90">
      <c r="A90" s="299" t="s">
        <v>1067</v>
      </c>
      <c r="B90" s="111"/>
      <c r="C90" s="111"/>
      <c r="D90" s="41"/>
    </row>
    <row r="91">
      <c r="A91" s="304" t="s">
        <v>1068</v>
      </c>
      <c r="B91" s="301" t="s">
        <v>1019</v>
      </c>
      <c r="C91" s="302">
        <v>0.0</v>
      </c>
      <c r="D91" s="303">
        <v>0.0</v>
      </c>
    </row>
    <row r="92">
      <c r="A92" s="304" t="s">
        <v>1069</v>
      </c>
      <c r="B92" s="301" t="s">
        <v>461</v>
      </c>
      <c r="C92" s="302">
        <v>0.0</v>
      </c>
      <c r="D92" s="303" t="s">
        <v>450</v>
      </c>
    </row>
    <row r="93">
      <c r="A93" s="300" t="s">
        <v>1070</v>
      </c>
      <c r="B93" s="320" t="s">
        <v>460</v>
      </c>
      <c r="C93" s="305">
        <v>0.0</v>
      </c>
      <c r="D93" s="321" t="s">
        <v>450</v>
      </c>
    </row>
    <row r="94">
      <c r="A94" s="304" t="s">
        <v>1071</v>
      </c>
      <c r="B94" s="320" t="s">
        <v>460</v>
      </c>
      <c r="C94" s="305" t="s">
        <v>450</v>
      </c>
      <c r="D94" s="321" t="s">
        <v>450</v>
      </c>
    </row>
    <row r="95">
      <c r="A95" s="304" t="s">
        <v>1072</v>
      </c>
      <c r="B95" s="320" t="s">
        <v>461</v>
      </c>
      <c r="C95" s="305">
        <v>0.0</v>
      </c>
      <c r="D95" s="321" t="s">
        <v>450</v>
      </c>
    </row>
    <row r="96">
      <c r="A96" s="304" t="s">
        <v>1073</v>
      </c>
      <c r="B96" s="301" t="s">
        <v>461</v>
      </c>
      <c r="C96" s="308">
        <v>0.0</v>
      </c>
      <c r="D96" s="303">
        <v>0.0</v>
      </c>
    </row>
    <row r="97">
      <c r="A97" s="304" t="s">
        <v>1074</v>
      </c>
      <c r="B97" s="301" t="s">
        <v>942</v>
      </c>
      <c r="C97" s="302">
        <v>0.0</v>
      </c>
      <c r="D97" s="303" t="s">
        <v>454</v>
      </c>
    </row>
    <row r="98">
      <c r="A98" s="304" t="s">
        <v>1075</v>
      </c>
      <c r="B98" s="301" t="s">
        <v>460</v>
      </c>
      <c r="C98" s="308">
        <v>0.0</v>
      </c>
      <c r="D98" s="303" t="s">
        <v>450</v>
      </c>
    </row>
    <row r="99">
      <c r="A99" s="300" t="s">
        <v>1076</v>
      </c>
      <c r="B99" s="320" t="s">
        <v>947</v>
      </c>
      <c r="C99" s="305">
        <v>0.0</v>
      </c>
      <c r="D99" s="321" t="s">
        <v>454</v>
      </c>
    </row>
    <row r="100">
      <c r="A100" s="300" t="s">
        <v>1077</v>
      </c>
      <c r="B100" s="320" t="s">
        <v>1019</v>
      </c>
      <c r="C100" s="305">
        <v>0.0</v>
      </c>
      <c r="D100" s="321">
        <v>0.0</v>
      </c>
    </row>
    <row r="101">
      <c r="A101" s="300" t="s">
        <v>1078</v>
      </c>
      <c r="B101" s="320" t="s">
        <v>460</v>
      </c>
      <c r="C101" s="305">
        <v>0.0</v>
      </c>
      <c r="D101" s="321" t="s">
        <v>450</v>
      </c>
    </row>
    <row r="102">
      <c r="A102" s="300" t="s">
        <v>1079</v>
      </c>
      <c r="B102" s="320" t="s">
        <v>456</v>
      </c>
      <c r="C102" s="305">
        <v>0.0</v>
      </c>
      <c r="D102" s="321" t="s">
        <v>450</v>
      </c>
    </row>
    <row r="103">
      <c r="A103" s="306" t="s">
        <v>1080</v>
      </c>
      <c r="B103" s="307" t="s">
        <v>461</v>
      </c>
      <c r="C103" s="308">
        <v>0.0</v>
      </c>
      <c r="D103" s="309">
        <v>0.0</v>
      </c>
    </row>
    <row r="104">
      <c r="A104" s="310" t="s">
        <v>1081</v>
      </c>
      <c r="B104" s="311" t="s">
        <v>458</v>
      </c>
      <c r="C104" s="305">
        <v>0.0</v>
      </c>
      <c r="D104" s="309" t="s">
        <v>454</v>
      </c>
    </row>
    <row r="105">
      <c r="A105" s="310" t="s">
        <v>1082</v>
      </c>
      <c r="B105" s="311" t="s">
        <v>482</v>
      </c>
      <c r="C105" s="305">
        <v>0.0</v>
      </c>
      <c r="D105" s="313" t="s">
        <v>461</v>
      </c>
    </row>
    <row r="106">
      <c r="A106" s="306" t="s">
        <v>1083</v>
      </c>
      <c r="B106" s="307" t="s">
        <v>460</v>
      </c>
      <c r="C106" s="322">
        <v>0.0</v>
      </c>
      <c r="D106" s="309" t="s">
        <v>450</v>
      </c>
    </row>
    <row r="107">
      <c r="A107" s="306" t="s">
        <v>1084</v>
      </c>
      <c r="B107" s="307" t="s">
        <v>461</v>
      </c>
      <c r="C107" s="322">
        <v>0.0</v>
      </c>
      <c r="D107" s="309" t="s">
        <v>450</v>
      </c>
    </row>
    <row r="108">
      <c r="A108" s="306" t="s">
        <v>1085</v>
      </c>
      <c r="B108" s="307" t="s">
        <v>460</v>
      </c>
      <c r="C108" s="305">
        <v>0.0</v>
      </c>
      <c r="D108" s="309" t="s">
        <v>450</v>
      </c>
    </row>
    <row r="109">
      <c r="A109" s="306" t="s">
        <v>1086</v>
      </c>
      <c r="B109" s="307" t="s">
        <v>516</v>
      </c>
      <c r="C109" s="322">
        <v>0.0</v>
      </c>
      <c r="D109" s="309" t="s">
        <v>461</v>
      </c>
    </row>
    <row r="110">
      <c r="A110" s="306" t="s">
        <v>1087</v>
      </c>
      <c r="B110" s="307" t="s">
        <v>943</v>
      </c>
      <c r="C110" s="308" t="s">
        <v>450</v>
      </c>
      <c r="D110" s="323" t="s">
        <v>454</v>
      </c>
    </row>
    <row r="111">
      <c r="A111" s="306" t="s">
        <v>1088</v>
      </c>
      <c r="B111" s="307" t="s">
        <v>1019</v>
      </c>
      <c r="C111" s="308">
        <v>0.0</v>
      </c>
      <c r="D111" s="323">
        <v>0.0</v>
      </c>
    </row>
    <row r="112">
      <c r="A112" s="306" t="s">
        <v>1089</v>
      </c>
      <c r="B112" s="307" t="s">
        <v>502</v>
      </c>
      <c r="C112" s="305">
        <v>0.0</v>
      </c>
      <c r="D112" s="323" t="s">
        <v>461</v>
      </c>
    </row>
    <row r="113">
      <c r="A113" s="310" t="s">
        <v>1090</v>
      </c>
      <c r="B113" s="311" t="s">
        <v>461</v>
      </c>
      <c r="C113" s="308">
        <v>0.0</v>
      </c>
      <c r="D113" s="309">
        <v>0.0</v>
      </c>
    </row>
    <row r="114">
      <c r="A114" s="310" t="s">
        <v>1091</v>
      </c>
      <c r="B114" s="311" t="s">
        <v>461</v>
      </c>
      <c r="C114" s="308">
        <v>0.0</v>
      </c>
      <c r="D114" s="309" t="s">
        <v>450</v>
      </c>
    </row>
    <row r="115">
      <c r="A115" s="315" t="s">
        <v>1092</v>
      </c>
      <c r="B115" s="311" t="s">
        <v>1019</v>
      </c>
      <c r="C115" s="308">
        <v>0.0</v>
      </c>
      <c r="D115" s="309">
        <v>0.0</v>
      </c>
    </row>
    <row r="116">
      <c r="A116" s="315" t="s">
        <v>1093</v>
      </c>
      <c r="B116" s="307" t="s">
        <v>934</v>
      </c>
      <c r="C116" s="322">
        <v>0.0</v>
      </c>
      <c r="D116" s="309" t="s">
        <v>460</v>
      </c>
    </row>
    <row r="117">
      <c r="A117" s="310" t="s">
        <v>1094</v>
      </c>
      <c r="B117" s="311" t="s">
        <v>516</v>
      </c>
      <c r="C117" s="308">
        <v>0.0</v>
      </c>
      <c r="D117" s="309" t="s">
        <v>450</v>
      </c>
    </row>
    <row r="118">
      <c r="A118" s="306" t="s">
        <v>1095</v>
      </c>
      <c r="B118" s="307" t="s">
        <v>454</v>
      </c>
      <c r="C118" s="322">
        <v>0.0</v>
      </c>
      <c r="D118" s="309">
        <v>0.0</v>
      </c>
    </row>
    <row r="119">
      <c r="A119" s="306" t="s">
        <v>1096</v>
      </c>
      <c r="B119" s="307" t="s">
        <v>458</v>
      </c>
      <c r="C119" s="305">
        <v>0.0</v>
      </c>
      <c r="D119" s="309" t="s">
        <v>461</v>
      </c>
    </row>
    <row r="120">
      <c r="A120" s="310" t="s">
        <v>1097</v>
      </c>
      <c r="B120" s="307" t="s">
        <v>461</v>
      </c>
      <c r="C120" s="305">
        <v>0.0</v>
      </c>
      <c r="D120" s="309">
        <v>0.0</v>
      </c>
    </row>
    <row r="121">
      <c r="A121" s="306" t="s">
        <v>1098</v>
      </c>
      <c r="B121" s="307" t="s">
        <v>516</v>
      </c>
      <c r="C121" s="305">
        <v>0.0</v>
      </c>
      <c r="D121" s="309" t="s">
        <v>450</v>
      </c>
    </row>
    <row r="122">
      <c r="A122" s="306" t="s">
        <v>1099</v>
      </c>
      <c r="B122" s="307" t="s">
        <v>454</v>
      </c>
      <c r="C122" s="322">
        <v>0.0</v>
      </c>
      <c r="D122" s="309" t="s">
        <v>450</v>
      </c>
    </row>
    <row r="123">
      <c r="A123" s="306" t="s">
        <v>1100</v>
      </c>
      <c r="B123" s="307" t="s">
        <v>1019</v>
      </c>
      <c r="C123" s="305">
        <v>0.0</v>
      </c>
      <c r="D123" s="309">
        <v>0.0</v>
      </c>
    </row>
    <row r="124">
      <c r="A124" s="306" t="s">
        <v>1101</v>
      </c>
      <c r="B124" s="307" t="s">
        <v>454</v>
      </c>
      <c r="C124" s="305">
        <v>0.0</v>
      </c>
      <c r="D124" s="309" t="s">
        <v>450</v>
      </c>
    </row>
    <row r="125">
      <c r="A125" s="310" t="s">
        <v>1102</v>
      </c>
      <c r="B125" s="311" t="s">
        <v>942</v>
      </c>
      <c r="C125" s="305">
        <v>0.0</v>
      </c>
      <c r="D125" s="309" t="s">
        <v>461</v>
      </c>
    </row>
    <row r="126">
      <c r="A126" s="306" t="s">
        <v>1103</v>
      </c>
      <c r="B126" s="307" t="s">
        <v>942</v>
      </c>
      <c r="C126" s="305">
        <v>0.0</v>
      </c>
      <c r="D126" s="309" t="s">
        <v>450</v>
      </c>
    </row>
    <row r="127">
      <c r="A127" s="310" t="s">
        <v>1104</v>
      </c>
      <c r="B127" s="311" t="s">
        <v>461</v>
      </c>
      <c r="C127" s="308">
        <v>0.0</v>
      </c>
      <c r="D127" s="309" t="s">
        <v>450</v>
      </c>
    </row>
    <row r="128">
      <c r="A128" s="310" t="s">
        <v>1105</v>
      </c>
      <c r="B128" s="311" t="s">
        <v>494</v>
      </c>
      <c r="C128" s="308">
        <v>0.0</v>
      </c>
      <c r="D128" s="309" t="s">
        <v>454</v>
      </c>
    </row>
    <row r="129">
      <c r="A129" s="310" t="s">
        <v>1106</v>
      </c>
      <c r="B129" s="311" t="s">
        <v>942</v>
      </c>
      <c r="C129" s="308">
        <v>0.0</v>
      </c>
      <c r="D129" s="309" t="s">
        <v>450</v>
      </c>
    </row>
    <row r="130">
      <c r="A130" s="306" t="s">
        <v>1107</v>
      </c>
      <c r="B130" s="307" t="s">
        <v>1019</v>
      </c>
      <c r="C130" s="322">
        <v>0.0</v>
      </c>
      <c r="D130" s="309">
        <v>0.0</v>
      </c>
    </row>
    <row r="131">
      <c r="A131" s="310" t="s">
        <v>1108</v>
      </c>
      <c r="B131" s="311" t="s">
        <v>1019</v>
      </c>
      <c r="C131" s="308">
        <v>0.0</v>
      </c>
      <c r="D131" s="309">
        <v>0.0</v>
      </c>
    </row>
    <row r="132">
      <c r="A132" s="306" t="s">
        <v>1109</v>
      </c>
      <c r="B132" s="311" t="s">
        <v>1019</v>
      </c>
      <c r="C132" s="308">
        <v>0.0</v>
      </c>
      <c r="D132" s="309">
        <v>0.0</v>
      </c>
    </row>
    <row r="133">
      <c r="A133" s="315" t="s">
        <v>1110</v>
      </c>
      <c r="B133" s="307" t="s">
        <v>454</v>
      </c>
      <c r="C133" s="322">
        <v>0.0</v>
      </c>
      <c r="D133" s="309" t="s">
        <v>450</v>
      </c>
    </row>
    <row r="134">
      <c r="A134" s="315" t="s">
        <v>1111</v>
      </c>
      <c r="B134" s="311" t="s">
        <v>942</v>
      </c>
      <c r="C134" s="308">
        <v>0.0</v>
      </c>
      <c r="D134" s="309" t="s">
        <v>454</v>
      </c>
    </row>
    <row r="135">
      <c r="A135" s="315" t="s">
        <v>1112</v>
      </c>
      <c r="B135" s="311" t="s">
        <v>460</v>
      </c>
      <c r="C135" s="305">
        <v>0.0</v>
      </c>
      <c r="D135" s="309" t="s">
        <v>450</v>
      </c>
    </row>
    <row r="136">
      <c r="A136" s="315" t="s">
        <v>1113</v>
      </c>
      <c r="B136" s="307" t="s">
        <v>516</v>
      </c>
      <c r="C136" s="322">
        <v>0.0</v>
      </c>
      <c r="D136" s="309" t="s">
        <v>454</v>
      </c>
    </row>
    <row r="137">
      <c r="A137" s="315" t="s">
        <v>1114</v>
      </c>
      <c r="B137" s="307" t="s">
        <v>456</v>
      </c>
      <c r="C137" s="322">
        <v>0.0</v>
      </c>
      <c r="D137" s="309" t="s">
        <v>461</v>
      </c>
    </row>
    <row r="138">
      <c r="A138" s="306" t="s">
        <v>1115</v>
      </c>
      <c r="B138" s="307" t="s">
        <v>454</v>
      </c>
      <c r="C138" s="308">
        <v>0.0</v>
      </c>
      <c r="D138" s="309">
        <v>0.0</v>
      </c>
    </row>
    <row r="139">
      <c r="A139" s="324" t="s">
        <v>1116</v>
      </c>
      <c r="B139" s="307" t="s">
        <v>456</v>
      </c>
      <c r="C139" s="305">
        <v>0.0</v>
      </c>
      <c r="D139" s="309" t="s">
        <v>450</v>
      </c>
    </row>
    <row r="140">
      <c r="A140" s="325" t="s">
        <v>105</v>
      </c>
      <c r="B140" s="317" t="s">
        <v>1117</v>
      </c>
      <c r="C140" s="318" t="s">
        <v>1118</v>
      </c>
      <c r="D140" s="319" t="s">
        <v>1031</v>
      </c>
    </row>
    <row r="141">
      <c r="A141" s="326" t="s">
        <v>1119</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- 199 )"),44068.0)</f>
        <v>44068</v>
      </c>
      <c r="B1" s="329">
        <f>IFERROR(__xludf.DUMMYFUNCTION("""COMPUTED_VALUE"""),108.0)</f>
        <v>108</v>
      </c>
      <c r="C1" s="329">
        <f>IFERROR(__xludf.DUMMYFUNCTION("""COMPUTED_VALUE"""),95.0)</f>
        <v>95</v>
      </c>
      <c r="D1" s="329">
        <f>IFERROR(__xludf.DUMMYFUNCTION("""COMPUTED_VALUE"""),30894.0)</f>
        <v>30894</v>
      </c>
      <c r="E1" s="329">
        <f>IFERROR(__xludf.DUMMYFUNCTION("""COMPUTED_VALUE"""),4764.0)</f>
        <v>4764</v>
      </c>
      <c r="F1" s="257">
        <f>IFERROR(__xludf.DUMMYFUNCTION("""COMPUTED_VALUE"""),464399.0)</f>
        <v>464399</v>
      </c>
      <c r="G1" s="257">
        <f>IFERROR(__xludf.DUMMYFUNCTION("""COMPUTED_VALUE"""),4872.0)</f>
        <v>4872</v>
      </c>
      <c r="H1" s="257">
        <f>IFERROR(__xludf.DUMMYFUNCTION("""COMPUTED_VALUE"""),495293.0)</f>
        <v>495293</v>
      </c>
      <c r="I1" s="329">
        <f>IFERROR(__xludf.DUMMYFUNCTION("""COMPUTED_VALUE"""),93.0)</f>
        <v>93</v>
      </c>
      <c r="J1" s="329">
        <f>IFERROR(__xludf.DUMMYFUNCTION("""COMPUTED_VALUE"""),75.0)</f>
        <v>75</v>
      </c>
      <c r="K1" s="329">
        <f>IFERROR(__xludf.DUMMYFUNCTION("""COMPUTED_VALUE"""),21492.0)</f>
        <v>21492</v>
      </c>
      <c r="L1" s="329">
        <f>IFERROR(__xludf.DUMMYFUNCTION("""COMPUTED_VALUE"""),2126.0)</f>
        <v>2126</v>
      </c>
      <c r="M1" s="329">
        <f>IFERROR(__xludf.DUMMYFUNCTION("""COMPUTED_VALUE"""),218221.0)</f>
        <v>218221</v>
      </c>
      <c r="N1" s="329">
        <f>IFERROR(__xludf.DUMMYFUNCTION("""COMPUTED_VALUE"""),239713.0)</f>
        <v>239713</v>
      </c>
      <c r="O1" s="329">
        <f>IFERROR(__xludf.DUMMYFUNCTION("""COMPUTED_VALUE"""),10.0)</f>
        <v>10</v>
      </c>
      <c r="P1" s="329">
        <f>IFERROR(__xludf.DUMMYFUNCTION("""COMPUTED_VALUE"""),2443.0)</f>
        <v>2443</v>
      </c>
      <c r="Q1" s="329">
        <f>IFERROR(__xludf.DUMMYFUNCTION("""COMPUTED_VALUE"""),4.0)</f>
        <v>4</v>
      </c>
      <c r="R1" s="329">
        <f>IFERROR(__xludf.DUMMYFUNCTION("""COMPUTED_VALUE"""),2025.0)</f>
        <v>2025</v>
      </c>
      <c r="S1" s="329">
        <f>IFERROR(__xludf.DUMMYFUNCTION("""COMPUTED_VALUE"""),1.0)</f>
        <v>1</v>
      </c>
      <c r="T1" s="329">
        <f>IFERROR(__xludf.DUMMYFUNCTION("""COMPUTED_VALUE"""),336.0)</f>
        <v>336</v>
      </c>
      <c r="U1" s="329">
        <f>IFERROR(__xludf.DUMMYFUNCTION("""COMPUTED_VALUE"""),82.0)</f>
        <v>82</v>
      </c>
      <c r="V1" s="329">
        <f>IFERROR(__xludf.DUMMYFUNCTION("""COMPUTED_VALUE"""),80.0)</f>
        <v>80</v>
      </c>
      <c r="W1" s="329">
        <f>IFERROR(__xludf.DUMMYFUNCTION("""COMPUTED_VALUE"""),12.0)</f>
        <v>12</v>
      </c>
      <c r="X1" s="329">
        <f>IFERROR(__xludf.DUMMYFUNCTION("""COMPUTED_VALUE"""),4.0)</f>
        <v>4</v>
      </c>
      <c r="Y1" s="329">
        <f>IFERROR(__xludf.DUMMYFUNCTION("""COMPUTED_VALUE"""),1.0)</f>
        <v>1</v>
      </c>
      <c r="Z1" s="329">
        <f>IFERROR(__xludf.DUMMYFUNCTION("""COMPUTED_VALUE"""),1068.0)</f>
        <v>1068</v>
      </c>
      <c r="AA1" s="257" t="str">
        <f>IFERROR(__xludf.DUMMYFUNCTION("""COMPUTED_VALUE"""),"--")</f>
        <v>--</v>
      </c>
      <c r="AB1" s="257" t="str">
        <f>IFERROR(__xludf.DUMMYFUNCTION("""COMPUTED_VALUE"""),"--")</f>
        <v>--</v>
      </c>
      <c r="AC1" s="257" t="str">
        <f>IFERROR(__xludf.DUMMYFUNCTION("""COMPUTED_VALUE"""),"--")</f>
        <v>--</v>
      </c>
      <c r="AD1" s="257" t="str">
        <f>IFERROR(__xludf.DUMMYFUNCTION("""COMPUTED_VALUE"""),"--")</f>
        <v>--</v>
      </c>
      <c r="AE1" s="257" t="str">
        <f>IFERROR(__xludf.DUMMYFUNCTION("""COMPUTED_VALUE"""),"--")</f>
        <v>--</v>
      </c>
      <c r="AF1" s="257" t="str">
        <f>IFERROR(__xludf.DUMMYFUNCTION("""COMPUTED_VALUE"""),"--")</f>
        <v>--</v>
      </c>
      <c r="AG1" s="257" t="str">
        <f>IFERROR(__xludf.DUMMYFUNCTION("""COMPUTED_VALUE"""),"--")</f>
        <v>--</v>
      </c>
      <c r="AH1" s="257" t="str">
        <f>IFERROR(__xludf.DUMMYFUNCTION("""COMPUTED_VALUE"""),"--")</f>
        <v>--</v>
      </c>
    </row>
    <row r="2">
      <c r="A2" s="328">
        <f>IFERROR(__xludf.DUMMYFUNCTION("""COMPUTED_VALUE"""),44069.0)</f>
        <v>44069</v>
      </c>
      <c r="B2" s="329">
        <f>IFERROR(__xludf.DUMMYFUNCTION("""COMPUTED_VALUE"""),170.0)</f>
        <v>170</v>
      </c>
      <c r="C2" s="329">
        <f>IFERROR(__xludf.DUMMYFUNCTION("""COMPUTED_VALUE"""),128.0)</f>
        <v>128</v>
      </c>
      <c r="D2" s="329">
        <f>IFERROR(__xludf.DUMMYFUNCTION("""COMPUTED_VALUE"""),31064.0)</f>
        <v>31064</v>
      </c>
      <c r="E2" s="329">
        <f>IFERROR(__xludf.DUMMYFUNCTION("""COMPUTED_VALUE"""),9482.0)</f>
        <v>9482</v>
      </c>
      <c r="F2" s="257">
        <f>IFERROR(__xludf.DUMMYFUNCTION("""COMPUTED_VALUE"""),473881.0)</f>
        <v>473881</v>
      </c>
      <c r="G2" s="257">
        <f>IFERROR(__xludf.DUMMYFUNCTION("""COMPUTED_VALUE"""),9652.0)</f>
        <v>9652</v>
      </c>
      <c r="H2" s="257">
        <f>IFERROR(__xludf.DUMMYFUNCTION("""COMPUTED_VALUE"""),504945.0)</f>
        <v>504945</v>
      </c>
      <c r="I2" s="329">
        <f>IFERROR(__xludf.DUMMYFUNCTION("""COMPUTED_VALUE"""),127.0)</f>
        <v>127</v>
      </c>
      <c r="J2" s="329">
        <f>IFERROR(__xludf.DUMMYFUNCTION("""COMPUTED_VALUE"""),99.0)</f>
        <v>99</v>
      </c>
      <c r="K2" s="329">
        <f>IFERROR(__xludf.DUMMYFUNCTION("""COMPUTED_VALUE"""),21619.0)</f>
        <v>21619</v>
      </c>
      <c r="L2" s="329">
        <f>IFERROR(__xludf.DUMMYFUNCTION("""COMPUTED_VALUE"""),2839.0)</f>
        <v>2839</v>
      </c>
      <c r="M2" s="329">
        <f>IFERROR(__xludf.DUMMYFUNCTION("""COMPUTED_VALUE"""),221060.0)</f>
        <v>221060</v>
      </c>
      <c r="N2" s="329">
        <f>IFERROR(__xludf.DUMMYFUNCTION("""COMPUTED_VALUE"""),242679.0)</f>
        <v>242679</v>
      </c>
      <c r="O2" s="329">
        <f>IFERROR(__xludf.DUMMYFUNCTION("""COMPUTED_VALUE"""),4.0)</f>
        <v>4</v>
      </c>
      <c r="P2" s="329">
        <f>IFERROR(__xludf.DUMMYFUNCTION("""COMPUTED_VALUE"""),2447.0)</f>
        <v>2447</v>
      </c>
      <c r="Q2" s="329">
        <f>IFERROR(__xludf.DUMMYFUNCTION("""COMPUTED_VALUE"""),8.0)</f>
        <v>8</v>
      </c>
      <c r="R2" s="329">
        <f>IFERROR(__xludf.DUMMYFUNCTION("""COMPUTED_VALUE"""),2033.0)</f>
        <v>2033</v>
      </c>
      <c r="S2" s="329">
        <f>IFERROR(__xludf.DUMMYFUNCTION("""COMPUTED_VALUE"""),0.0)</f>
        <v>0</v>
      </c>
      <c r="T2" s="329">
        <f>IFERROR(__xludf.DUMMYFUNCTION("""COMPUTED_VALUE"""),336.0)</f>
        <v>336</v>
      </c>
      <c r="U2" s="329">
        <f>IFERROR(__xludf.DUMMYFUNCTION("""COMPUTED_VALUE"""),78.0)</f>
        <v>78</v>
      </c>
      <c r="V2" s="329">
        <f>IFERROR(__xludf.DUMMYFUNCTION("""COMPUTED_VALUE"""),79.0)</f>
        <v>79</v>
      </c>
      <c r="W2" s="329">
        <f>IFERROR(__xludf.DUMMYFUNCTION("""COMPUTED_VALUE"""),10.0)</f>
        <v>10</v>
      </c>
      <c r="X2" s="329">
        <f>IFERROR(__xludf.DUMMYFUNCTION("""COMPUTED_VALUE"""),5.0)</f>
        <v>5</v>
      </c>
      <c r="Y2" s="329">
        <f>IFERROR(__xludf.DUMMYFUNCTION("""COMPUTED_VALUE"""),1.0)</f>
        <v>1</v>
      </c>
      <c r="Z2" s="329">
        <f>IFERROR(__xludf.DUMMYFUNCTION("""COMPUTED_VALUE"""),1069.0)</f>
        <v>1069</v>
      </c>
      <c r="AA2" s="257" t="str">
        <f>IFERROR(__xludf.DUMMYFUNCTION("""COMPUTED_VALUE"""),"--")</f>
        <v>--</v>
      </c>
      <c r="AB2" s="257" t="str">
        <f>IFERROR(__xludf.DUMMYFUNCTION("""COMPUTED_VALUE"""),"--")</f>
        <v>--</v>
      </c>
      <c r="AC2" s="257" t="str">
        <f>IFERROR(__xludf.DUMMYFUNCTION("""COMPUTED_VALUE"""),"--")</f>
        <v>--</v>
      </c>
      <c r="AD2" s="257" t="str">
        <f>IFERROR(__xludf.DUMMYFUNCTION("""COMPUTED_VALUE"""),"--")</f>
        <v>--</v>
      </c>
      <c r="AE2" s="257" t="str">
        <f>IFERROR(__xludf.DUMMYFUNCTION("""COMPUTED_VALUE"""),"--")</f>
        <v>--</v>
      </c>
      <c r="AF2" s="257" t="str">
        <f>IFERROR(__xludf.DUMMYFUNCTION("""COMPUTED_VALUE"""),"--")</f>
        <v>--</v>
      </c>
      <c r="AG2" s="257" t="str">
        <f>IFERROR(__xludf.DUMMYFUNCTION("""COMPUTED_VALUE"""),"--")</f>
        <v>--</v>
      </c>
      <c r="AH2" s="257" t="str">
        <f>IFERROR(__xludf.DUMMYFUNCTION("""COMPUTED_VALUE"""),"--")</f>
        <v>--</v>
      </c>
    </row>
    <row r="3">
      <c r="A3" s="328">
        <f>IFERROR(__xludf.DUMMYFUNCTION("""COMPUTED_VALUE"""),44070.0)</f>
        <v>44070</v>
      </c>
      <c r="B3" s="329">
        <f>IFERROR(__xludf.DUMMYFUNCTION("""COMPUTED_VALUE"""),91.0)</f>
        <v>91</v>
      </c>
      <c r="C3" s="329">
        <f>IFERROR(__xludf.DUMMYFUNCTION("""COMPUTED_VALUE"""),123.0)</f>
        <v>123</v>
      </c>
      <c r="D3" s="329">
        <f>IFERROR(__xludf.DUMMYFUNCTION("""COMPUTED_VALUE"""),31155.0)</f>
        <v>31155</v>
      </c>
      <c r="E3" s="329">
        <f>IFERROR(__xludf.DUMMYFUNCTION("""COMPUTED_VALUE"""),8566.0)</f>
        <v>8566</v>
      </c>
      <c r="F3" s="257">
        <f>IFERROR(__xludf.DUMMYFUNCTION("""COMPUTED_VALUE"""),482447.0)</f>
        <v>482447</v>
      </c>
      <c r="G3" s="257">
        <f>IFERROR(__xludf.DUMMYFUNCTION("""COMPUTED_VALUE"""),8657.0)</f>
        <v>8657</v>
      </c>
      <c r="H3" s="257">
        <f>IFERROR(__xludf.DUMMYFUNCTION("""COMPUTED_VALUE"""),513602.0)</f>
        <v>513602</v>
      </c>
      <c r="I3" s="329">
        <f>IFERROR(__xludf.DUMMYFUNCTION("""COMPUTED_VALUE"""),69.0)</f>
        <v>69</v>
      </c>
      <c r="J3" s="329">
        <f>IFERROR(__xludf.DUMMYFUNCTION("""COMPUTED_VALUE"""),96.0)</f>
        <v>96</v>
      </c>
      <c r="K3" s="329">
        <f>IFERROR(__xludf.DUMMYFUNCTION("""COMPUTED_VALUE"""),21688.0)</f>
        <v>21688</v>
      </c>
      <c r="L3" s="329">
        <f>IFERROR(__xludf.DUMMYFUNCTION("""COMPUTED_VALUE"""),2902.0)</f>
        <v>2902</v>
      </c>
      <c r="M3" s="329">
        <f>IFERROR(__xludf.DUMMYFUNCTION("""COMPUTED_VALUE"""),223962.0)</f>
        <v>223962</v>
      </c>
      <c r="N3" s="329">
        <f>IFERROR(__xludf.DUMMYFUNCTION("""COMPUTED_VALUE"""),245650.0)</f>
        <v>245650</v>
      </c>
      <c r="O3" s="329">
        <f>IFERROR(__xludf.DUMMYFUNCTION("""COMPUTED_VALUE"""),6.0)</f>
        <v>6</v>
      </c>
      <c r="P3" s="329">
        <f>IFERROR(__xludf.DUMMYFUNCTION("""COMPUTED_VALUE"""),2453.0)</f>
        <v>2453</v>
      </c>
      <c r="Q3" s="329">
        <f>IFERROR(__xludf.DUMMYFUNCTION("""COMPUTED_VALUE"""),14.0)</f>
        <v>14</v>
      </c>
      <c r="R3" s="329">
        <f>IFERROR(__xludf.DUMMYFUNCTION("""COMPUTED_VALUE"""),2047.0)</f>
        <v>2047</v>
      </c>
      <c r="S3" s="329">
        <f>IFERROR(__xludf.DUMMYFUNCTION("""COMPUTED_VALUE"""),1.0)</f>
        <v>1</v>
      </c>
      <c r="T3" s="329">
        <f>IFERROR(__xludf.DUMMYFUNCTION("""COMPUTED_VALUE"""),337.0)</f>
        <v>337</v>
      </c>
      <c r="U3" s="329">
        <f>IFERROR(__xludf.DUMMYFUNCTION("""COMPUTED_VALUE"""),69.0)</f>
        <v>69</v>
      </c>
      <c r="V3" s="329">
        <f>IFERROR(__xludf.DUMMYFUNCTION("""COMPUTED_VALUE"""),76.0)</f>
        <v>76</v>
      </c>
      <c r="W3" s="329">
        <f>IFERROR(__xludf.DUMMYFUNCTION("""COMPUTED_VALUE"""),7.0)</f>
        <v>7</v>
      </c>
      <c r="X3" s="329">
        <f>IFERROR(__xludf.DUMMYFUNCTION("""COMPUTED_VALUE"""),5.0)</f>
        <v>5</v>
      </c>
      <c r="Y3" s="329">
        <f>IFERROR(__xludf.DUMMYFUNCTION("""COMPUTED_VALUE"""),2.0)</f>
        <v>2</v>
      </c>
      <c r="Z3" s="329">
        <f>IFERROR(__xludf.DUMMYFUNCTION("""COMPUTED_VALUE"""),1071.0)</f>
        <v>1071</v>
      </c>
      <c r="AA3" s="257" t="str">
        <f>IFERROR(__xludf.DUMMYFUNCTION("""COMPUTED_VALUE"""),"--")</f>
        <v>--</v>
      </c>
      <c r="AB3" s="257" t="str">
        <f>IFERROR(__xludf.DUMMYFUNCTION("""COMPUTED_VALUE"""),"--")</f>
        <v>--</v>
      </c>
      <c r="AC3" s="257" t="str">
        <f>IFERROR(__xludf.DUMMYFUNCTION("""COMPUTED_VALUE"""),"--")</f>
        <v>--</v>
      </c>
      <c r="AD3" s="257" t="str">
        <f>IFERROR(__xludf.DUMMYFUNCTION("""COMPUTED_VALUE"""),"--")</f>
        <v>--</v>
      </c>
      <c r="AE3" s="257" t="str">
        <f>IFERROR(__xludf.DUMMYFUNCTION("""COMPUTED_VALUE"""),"--")</f>
        <v>--</v>
      </c>
      <c r="AF3" s="257" t="str">
        <f>IFERROR(__xludf.DUMMYFUNCTION("""COMPUTED_VALUE"""),"--")</f>
        <v>--</v>
      </c>
      <c r="AG3" s="257" t="str">
        <f>IFERROR(__xludf.DUMMYFUNCTION("""COMPUTED_VALUE"""),"--")</f>
        <v>--</v>
      </c>
      <c r="AH3" s="257" t="str">
        <f>IFERROR(__xludf.DUMMYFUNCTION("""COMPUTED_VALUE"""),"--")</f>
        <v>--</v>
      </c>
    </row>
    <row r="4">
      <c r="A4" s="328">
        <f>IFERROR(__xludf.DUMMYFUNCTION("""COMPUTED_VALUE"""),44071.0)</f>
        <v>44071</v>
      </c>
      <c r="B4" s="329">
        <f>IFERROR(__xludf.DUMMYFUNCTION("""COMPUTED_VALUE"""),113.0)</f>
        <v>113</v>
      </c>
      <c r="C4" s="329">
        <f>IFERROR(__xludf.DUMMYFUNCTION("""COMPUTED_VALUE"""),125.0)</f>
        <v>125</v>
      </c>
      <c r="D4" s="329">
        <f>IFERROR(__xludf.DUMMYFUNCTION("""COMPUTED_VALUE"""),31268.0)</f>
        <v>31268</v>
      </c>
      <c r="E4" s="329">
        <f>IFERROR(__xludf.DUMMYFUNCTION("""COMPUTED_VALUE"""),7993.0)</f>
        <v>7993</v>
      </c>
      <c r="F4" s="257">
        <f>IFERROR(__xludf.DUMMYFUNCTION("""COMPUTED_VALUE"""),490440.0)</f>
        <v>490440</v>
      </c>
      <c r="G4" s="257">
        <f>IFERROR(__xludf.DUMMYFUNCTION("""COMPUTED_VALUE"""),8106.0)</f>
        <v>8106</v>
      </c>
      <c r="H4" s="257">
        <f>IFERROR(__xludf.DUMMYFUNCTION("""COMPUTED_VALUE"""),521708.0)</f>
        <v>521708</v>
      </c>
      <c r="I4" s="329">
        <f>IFERROR(__xludf.DUMMYFUNCTION("""COMPUTED_VALUE"""),86.0)</f>
        <v>86</v>
      </c>
      <c r="J4" s="329">
        <f>IFERROR(__xludf.DUMMYFUNCTION("""COMPUTED_VALUE"""),94.0)</f>
        <v>94</v>
      </c>
      <c r="K4" s="329">
        <f>IFERROR(__xludf.DUMMYFUNCTION("""COMPUTED_VALUE"""),21774.0)</f>
        <v>21774</v>
      </c>
      <c r="L4" s="329">
        <f>IFERROR(__xludf.DUMMYFUNCTION("""COMPUTED_VALUE"""),2229.0)</f>
        <v>2229</v>
      </c>
      <c r="M4" s="329">
        <f>IFERROR(__xludf.DUMMYFUNCTION("""COMPUTED_VALUE"""),226191.0)</f>
        <v>226191</v>
      </c>
      <c r="N4" s="329">
        <f>IFERROR(__xludf.DUMMYFUNCTION("""COMPUTED_VALUE"""),247965.0)</f>
        <v>247965</v>
      </c>
      <c r="O4" s="329">
        <f>IFERROR(__xludf.DUMMYFUNCTION("""COMPUTED_VALUE"""),14.0)</f>
        <v>14</v>
      </c>
      <c r="P4" s="329">
        <f>IFERROR(__xludf.DUMMYFUNCTION("""COMPUTED_VALUE"""),2467.0)</f>
        <v>2467</v>
      </c>
      <c r="Q4" s="329">
        <f>IFERROR(__xludf.DUMMYFUNCTION("""COMPUTED_VALUE"""),3.0)</f>
        <v>3</v>
      </c>
      <c r="R4" s="329">
        <f>IFERROR(__xludf.DUMMYFUNCTION("""COMPUTED_VALUE"""),2050.0)</f>
        <v>2050</v>
      </c>
      <c r="S4" s="329">
        <f>IFERROR(__xludf.DUMMYFUNCTION("""COMPUTED_VALUE"""),0.0)</f>
        <v>0</v>
      </c>
      <c r="T4" s="329">
        <f>IFERROR(__xludf.DUMMYFUNCTION("""COMPUTED_VALUE"""),337.0)</f>
        <v>337</v>
      </c>
      <c r="U4" s="329">
        <f>IFERROR(__xludf.DUMMYFUNCTION("""COMPUTED_VALUE"""),80.0)</f>
        <v>80</v>
      </c>
      <c r="V4" s="329">
        <f>IFERROR(__xludf.DUMMYFUNCTION("""COMPUTED_VALUE"""),76.0)</f>
        <v>76</v>
      </c>
      <c r="W4" s="329">
        <f>IFERROR(__xludf.DUMMYFUNCTION("""COMPUTED_VALUE"""),10.0)</f>
        <v>10</v>
      </c>
      <c r="X4" s="329">
        <f>IFERROR(__xludf.DUMMYFUNCTION("""COMPUTED_VALUE"""),7.0)</f>
        <v>7</v>
      </c>
      <c r="Y4" s="329">
        <f>IFERROR(__xludf.DUMMYFUNCTION("""COMPUTED_VALUE"""),2.0)</f>
        <v>2</v>
      </c>
      <c r="Z4" s="329">
        <f>IFERROR(__xludf.DUMMYFUNCTION("""COMPUTED_VALUE"""),1073.0)</f>
        <v>1073</v>
      </c>
      <c r="AA4" s="257" t="str">
        <f>IFERROR(__xludf.DUMMYFUNCTION("""COMPUTED_VALUE"""),"--")</f>
        <v>--</v>
      </c>
      <c r="AB4" s="257" t="str">
        <f>IFERROR(__xludf.DUMMYFUNCTION("""COMPUTED_VALUE"""),"--")</f>
        <v>--</v>
      </c>
      <c r="AC4" s="257" t="str">
        <f>IFERROR(__xludf.DUMMYFUNCTION("""COMPUTED_VALUE"""),"--")</f>
        <v>--</v>
      </c>
      <c r="AD4" s="257" t="str">
        <f>IFERROR(__xludf.DUMMYFUNCTION("""COMPUTED_VALUE"""),"--")</f>
        <v>--</v>
      </c>
      <c r="AE4" s="257" t="str">
        <f>IFERROR(__xludf.DUMMYFUNCTION("""COMPUTED_VALUE"""),"--")</f>
        <v>--</v>
      </c>
      <c r="AF4" s="257" t="str">
        <f>IFERROR(__xludf.DUMMYFUNCTION("""COMPUTED_VALUE"""),"--")</f>
        <v>--</v>
      </c>
      <c r="AG4" s="257" t="str">
        <f>IFERROR(__xludf.DUMMYFUNCTION("""COMPUTED_VALUE"""),"--")</f>
        <v>--</v>
      </c>
      <c r="AH4" s="257" t="str">
        <f>IFERROR(__xludf.DUMMYFUNCTION("""COMPUTED_VALUE"""),"--")</f>
        <v>--</v>
      </c>
    </row>
    <row r="5">
      <c r="A5" s="328">
        <f>IFERROR(__xludf.DUMMYFUNCTION("""COMPUTED_VALUE"""),44072.0)</f>
        <v>44072</v>
      </c>
      <c r="B5" s="329">
        <f>IFERROR(__xludf.DUMMYFUNCTION("""COMPUTED_VALUE"""),65.0)</f>
        <v>65</v>
      </c>
      <c r="C5" s="329">
        <f>IFERROR(__xludf.DUMMYFUNCTION("""COMPUTED_VALUE"""),90.0)</f>
        <v>90</v>
      </c>
      <c r="D5" s="329">
        <f>IFERROR(__xludf.DUMMYFUNCTION("""COMPUTED_VALUE"""),31333.0)</f>
        <v>31333</v>
      </c>
      <c r="E5" s="329">
        <f>IFERROR(__xludf.DUMMYFUNCTION("""COMPUTED_VALUE"""),5375.0)</f>
        <v>5375</v>
      </c>
      <c r="F5" s="257">
        <f>IFERROR(__xludf.DUMMYFUNCTION("""COMPUTED_VALUE"""),495815.0)</f>
        <v>495815</v>
      </c>
      <c r="G5" s="257">
        <f>IFERROR(__xludf.DUMMYFUNCTION("""COMPUTED_VALUE"""),5440.0)</f>
        <v>5440</v>
      </c>
      <c r="H5" s="257">
        <f>IFERROR(__xludf.DUMMYFUNCTION("""COMPUTED_VALUE"""),527148.0)</f>
        <v>527148</v>
      </c>
      <c r="I5" s="329">
        <f>IFERROR(__xludf.DUMMYFUNCTION("""COMPUTED_VALUE"""),52.0)</f>
        <v>52</v>
      </c>
      <c r="J5" s="329">
        <f>IFERROR(__xludf.DUMMYFUNCTION("""COMPUTED_VALUE"""),69.0)</f>
        <v>69</v>
      </c>
      <c r="K5" s="329">
        <f>IFERROR(__xludf.DUMMYFUNCTION("""COMPUTED_VALUE"""),21826.0)</f>
        <v>21826</v>
      </c>
      <c r="L5" s="329">
        <f>IFERROR(__xludf.DUMMYFUNCTION("""COMPUTED_VALUE"""),1779.0)</f>
        <v>1779</v>
      </c>
      <c r="M5" s="329">
        <f>IFERROR(__xludf.DUMMYFUNCTION("""COMPUTED_VALUE"""),227970.0)</f>
        <v>227970</v>
      </c>
      <c r="N5" s="329">
        <f>IFERROR(__xludf.DUMMYFUNCTION("""COMPUTED_VALUE"""),249796.0)</f>
        <v>249796</v>
      </c>
      <c r="O5" s="329">
        <f>IFERROR(__xludf.DUMMYFUNCTION("""COMPUTED_VALUE"""),6.0)</f>
        <v>6</v>
      </c>
      <c r="P5" s="329">
        <f>IFERROR(__xludf.DUMMYFUNCTION("""COMPUTED_VALUE"""),2473.0)</f>
        <v>2473</v>
      </c>
      <c r="Q5" s="329">
        <f>IFERROR(__xludf.DUMMYFUNCTION("""COMPUTED_VALUE"""),8.0)</f>
        <v>8</v>
      </c>
      <c r="R5" s="329">
        <f>IFERROR(__xludf.DUMMYFUNCTION("""COMPUTED_VALUE"""),2058.0)</f>
        <v>2058</v>
      </c>
      <c r="S5" s="329">
        <f>IFERROR(__xludf.DUMMYFUNCTION("""COMPUTED_VALUE"""),1.0)</f>
        <v>1</v>
      </c>
      <c r="T5" s="329">
        <f>IFERROR(__xludf.DUMMYFUNCTION("""COMPUTED_VALUE"""),338.0)</f>
        <v>338</v>
      </c>
      <c r="U5" s="329">
        <f>IFERROR(__xludf.DUMMYFUNCTION("""COMPUTED_VALUE"""),77.0)</f>
        <v>77</v>
      </c>
      <c r="V5" s="329">
        <f>IFERROR(__xludf.DUMMYFUNCTION("""COMPUTED_VALUE"""),75.0)</f>
        <v>75</v>
      </c>
      <c r="W5" s="329">
        <f>IFERROR(__xludf.DUMMYFUNCTION("""COMPUTED_VALUE"""),11.0)</f>
        <v>11</v>
      </c>
      <c r="X5" s="329">
        <f>IFERROR(__xludf.DUMMYFUNCTION("""COMPUTED_VALUE"""),6.0)</f>
        <v>6</v>
      </c>
      <c r="Y5" s="329">
        <f>IFERROR(__xludf.DUMMYFUNCTION("""COMPUTED_VALUE"""),2.0)</f>
        <v>2</v>
      </c>
      <c r="Z5" s="329">
        <f>IFERROR(__xludf.DUMMYFUNCTION("""COMPUTED_VALUE"""),1075.0)</f>
        <v>1075</v>
      </c>
      <c r="AA5" s="257" t="str">
        <f>IFERROR(__xludf.DUMMYFUNCTION("""COMPUTED_VALUE"""),"--")</f>
        <v>--</v>
      </c>
      <c r="AB5" s="257" t="str">
        <f>IFERROR(__xludf.DUMMYFUNCTION("""COMPUTED_VALUE"""),"--")</f>
        <v>--</v>
      </c>
      <c r="AC5" s="257" t="str">
        <f>IFERROR(__xludf.DUMMYFUNCTION("""COMPUTED_VALUE"""),"--")</f>
        <v>--</v>
      </c>
      <c r="AD5" s="257" t="str">
        <f>IFERROR(__xludf.DUMMYFUNCTION("""COMPUTED_VALUE"""),"--")</f>
        <v>--</v>
      </c>
      <c r="AE5" s="257" t="str">
        <f>IFERROR(__xludf.DUMMYFUNCTION("""COMPUTED_VALUE"""),"--")</f>
        <v>--</v>
      </c>
      <c r="AF5" s="257" t="str">
        <f>IFERROR(__xludf.DUMMYFUNCTION("""COMPUTED_VALUE"""),"--")</f>
        <v>--</v>
      </c>
      <c r="AG5" s="257" t="str">
        <f>IFERROR(__xludf.DUMMYFUNCTION("""COMPUTED_VALUE"""),"--")</f>
        <v>--</v>
      </c>
      <c r="AH5" s="257" t="str">
        <f>IFERROR(__xludf.DUMMYFUNCTION("""COMPUTED_VALUE"""),"--")</f>
        <v>--</v>
      </c>
    </row>
    <row r="6">
      <c r="A6" s="328">
        <f>IFERROR(__xludf.DUMMYFUNCTION("""COMPUTED_VALUE"""),44073.0)</f>
        <v>44073</v>
      </c>
      <c r="B6" s="329">
        <f>IFERROR(__xludf.DUMMYFUNCTION("""COMPUTED_VALUE"""),66.0)</f>
        <v>66</v>
      </c>
      <c r="C6" s="329">
        <f>IFERROR(__xludf.DUMMYFUNCTION("""COMPUTED_VALUE"""),81.0)</f>
        <v>81</v>
      </c>
      <c r="D6" s="329">
        <f>IFERROR(__xludf.DUMMYFUNCTION("""COMPUTED_VALUE"""),31399.0)</f>
        <v>31399</v>
      </c>
      <c r="E6" s="329">
        <f>IFERROR(__xludf.DUMMYFUNCTION("""COMPUTED_VALUE"""),4323.0)</f>
        <v>4323</v>
      </c>
      <c r="F6" s="257">
        <f>IFERROR(__xludf.DUMMYFUNCTION("""COMPUTED_VALUE"""),500138.0)</f>
        <v>500138</v>
      </c>
      <c r="G6" s="257">
        <f>IFERROR(__xludf.DUMMYFUNCTION("""COMPUTED_VALUE"""),4389.0)</f>
        <v>4389</v>
      </c>
      <c r="H6" s="257">
        <f>IFERROR(__xludf.DUMMYFUNCTION("""COMPUTED_VALUE"""),531537.0)</f>
        <v>531537</v>
      </c>
      <c r="I6" s="329">
        <f>IFERROR(__xludf.DUMMYFUNCTION("""COMPUTED_VALUE"""),48.0)</f>
        <v>48</v>
      </c>
      <c r="J6" s="329">
        <f>IFERROR(__xludf.DUMMYFUNCTION("""COMPUTED_VALUE"""),62.0)</f>
        <v>62</v>
      </c>
      <c r="K6" s="329">
        <f>IFERROR(__xludf.DUMMYFUNCTION("""COMPUTED_VALUE"""),21874.0)</f>
        <v>21874</v>
      </c>
      <c r="L6" s="329">
        <f>IFERROR(__xludf.DUMMYFUNCTION("""COMPUTED_VALUE"""),1851.0)</f>
        <v>1851</v>
      </c>
      <c r="M6" s="329">
        <f>IFERROR(__xludf.DUMMYFUNCTION("""COMPUTED_VALUE"""),229821.0)</f>
        <v>229821</v>
      </c>
      <c r="N6" s="329">
        <f>IFERROR(__xludf.DUMMYFUNCTION("""COMPUTED_VALUE"""),251695.0)</f>
        <v>251695</v>
      </c>
      <c r="O6" s="329">
        <f>IFERROR(__xludf.DUMMYFUNCTION("""COMPUTED_VALUE"""),7.0)</f>
        <v>7</v>
      </c>
      <c r="P6" s="329">
        <f>IFERROR(__xludf.DUMMYFUNCTION("""COMPUTED_VALUE"""),2480.0)</f>
        <v>2480</v>
      </c>
      <c r="Q6" s="329">
        <f>IFERROR(__xludf.DUMMYFUNCTION("""COMPUTED_VALUE"""),4.0)</f>
        <v>4</v>
      </c>
      <c r="R6" s="329">
        <f>IFERROR(__xludf.DUMMYFUNCTION("""COMPUTED_VALUE"""),2062.0)</f>
        <v>2062</v>
      </c>
      <c r="S6" s="329">
        <f>IFERROR(__xludf.DUMMYFUNCTION("""COMPUTED_VALUE"""),0.0)</f>
        <v>0</v>
      </c>
      <c r="T6" s="329">
        <f>IFERROR(__xludf.DUMMYFUNCTION("""COMPUTED_VALUE"""),338.0)</f>
        <v>338</v>
      </c>
      <c r="U6" s="329">
        <f>IFERROR(__xludf.DUMMYFUNCTION("""COMPUTED_VALUE"""),80.0)</f>
        <v>80</v>
      </c>
      <c r="V6" s="329">
        <f>IFERROR(__xludf.DUMMYFUNCTION("""COMPUTED_VALUE"""),79.0)</f>
        <v>79</v>
      </c>
      <c r="W6" s="329">
        <f>IFERROR(__xludf.DUMMYFUNCTION("""COMPUTED_VALUE"""),9.0)</f>
        <v>9</v>
      </c>
      <c r="X6" s="329">
        <f>IFERROR(__xludf.DUMMYFUNCTION("""COMPUTED_VALUE"""),5.0)</f>
        <v>5</v>
      </c>
      <c r="Y6" s="329">
        <f>IFERROR(__xludf.DUMMYFUNCTION("""COMPUTED_VALUE"""),2.0)</f>
        <v>2</v>
      </c>
      <c r="Z6" s="329">
        <f>IFERROR(__xludf.DUMMYFUNCTION("""COMPUTED_VALUE"""),1077.0)</f>
        <v>1077</v>
      </c>
      <c r="AA6" s="257" t="str">
        <f>IFERROR(__xludf.DUMMYFUNCTION("""COMPUTED_VALUE"""),"--")</f>
        <v>--</v>
      </c>
      <c r="AB6" s="257" t="str">
        <f>IFERROR(__xludf.DUMMYFUNCTION("""COMPUTED_VALUE"""),"--")</f>
        <v>--</v>
      </c>
      <c r="AC6" s="257" t="str">
        <f>IFERROR(__xludf.DUMMYFUNCTION("""COMPUTED_VALUE"""),"--")</f>
        <v>--</v>
      </c>
      <c r="AD6" s="257" t="str">
        <f>IFERROR(__xludf.DUMMYFUNCTION("""COMPUTED_VALUE"""),"--")</f>
        <v>--</v>
      </c>
      <c r="AE6" s="257" t="str">
        <f>IFERROR(__xludf.DUMMYFUNCTION("""COMPUTED_VALUE"""),"--")</f>
        <v>--</v>
      </c>
      <c r="AF6" s="257" t="str">
        <f>IFERROR(__xludf.DUMMYFUNCTION("""COMPUTED_VALUE"""),"--")</f>
        <v>--</v>
      </c>
      <c r="AG6" s="257" t="str">
        <f>IFERROR(__xludf.DUMMYFUNCTION("""COMPUTED_VALUE"""),"--")</f>
        <v>--</v>
      </c>
      <c r="AH6" s="257" t="str">
        <f>IFERROR(__xludf.DUMMYFUNCTION("""COMPUTED_VALUE"""),"--")</f>
        <v>--</v>
      </c>
    </row>
    <row r="7">
      <c r="A7" s="328">
        <f>IFERROR(__xludf.DUMMYFUNCTION("""COMPUTED_VALUE"""),44074.0)</f>
        <v>44074</v>
      </c>
      <c r="B7" s="329">
        <f>IFERROR(__xludf.DUMMYFUNCTION("""COMPUTED_VALUE"""),105.0)</f>
        <v>105</v>
      </c>
      <c r="C7" s="329">
        <f>IFERROR(__xludf.DUMMYFUNCTION("""COMPUTED_VALUE"""),79.0)</f>
        <v>79</v>
      </c>
      <c r="D7" s="329">
        <f>IFERROR(__xludf.DUMMYFUNCTION("""COMPUTED_VALUE"""),31504.0)</f>
        <v>31504</v>
      </c>
      <c r="E7" s="329">
        <f>IFERROR(__xludf.DUMMYFUNCTION("""COMPUTED_VALUE"""),4864.0)</f>
        <v>4864</v>
      </c>
      <c r="F7" s="257">
        <f>IFERROR(__xludf.DUMMYFUNCTION("""COMPUTED_VALUE"""),505002.0)</f>
        <v>505002</v>
      </c>
      <c r="G7" s="257">
        <f>IFERROR(__xludf.DUMMYFUNCTION("""COMPUTED_VALUE"""),4969.0)</f>
        <v>4969</v>
      </c>
      <c r="H7" s="257">
        <f>IFERROR(__xludf.DUMMYFUNCTION("""COMPUTED_VALUE"""),536506.0)</f>
        <v>536506</v>
      </c>
      <c r="I7" s="329">
        <f>IFERROR(__xludf.DUMMYFUNCTION("""COMPUTED_VALUE"""),81.0)</f>
        <v>81</v>
      </c>
      <c r="J7" s="329">
        <f>IFERROR(__xludf.DUMMYFUNCTION("""COMPUTED_VALUE"""),60.0)</f>
        <v>60</v>
      </c>
      <c r="K7" s="329">
        <f>IFERROR(__xludf.DUMMYFUNCTION("""COMPUTED_VALUE"""),21955.0)</f>
        <v>21955</v>
      </c>
      <c r="L7" s="329">
        <f>IFERROR(__xludf.DUMMYFUNCTION("""COMPUTED_VALUE"""),2042.0)</f>
        <v>2042</v>
      </c>
      <c r="M7" s="329">
        <f>IFERROR(__xludf.DUMMYFUNCTION("""COMPUTED_VALUE"""),231863.0)</f>
        <v>231863</v>
      </c>
      <c r="N7" s="329">
        <f>IFERROR(__xludf.DUMMYFUNCTION("""COMPUTED_VALUE"""),253818.0)</f>
        <v>253818</v>
      </c>
      <c r="O7" s="329">
        <f>IFERROR(__xludf.DUMMYFUNCTION("""COMPUTED_VALUE"""),12.0)</f>
        <v>12</v>
      </c>
      <c r="P7" s="329">
        <f>IFERROR(__xludf.DUMMYFUNCTION("""COMPUTED_VALUE"""),2492.0)</f>
        <v>2492</v>
      </c>
      <c r="Q7" s="329">
        <f>IFERROR(__xludf.DUMMYFUNCTION("""COMPUTED_VALUE"""),16.0)</f>
        <v>16</v>
      </c>
      <c r="R7" s="329">
        <f>IFERROR(__xludf.DUMMYFUNCTION("""COMPUTED_VALUE"""),2078.0)</f>
        <v>2078</v>
      </c>
      <c r="S7" s="329">
        <f>IFERROR(__xludf.DUMMYFUNCTION("""COMPUTED_VALUE"""),0.0)</f>
        <v>0</v>
      </c>
      <c r="T7" s="329">
        <f>IFERROR(__xludf.DUMMYFUNCTION("""COMPUTED_VALUE"""),338.0)</f>
        <v>338</v>
      </c>
      <c r="U7" s="329">
        <f>IFERROR(__xludf.DUMMYFUNCTION("""COMPUTED_VALUE"""),76.0)</f>
        <v>76</v>
      </c>
      <c r="V7" s="329">
        <f>IFERROR(__xludf.DUMMYFUNCTION("""COMPUTED_VALUE"""),78.0)</f>
        <v>78</v>
      </c>
      <c r="W7" s="329">
        <f>IFERROR(__xludf.DUMMYFUNCTION("""COMPUTED_VALUE"""),8.0)</f>
        <v>8</v>
      </c>
      <c r="X7" s="329">
        <f>IFERROR(__xludf.DUMMYFUNCTION("""COMPUTED_VALUE"""),4.0)</f>
        <v>4</v>
      </c>
      <c r="Y7" s="329">
        <f>IFERROR(__xludf.DUMMYFUNCTION("""COMPUTED_VALUE"""),1.0)</f>
        <v>1</v>
      </c>
      <c r="Z7" s="329">
        <f>IFERROR(__xludf.DUMMYFUNCTION("""COMPUTED_VALUE"""),1078.0)</f>
        <v>1078</v>
      </c>
      <c r="AA7" s="257" t="str">
        <f>IFERROR(__xludf.DUMMYFUNCTION("""COMPUTED_VALUE"""),"--")</f>
        <v>--</v>
      </c>
      <c r="AB7" s="257" t="str">
        <f>IFERROR(__xludf.DUMMYFUNCTION("""COMPUTED_VALUE"""),"--")</f>
        <v>--</v>
      </c>
      <c r="AC7" s="257" t="str">
        <f>IFERROR(__xludf.DUMMYFUNCTION("""COMPUTED_VALUE"""),"--")</f>
        <v>--</v>
      </c>
      <c r="AD7" s="257" t="str">
        <f>IFERROR(__xludf.DUMMYFUNCTION("""COMPUTED_VALUE"""),"--")</f>
        <v>--</v>
      </c>
      <c r="AE7" s="257" t="str">
        <f>IFERROR(__xludf.DUMMYFUNCTION("""COMPUTED_VALUE"""),"--")</f>
        <v>--</v>
      </c>
      <c r="AF7" s="257" t="str">
        <f>IFERROR(__xludf.DUMMYFUNCTION("""COMPUTED_VALUE"""),"--")</f>
        <v>--</v>
      </c>
      <c r="AG7" s="257" t="str">
        <f>IFERROR(__xludf.DUMMYFUNCTION("""COMPUTED_VALUE"""),"--")</f>
        <v>--</v>
      </c>
      <c r="AH7" s="257" t="str">
        <f>IFERROR(__xludf.DUMMYFUNCTION("""COMPUTED_VALUE"""),"--")</f>
        <v>--</v>
      </c>
    </row>
    <row r="8">
      <c r="A8" s="328">
        <f>IFERROR(__xludf.DUMMYFUNCTION("""COMPUTED_VALUE"""),44075.0)</f>
        <v>44075</v>
      </c>
      <c r="B8" s="329">
        <f>IFERROR(__xludf.DUMMYFUNCTION("""COMPUTED_VALUE"""),99.0)</f>
        <v>99</v>
      </c>
      <c r="C8" s="329">
        <f>IFERROR(__xludf.DUMMYFUNCTION("""COMPUTED_VALUE"""),90.0)</f>
        <v>90</v>
      </c>
      <c r="D8" s="329">
        <f>IFERROR(__xludf.DUMMYFUNCTION("""COMPUTED_VALUE"""),31603.0)</f>
        <v>31603</v>
      </c>
      <c r="E8" s="329">
        <f>IFERROR(__xludf.DUMMYFUNCTION("""COMPUTED_VALUE"""),7109.0)</f>
        <v>7109</v>
      </c>
      <c r="F8" s="257">
        <f>IFERROR(__xludf.DUMMYFUNCTION("""COMPUTED_VALUE"""),512111.0)</f>
        <v>512111</v>
      </c>
      <c r="G8" s="257">
        <f>IFERROR(__xludf.DUMMYFUNCTION("""COMPUTED_VALUE"""),7208.0)</f>
        <v>7208</v>
      </c>
      <c r="H8" s="257">
        <f>IFERROR(__xludf.DUMMYFUNCTION("""COMPUTED_VALUE"""),543714.0)</f>
        <v>543714</v>
      </c>
      <c r="I8" s="329">
        <f>IFERROR(__xludf.DUMMYFUNCTION("""COMPUTED_VALUE"""),66.0)</f>
        <v>66</v>
      </c>
      <c r="J8" s="329">
        <f>IFERROR(__xludf.DUMMYFUNCTION("""COMPUTED_VALUE"""),65.0)</f>
        <v>65</v>
      </c>
      <c r="K8" s="329">
        <f>IFERROR(__xludf.DUMMYFUNCTION("""COMPUTED_VALUE"""),22021.0)</f>
        <v>22021</v>
      </c>
      <c r="L8" s="329">
        <f>IFERROR(__xludf.DUMMYFUNCTION("""COMPUTED_VALUE"""),2215.0)</f>
        <v>2215</v>
      </c>
      <c r="M8" s="329">
        <f>IFERROR(__xludf.DUMMYFUNCTION("""COMPUTED_VALUE"""),234078.0)</f>
        <v>234078</v>
      </c>
      <c r="N8" s="329">
        <f>IFERROR(__xludf.DUMMYFUNCTION("""COMPUTED_VALUE"""),256099.0)</f>
        <v>256099</v>
      </c>
      <c r="O8" s="329">
        <f>IFERROR(__xludf.DUMMYFUNCTION("""COMPUTED_VALUE"""),6.0)</f>
        <v>6</v>
      </c>
      <c r="P8" s="329">
        <f>IFERROR(__xludf.DUMMYFUNCTION("""COMPUTED_VALUE"""),2498.0)</f>
        <v>2498</v>
      </c>
      <c r="Q8" s="329">
        <f>IFERROR(__xludf.DUMMYFUNCTION("""COMPUTED_VALUE"""),9.0)</f>
        <v>9</v>
      </c>
      <c r="R8" s="329">
        <f>IFERROR(__xludf.DUMMYFUNCTION("""COMPUTED_VALUE"""),2087.0)</f>
        <v>2087</v>
      </c>
      <c r="S8" s="329">
        <f>IFERROR(__xludf.DUMMYFUNCTION("""COMPUTED_VALUE"""),1.0)</f>
        <v>1</v>
      </c>
      <c r="T8" s="329">
        <f>IFERROR(__xludf.DUMMYFUNCTION("""COMPUTED_VALUE"""),339.0)</f>
        <v>339</v>
      </c>
      <c r="U8" s="329">
        <f>IFERROR(__xludf.DUMMYFUNCTION("""COMPUTED_VALUE"""),72.0)</f>
        <v>72</v>
      </c>
      <c r="V8" s="329">
        <f>IFERROR(__xludf.DUMMYFUNCTION("""COMPUTED_VALUE"""),76.0)</f>
        <v>76</v>
      </c>
      <c r="W8" s="329">
        <f>IFERROR(__xludf.DUMMYFUNCTION("""COMPUTED_VALUE"""),7.0)</f>
        <v>7</v>
      </c>
      <c r="X8" s="329">
        <f>IFERROR(__xludf.DUMMYFUNCTION("""COMPUTED_VALUE"""),4.0)</f>
        <v>4</v>
      </c>
      <c r="Y8" s="329">
        <f>IFERROR(__xludf.DUMMYFUNCTION("""COMPUTED_VALUE"""),2.0)</f>
        <v>2</v>
      </c>
      <c r="Z8" s="329">
        <f>IFERROR(__xludf.DUMMYFUNCTION("""COMPUTED_VALUE"""),1080.0)</f>
        <v>1080</v>
      </c>
      <c r="AA8" s="257" t="str">
        <f>IFERROR(__xludf.DUMMYFUNCTION("""COMPUTED_VALUE"""),"--")</f>
        <v>--</v>
      </c>
      <c r="AB8" s="257" t="str">
        <f>IFERROR(__xludf.DUMMYFUNCTION("""COMPUTED_VALUE"""),"--")</f>
        <v>--</v>
      </c>
      <c r="AC8" s="257" t="str">
        <f>IFERROR(__xludf.DUMMYFUNCTION("""COMPUTED_VALUE"""),"--")</f>
        <v>--</v>
      </c>
      <c r="AD8" s="257" t="str">
        <f>IFERROR(__xludf.DUMMYFUNCTION("""COMPUTED_VALUE"""),"--")</f>
        <v>--</v>
      </c>
      <c r="AE8" s="257" t="str">
        <f>IFERROR(__xludf.DUMMYFUNCTION("""COMPUTED_VALUE"""),"--")</f>
        <v>--</v>
      </c>
      <c r="AF8" s="257" t="str">
        <f>IFERROR(__xludf.DUMMYFUNCTION("""COMPUTED_VALUE"""),"--")</f>
        <v>--</v>
      </c>
      <c r="AG8" s="257" t="str">
        <f>IFERROR(__xludf.DUMMYFUNCTION("""COMPUTED_VALUE"""),"--")</f>
        <v>--</v>
      </c>
      <c r="AH8" s="257" t="str">
        <f>IFERROR(__xludf.DUMMYFUNCTION("""COMPUTED_VALUE"""),"--")</f>
        <v>--</v>
      </c>
    </row>
    <row r="9">
      <c r="A9" s="328">
        <f>IFERROR(__xludf.DUMMYFUNCTION("""COMPUTED_VALUE"""),44076.0)</f>
        <v>44076</v>
      </c>
      <c r="B9" s="329">
        <f>IFERROR(__xludf.DUMMYFUNCTION("""COMPUTED_VALUE"""),125.0)</f>
        <v>125</v>
      </c>
      <c r="C9" s="329">
        <f>IFERROR(__xludf.DUMMYFUNCTION("""COMPUTED_VALUE"""),110.0)</f>
        <v>110</v>
      </c>
      <c r="D9" s="329">
        <f>IFERROR(__xludf.DUMMYFUNCTION("""COMPUTED_VALUE"""),31728.0)</f>
        <v>31728</v>
      </c>
      <c r="E9" s="329">
        <f>IFERROR(__xludf.DUMMYFUNCTION("""COMPUTED_VALUE"""),10528.0)</f>
        <v>10528</v>
      </c>
      <c r="F9" s="257">
        <f>IFERROR(__xludf.DUMMYFUNCTION("""COMPUTED_VALUE"""),522639.0)</f>
        <v>522639</v>
      </c>
      <c r="G9" s="257">
        <f>IFERROR(__xludf.DUMMYFUNCTION("""COMPUTED_VALUE"""),10653.0)</f>
        <v>10653</v>
      </c>
      <c r="H9" s="257">
        <f>IFERROR(__xludf.DUMMYFUNCTION("""COMPUTED_VALUE"""),554367.0)</f>
        <v>554367</v>
      </c>
      <c r="I9" s="329">
        <f>IFERROR(__xludf.DUMMYFUNCTION("""COMPUTED_VALUE"""),104.0)</f>
        <v>104</v>
      </c>
      <c r="J9" s="329">
        <f>IFERROR(__xludf.DUMMYFUNCTION("""COMPUTED_VALUE"""),84.0)</f>
        <v>84</v>
      </c>
      <c r="K9" s="329">
        <f>IFERROR(__xludf.DUMMYFUNCTION("""COMPUTED_VALUE"""),22125.0)</f>
        <v>22125</v>
      </c>
      <c r="L9" s="329">
        <f>IFERROR(__xludf.DUMMYFUNCTION("""COMPUTED_VALUE"""),2823.0)</f>
        <v>2823</v>
      </c>
      <c r="M9" s="329">
        <f>IFERROR(__xludf.DUMMYFUNCTION("""COMPUTED_VALUE"""),236901.0)</f>
        <v>236901</v>
      </c>
      <c r="N9" s="329">
        <f>IFERROR(__xludf.DUMMYFUNCTION("""COMPUTED_VALUE"""),259026.0)</f>
        <v>259026</v>
      </c>
      <c r="O9" s="329">
        <f>IFERROR(__xludf.DUMMYFUNCTION("""COMPUTED_VALUE"""),9.0)</f>
        <v>9</v>
      </c>
      <c r="P9" s="329">
        <f>IFERROR(__xludf.DUMMYFUNCTION("""COMPUTED_VALUE"""),2507.0)</f>
        <v>2507</v>
      </c>
      <c r="Q9" s="329">
        <f>IFERROR(__xludf.DUMMYFUNCTION("""COMPUTED_VALUE"""),10.0)</f>
        <v>10</v>
      </c>
      <c r="R9" s="329">
        <f>IFERROR(__xludf.DUMMYFUNCTION("""COMPUTED_VALUE"""),2097.0)</f>
        <v>2097</v>
      </c>
      <c r="S9" s="329">
        <f>IFERROR(__xludf.DUMMYFUNCTION("""COMPUTED_VALUE"""),1.0)</f>
        <v>1</v>
      </c>
      <c r="T9" s="329">
        <f>IFERROR(__xludf.DUMMYFUNCTION("""COMPUTED_VALUE"""),340.0)</f>
        <v>340</v>
      </c>
      <c r="U9" s="329">
        <f>IFERROR(__xludf.DUMMYFUNCTION("""COMPUTED_VALUE"""),70.0)</f>
        <v>70</v>
      </c>
      <c r="V9" s="329">
        <f>IFERROR(__xludf.DUMMYFUNCTION("""COMPUTED_VALUE"""),73.0)</f>
        <v>73</v>
      </c>
      <c r="W9" s="329">
        <f>IFERROR(__xludf.DUMMYFUNCTION("""COMPUTED_VALUE"""),8.0)</f>
        <v>8</v>
      </c>
      <c r="X9" s="329">
        <f>IFERROR(__xludf.DUMMYFUNCTION("""COMPUTED_VALUE"""),4.0)</f>
        <v>4</v>
      </c>
      <c r="Y9" s="329">
        <f>IFERROR(__xludf.DUMMYFUNCTION("""COMPUTED_VALUE"""),2.0)</f>
        <v>2</v>
      </c>
      <c r="Z9" s="329">
        <f>IFERROR(__xludf.DUMMYFUNCTION("""COMPUTED_VALUE"""),1082.0)</f>
        <v>1082</v>
      </c>
      <c r="AA9" s="257" t="str">
        <f>IFERROR(__xludf.DUMMYFUNCTION("""COMPUTED_VALUE"""),"--")</f>
        <v>--</v>
      </c>
      <c r="AB9" s="257" t="str">
        <f>IFERROR(__xludf.DUMMYFUNCTION("""COMPUTED_VALUE"""),"--")</f>
        <v>--</v>
      </c>
      <c r="AC9" s="257" t="str">
        <f>IFERROR(__xludf.DUMMYFUNCTION("""COMPUTED_VALUE"""),"--")</f>
        <v>--</v>
      </c>
      <c r="AD9" s="257" t="str">
        <f>IFERROR(__xludf.DUMMYFUNCTION("""COMPUTED_VALUE"""),"--")</f>
        <v>--</v>
      </c>
      <c r="AE9" s="257" t="str">
        <f>IFERROR(__xludf.DUMMYFUNCTION("""COMPUTED_VALUE"""),"--")</f>
        <v>--</v>
      </c>
      <c r="AF9" s="257" t="str">
        <f>IFERROR(__xludf.DUMMYFUNCTION("""COMPUTED_VALUE"""),"--")</f>
        <v>--</v>
      </c>
      <c r="AG9" s="257" t="str">
        <f>IFERROR(__xludf.DUMMYFUNCTION("""COMPUTED_VALUE"""),"--")</f>
        <v>--</v>
      </c>
      <c r="AH9" s="257" t="str">
        <f>IFERROR(__xludf.DUMMYFUNCTION("""COMPUTED_VALUE"""),"--")</f>
        <v>--</v>
      </c>
    </row>
    <row r="10">
      <c r="A10" s="328">
        <f>IFERROR(__xludf.DUMMYFUNCTION("""COMPUTED_VALUE"""),44077.0)</f>
        <v>44077</v>
      </c>
      <c r="B10" s="329">
        <f>IFERROR(__xludf.DUMMYFUNCTION("""COMPUTED_VALUE"""),90.0)</f>
        <v>90</v>
      </c>
      <c r="C10" s="329">
        <f>IFERROR(__xludf.DUMMYFUNCTION("""COMPUTED_VALUE"""),105.0)</f>
        <v>105</v>
      </c>
      <c r="D10" s="329">
        <f>IFERROR(__xludf.DUMMYFUNCTION("""COMPUTED_VALUE"""),31818.0)</f>
        <v>31818</v>
      </c>
      <c r="E10" s="329">
        <f>IFERROR(__xludf.DUMMYFUNCTION("""COMPUTED_VALUE"""),11080.0)</f>
        <v>11080</v>
      </c>
      <c r="F10" s="257">
        <f>IFERROR(__xludf.DUMMYFUNCTION("""COMPUTED_VALUE"""),533719.0)</f>
        <v>533719</v>
      </c>
      <c r="G10" s="257">
        <f>IFERROR(__xludf.DUMMYFUNCTION("""COMPUTED_VALUE"""),11170.0)</f>
        <v>11170</v>
      </c>
      <c r="H10" s="257">
        <f>IFERROR(__xludf.DUMMYFUNCTION("""COMPUTED_VALUE"""),565537.0)</f>
        <v>565537</v>
      </c>
      <c r="I10" s="329">
        <f>IFERROR(__xludf.DUMMYFUNCTION("""COMPUTED_VALUE"""),73.0)</f>
        <v>73</v>
      </c>
      <c r="J10" s="329">
        <f>IFERROR(__xludf.DUMMYFUNCTION("""COMPUTED_VALUE"""),81.0)</f>
        <v>81</v>
      </c>
      <c r="K10" s="329">
        <f>IFERROR(__xludf.DUMMYFUNCTION("""COMPUTED_VALUE"""),22198.0)</f>
        <v>22198</v>
      </c>
      <c r="L10" s="329">
        <f>IFERROR(__xludf.DUMMYFUNCTION("""COMPUTED_VALUE"""),2358.0)</f>
        <v>2358</v>
      </c>
      <c r="M10" s="329">
        <f>IFERROR(__xludf.DUMMYFUNCTION("""COMPUTED_VALUE"""),239259.0)</f>
        <v>239259</v>
      </c>
      <c r="N10" s="329">
        <f>IFERROR(__xludf.DUMMYFUNCTION("""COMPUTED_VALUE"""),261457.0)</f>
        <v>261457</v>
      </c>
      <c r="O10" s="329">
        <f>IFERROR(__xludf.DUMMYFUNCTION("""COMPUTED_VALUE"""),8.0)</f>
        <v>8</v>
      </c>
      <c r="P10" s="329">
        <f>IFERROR(__xludf.DUMMYFUNCTION("""COMPUTED_VALUE"""),2515.0)</f>
        <v>2515</v>
      </c>
      <c r="Q10" s="329">
        <f>IFERROR(__xludf.DUMMYFUNCTION("""COMPUTED_VALUE"""),8.0)</f>
        <v>8</v>
      </c>
      <c r="R10" s="329">
        <f>IFERROR(__xludf.DUMMYFUNCTION("""COMPUTED_VALUE"""),2105.0)</f>
        <v>2105</v>
      </c>
      <c r="S10" s="329">
        <f>IFERROR(__xludf.DUMMYFUNCTION("""COMPUTED_VALUE"""),0.0)</f>
        <v>0</v>
      </c>
      <c r="T10" s="329">
        <f>IFERROR(__xludf.DUMMYFUNCTION("""COMPUTED_VALUE"""),340.0)</f>
        <v>340</v>
      </c>
      <c r="U10" s="329">
        <f>IFERROR(__xludf.DUMMYFUNCTION("""COMPUTED_VALUE"""),70.0)</f>
        <v>70</v>
      </c>
      <c r="V10" s="329">
        <f>IFERROR(__xludf.DUMMYFUNCTION("""COMPUTED_VALUE"""),71.0)</f>
        <v>71</v>
      </c>
      <c r="W10" s="329">
        <f>IFERROR(__xludf.DUMMYFUNCTION("""COMPUTED_VALUE"""),9.0)</f>
        <v>9</v>
      </c>
      <c r="X10" s="329">
        <f>IFERROR(__xludf.DUMMYFUNCTION("""COMPUTED_VALUE"""),4.0)</f>
        <v>4</v>
      </c>
      <c r="Y10" s="329">
        <f>IFERROR(__xludf.DUMMYFUNCTION("""COMPUTED_VALUE"""),3.0)</f>
        <v>3</v>
      </c>
      <c r="Z10" s="329">
        <f>IFERROR(__xludf.DUMMYFUNCTION("""COMPUTED_VALUE"""),1085.0)</f>
        <v>1085</v>
      </c>
      <c r="AA10" s="257" t="str">
        <f>IFERROR(__xludf.DUMMYFUNCTION("""COMPUTED_VALUE"""),"--")</f>
        <v>--</v>
      </c>
      <c r="AB10" s="257" t="str">
        <f>IFERROR(__xludf.DUMMYFUNCTION("""COMPUTED_VALUE"""),"--")</f>
        <v>--</v>
      </c>
      <c r="AC10" s="257" t="str">
        <f>IFERROR(__xludf.DUMMYFUNCTION("""COMPUTED_VALUE"""),"--")</f>
        <v>--</v>
      </c>
      <c r="AD10" s="257" t="str">
        <f>IFERROR(__xludf.DUMMYFUNCTION("""COMPUTED_VALUE"""),"--")</f>
        <v>--</v>
      </c>
      <c r="AE10" s="257" t="str">
        <f>IFERROR(__xludf.DUMMYFUNCTION("""COMPUTED_VALUE"""),"--")</f>
        <v>--</v>
      </c>
      <c r="AF10" s="257" t="str">
        <f>IFERROR(__xludf.DUMMYFUNCTION("""COMPUTED_VALUE"""),"--")</f>
        <v>--</v>
      </c>
      <c r="AG10" s="257" t="str">
        <f>IFERROR(__xludf.DUMMYFUNCTION("""COMPUTED_VALUE"""),"--")</f>
        <v>--</v>
      </c>
      <c r="AH10" s="257" t="str">
        <f>IFERROR(__xludf.DUMMYFUNCTION("""COMPUTED_VALUE"""),"--")</f>
        <v>--</v>
      </c>
    </row>
    <row r="11">
      <c r="A11" s="328">
        <f>IFERROR(__xludf.DUMMYFUNCTION("""COMPUTED_VALUE"""),44078.0)</f>
        <v>44078</v>
      </c>
      <c r="B11" s="329">
        <f>IFERROR(__xludf.DUMMYFUNCTION("""COMPUTED_VALUE"""),103.0)</f>
        <v>103</v>
      </c>
      <c r="C11" s="329">
        <f>IFERROR(__xludf.DUMMYFUNCTION("""COMPUTED_VALUE"""),106.0)</f>
        <v>106</v>
      </c>
      <c r="D11" s="329">
        <f>IFERROR(__xludf.DUMMYFUNCTION("""COMPUTED_VALUE"""),31921.0)</f>
        <v>31921</v>
      </c>
      <c r="E11" s="329">
        <f>IFERROR(__xludf.DUMMYFUNCTION("""COMPUTED_VALUE"""),8962.0)</f>
        <v>8962</v>
      </c>
      <c r="F11" s="257">
        <f>IFERROR(__xludf.DUMMYFUNCTION("""COMPUTED_VALUE"""),542681.0)</f>
        <v>542681</v>
      </c>
      <c r="G11" s="257">
        <f>IFERROR(__xludf.DUMMYFUNCTION("""COMPUTED_VALUE"""),9065.0)</f>
        <v>9065</v>
      </c>
      <c r="H11" s="257">
        <f>IFERROR(__xludf.DUMMYFUNCTION("""COMPUTED_VALUE"""),574602.0)</f>
        <v>574602</v>
      </c>
      <c r="I11" s="329">
        <f>IFERROR(__xludf.DUMMYFUNCTION("""COMPUTED_VALUE"""),82.0)</f>
        <v>82</v>
      </c>
      <c r="J11" s="329">
        <f>IFERROR(__xludf.DUMMYFUNCTION("""COMPUTED_VALUE"""),86.0)</f>
        <v>86</v>
      </c>
      <c r="K11" s="329">
        <f>IFERROR(__xludf.DUMMYFUNCTION("""COMPUTED_VALUE"""),22280.0)</f>
        <v>22280</v>
      </c>
      <c r="L11" s="329">
        <f>IFERROR(__xludf.DUMMYFUNCTION("""COMPUTED_VALUE"""),2177.0)</f>
        <v>2177</v>
      </c>
      <c r="M11" s="329">
        <f>IFERROR(__xludf.DUMMYFUNCTION("""COMPUTED_VALUE"""),241436.0)</f>
        <v>241436</v>
      </c>
      <c r="N11" s="329">
        <f>IFERROR(__xludf.DUMMYFUNCTION("""COMPUTED_VALUE"""),263716.0)</f>
        <v>263716</v>
      </c>
      <c r="O11" s="329">
        <f>IFERROR(__xludf.DUMMYFUNCTION("""COMPUTED_VALUE"""),11.0)</f>
        <v>11</v>
      </c>
      <c r="P11" s="329">
        <f>IFERROR(__xludf.DUMMYFUNCTION("""COMPUTED_VALUE"""),2526.0)</f>
        <v>2526</v>
      </c>
      <c r="Q11" s="329">
        <f>IFERROR(__xludf.DUMMYFUNCTION("""COMPUTED_VALUE"""),4.0)</f>
        <v>4</v>
      </c>
      <c r="R11" s="329">
        <f>IFERROR(__xludf.DUMMYFUNCTION("""COMPUTED_VALUE"""),2109.0)</f>
        <v>2109</v>
      </c>
      <c r="S11" s="329">
        <f>IFERROR(__xludf.DUMMYFUNCTION("""COMPUTED_VALUE"""),0.0)</f>
        <v>0</v>
      </c>
      <c r="T11" s="329">
        <f>IFERROR(__xludf.DUMMYFUNCTION("""COMPUTED_VALUE"""),340.0)</f>
        <v>340</v>
      </c>
      <c r="U11" s="329">
        <f>IFERROR(__xludf.DUMMYFUNCTION("""COMPUTED_VALUE"""),77.0)</f>
        <v>77</v>
      </c>
      <c r="V11" s="329">
        <f>IFERROR(__xludf.DUMMYFUNCTION("""COMPUTED_VALUE"""),72.0)</f>
        <v>72</v>
      </c>
      <c r="W11" s="329">
        <f>IFERROR(__xludf.DUMMYFUNCTION("""COMPUTED_VALUE"""),9.0)</f>
        <v>9</v>
      </c>
      <c r="X11" s="329">
        <f>IFERROR(__xludf.DUMMYFUNCTION("""COMPUTED_VALUE"""),4.0)</f>
        <v>4</v>
      </c>
      <c r="Y11" s="329">
        <f>IFERROR(__xludf.DUMMYFUNCTION("""COMPUTED_VALUE"""),1.0)</f>
        <v>1</v>
      </c>
      <c r="Z11" s="329">
        <f>IFERROR(__xludf.DUMMYFUNCTION("""COMPUTED_VALUE"""),1086.0)</f>
        <v>1086</v>
      </c>
      <c r="AA11" s="257" t="str">
        <f>IFERROR(__xludf.DUMMYFUNCTION("""COMPUTED_VALUE"""),"--")</f>
        <v>--</v>
      </c>
      <c r="AB11" s="257" t="str">
        <f>IFERROR(__xludf.DUMMYFUNCTION("""COMPUTED_VALUE"""),"--")</f>
        <v>--</v>
      </c>
      <c r="AC11" s="257" t="str">
        <f>IFERROR(__xludf.DUMMYFUNCTION("""COMPUTED_VALUE"""),"--")</f>
        <v>--</v>
      </c>
      <c r="AD11" s="257" t="str">
        <f>IFERROR(__xludf.DUMMYFUNCTION("""COMPUTED_VALUE"""),"--")</f>
        <v>--</v>
      </c>
      <c r="AE11" s="257" t="str">
        <f>IFERROR(__xludf.DUMMYFUNCTION("""COMPUTED_VALUE"""),"--")</f>
        <v>--</v>
      </c>
      <c r="AF11" s="257" t="str">
        <f>IFERROR(__xludf.DUMMYFUNCTION("""COMPUTED_VALUE"""),"--")</f>
        <v>--</v>
      </c>
      <c r="AG11" s="257" t="str">
        <f>IFERROR(__xludf.DUMMYFUNCTION("""COMPUTED_VALUE"""),"--")</f>
        <v>--</v>
      </c>
      <c r="AH11" s="257" t="str">
        <f>IFERROR(__xludf.DUMMYFUNCTION("""COMPUTED_VALUE"""),"--")</f>
        <v>--</v>
      </c>
    </row>
    <row r="12">
      <c r="A12" s="328">
        <f>IFERROR(__xludf.DUMMYFUNCTION("""COMPUTED_VALUE"""),44079.0)</f>
        <v>44079</v>
      </c>
      <c r="B12" s="329">
        <f>IFERROR(__xludf.DUMMYFUNCTION("""COMPUTED_VALUE"""),53.0)</f>
        <v>53</v>
      </c>
      <c r="C12" s="329">
        <f>IFERROR(__xludf.DUMMYFUNCTION("""COMPUTED_VALUE"""),82.0)</f>
        <v>82</v>
      </c>
      <c r="D12" s="329">
        <f>IFERROR(__xludf.DUMMYFUNCTION("""COMPUTED_VALUE"""),31974.0)</f>
        <v>31974</v>
      </c>
      <c r="E12" s="329">
        <f>IFERROR(__xludf.DUMMYFUNCTION("""COMPUTED_VALUE"""),6307.0)</f>
        <v>6307</v>
      </c>
      <c r="F12" s="257">
        <f>IFERROR(__xludf.DUMMYFUNCTION("""COMPUTED_VALUE"""),548988.0)</f>
        <v>548988</v>
      </c>
      <c r="G12" s="257">
        <f>IFERROR(__xludf.DUMMYFUNCTION("""COMPUTED_VALUE"""),6360.0)</f>
        <v>6360</v>
      </c>
      <c r="H12" s="257">
        <f>IFERROR(__xludf.DUMMYFUNCTION("""COMPUTED_VALUE"""),580962.0)</f>
        <v>580962</v>
      </c>
      <c r="I12" s="329">
        <f>IFERROR(__xludf.DUMMYFUNCTION("""COMPUTED_VALUE"""),42.0)</f>
        <v>42</v>
      </c>
      <c r="J12" s="329">
        <f>IFERROR(__xludf.DUMMYFUNCTION("""COMPUTED_VALUE"""),66.0)</f>
        <v>66</v>
      </c>
      <c r="K12" s="329">
        <f>IFERROR(__xludf.DUMMYFUNCTION("""COMPUTED_VALUE"""),22322.0)</f>
        <v>22322</v>
      </c>
      <c r="L12" s="329">
        <f>IFERROR(__xludf.DUMMYFUNCTION("""COMPUTED_VALUE"""),1462.0)</f>
        <v>1462</v>
      </c>
      <c r="M12" s="329">
        <f>IFERROR(__xludf.DUMMYFUNCTION("""COMPUTED_VALUE"""),242898.0)</f>
        <v>242898</v>
      </c>
      <c r="N12" s="329">
        <f>IFERROR(__xludf.DUMMYFUNCTION("""COMPUTED_VALUE"""),265220.0)</f>
        <v>265220</v>
      </c>
      <c r="O12" s="329">
        <f>IFERROR(__xludf.DUMMYFUNCTION("""COMPUTED_VALUE"""),6.0)</f>
        <v>6</v>
      </c>
      <c r="P12" s="329">
        <f>IFERROR(__xludf.DUMMYFUNCTION("""COMPUTED_VALUE"""),2532.0)</f>
        <v>2532</v>
      </c>
      <c r="Q12" s="329">
        <f>IFERROR(__xludf.DUMMYFUNCTION("""COMPUTED_VALUE"""),9.0)</f>
        <v>9</v>
      </c>
      <c r="R12" s="329">
        <f>IFERROR(__xludf.DUMMYFUNCTION("""COMPUTED_VALUE"""),2118.0)</f>
        <v>2118</v>
      </c>
      <c r="S12" s="329">
        <f>IFERROR(__xludf.DUMMYFUNCTION("""COMPUTED_VALUE"""),0.0)</f>
        <v>0</v>
      </c>
      <c r="T12" s="329">
        <f>IFERROR(__xludf.DUMMYFUNCTION("""COMPUTED_VALUE"""),340.0)</f>
        <v>340</v>
      </c>
      <c r="U12" s="329">
        <f>IFERROR(__xludf.DUMMYFUNCTION("""COMPUTED_VALUE"""),74.0)</f>
        <v>74</v>
      </c>
      <c r="V12" s="329">
        <f>IFERROR(__xludf.DUMMYFUNCTION("""COMPUTED_VALUE"""),74.0)</f>
        <v>74</v>
      </c>
      <c r="W12" s="329">
        <f>IFERROR(__xludf.DUMMYFUNCTION("""COMPUTED_VALUE"""),8.0)</f>
        <v>8</v>
      </c>
      <c r="X12" s="329">
        <f>IFERROR(__xludf.DUMMYFUNCTION("""COMPUTED_VALUE"""),3.0)</f>
        <v>3</v>
      </c>
      <c r="Y12" s="329">
        <f>IFERROR(__xludf.DUMMYFUNCTION("""COMPUTED_VALUE"""),1.0)</f>
        <v>1</v>
      </c>
      <c r="Z12" s="329">
        <f>IFERROR(__xludf.DUMMYFUNCTION("""COMPUTED_VALUE"""),1087.0)</f>
        <v>1087</v>
      </c>
      <c r="AA12" s="257" t="str">
        <f>IFERROR(__xludf.DUMMYFUNCTION("""COMPUTED_VALUE"""),"--")</f>
        <v>--</v>
      </c>
      <c r="AB12" s="257" t="str">
        <f>IFERROR(__xludf.DUMMYFUNCTION("""COMPUTED_VALUE"""),"--")</f>
        <v>--</v>
      </c>
      <c r="AC12" s="257" t="str">
        <f>IFERROR(__xludf.DUMMYFUNCTION("""COMPUTED_VALUE"""),"--")</f>
        <v>--</v>
      </c>
      <c r="AD12" s="257" t="str">
        <f>IFERROR(__xludf.DUMMYFUNCTION("""COMPUTED_VALUE"""),"--")</f>
        <v>--</v>
      </c>
      <c r="AE12" s="257" t="str">
        <f>IFERROR(__xludf.DUMMYFUNCTION("""COMPUTED_VALUE"""),"--")</f>
        <v>--</v>
      </c>
      <c r="AF12" s="257" t="str">
        <f>IFERROR(__xludf.DUMMYFUNCTION("""COMPUTED_VALUE"""),"--")</f>
        <v>--</v>
      </c>
      <c r="AG12" s="257" t="str">
        <f>IFERROR(__xludf.DUMMYFUNCTION("""COMPUTED_VALUE"""),"--")</f>
        <v>--</v>
      </c>
      <c r="AH12" s="257" t="str">
        <f>IFERROR(__xludf.DUMMYFUNCTION("""COMPUTED_VALUE"""),"--")</f>
        <v>--</v>
      </c>
    </row>
    <row r="13">
      <c r="A13" s="328">
        <f>IFERROR(__xludf.DUMMYFUNCTION("""COMPUTED_VALUE"""),44080.0)</f>
        <v>44080</v>
      </c>
      <c r="B13" s="329">
        <f>IFERROR(__xludf.DUMMYFUNCTION("""COMPUTED_VALUE"""),88.0)</f>
        <v>88</v>
      </c>
      <c r="C13" s="329">
        <f>IFERROR(__xludf.DUMMYFUNCTION("""COMPUTED_VALUE"""),81.0)</f>
        <v>81</v>
      </c>
      <c r="D13" s="329">
        <f>IFERROR(__xludf.DUMMYFUNCTION("""COMPUTED_VALUE"""),32062.0)</f>
        <v>32062</v>
      </c>
      <c r="E13" s="329">
        <f>IFERROR(__xludf.DUMMYFUNCTION("""COMPUTED_VALUE"""),4325.0)</f>
        <v>4325</v>
      </c>
      <c r="F13" s="257">
        <f>IFERROR(__xludf.DUMMYFUNCTION("""COMPUTED_VALUE"""),553313.0)</f>
        <v>553313</v>
      </c>
      <c r="G13" s="257">
        <f>IFERROR(__xludf.DUMMYFUNCTION("""COMPUTED_VALUE"""),4413.0)</f>
        <v>4413</v>
      </c>
      <c r="H13" s="257">
        <f>IFERROR(__xludf.DUMMYFUNCTION("""COMPUTED_VALUE"""),585375.0)</f>
        <v>585375</v>
      </c>
      <c r="I13" s="329">
        <f>IFERROR(__xludf.DUMMYFUNCTION("""COMPUTED_VALUE"""),65.0)</f>
        <v>65</v>
      </c>
      <c r="J13" s="329">
        <f>IFERROR(__xludf.DUMMYFUNCTION("""COMPUTED_VALUE"""),63.0)</f>
        <v>63</v>
      </c>
      <c r="K13" s="329">
        <f>IFERROR(__xludf.DUMMYFUNCTION("""COMPUTED_VALUE"""),22387.0)</f>
        <v>22387</v>
      </c>
      <c r="L13" s="329">
        <f>IFERROR(__xludf.DUMMYFUNCTION("""COMPUTED_VALUE"""),1777.0)</f>
        <v>1777</v>
      </c>
      <c r="M13" s="329">
        <f>IFERROR(__xludf.DUMMYFUNCTION("""COMPUTED_VALUE"""),244675.0)</f>
        <v>244675</v>
      </c>
      <c r="N13" s="329">
        <f>IFERROR(__xludf.DUMMYFUNCTION("""COMPUTED_VALUE"""),267062.0)</f>
        <v>267062</v>
      </c>
      <c r="O13" s="329">
        <f>IFERROR(__xludf.DUMMYFUNCTION("""COMPUTED_VALUE"""),4.0)</f>
        <v>4</v>
      </c>
      <c r="P13" s="329">
        <f>IFERROR(__xludf.DUMMYFUNCTION("""COMPUTED_VALUE"""),2536.0)</f>
        <v>2536</v>
      </c>
      <c r="Q13" s="329">
        <f>IFERROR(__xludf.DUMMYFUNCTION("""COMPUTED_VALUE"""),8.0)</f>
        <v>8</v>
      </c>
      <c r="R13" s="329">
        <f>IFERROR(__xludf.DUMMYFUNCTION("""COMPUTED_VALUE"""),2126.0)</f>
        <v>2126</v>
      </c>
      <c r="S13" s="329">
        <f>IFERROR(__xludf.DUMMYFUNCTION("""COMPUTED_VALUE"""),1.0)</f>
        <v>1</v>
      </c>
      <c r="T13" s="329">
        <f>IFERROR(__xludf.DUMMYFUNCTION("""COMPUTED_VALUE"""),341.0)</f>
        <v>341</v>
      </c>
      <c r="U13" s="329">
        <f>IFERROR(__xludf.DUMMYFUNCTION("""COMPUTED_VALUE"""),69.0)</f>
        <v>69</v>
      </c>
      <c r="V13" s="329">
        <f>IFERROR(__xludf.DUMMYFUNCTION("""COMPUTED_VALUE"""),73.0)</f>
        <v>73</v>
      </c>
      <c r="W13" s="329">
        <f>IFERROR(__xludf.DUMMYFUNCTION("""COMPUTED_VALUE"""),6.0)</f>
        <v>6</v>
      </c>
      <c r="X13" s="329">
        <f>IFERROR(__xludf.DUMMYFUNCTION("""COMPUTED_VALUE"""),3.0)</f>
        <v>3</v>
      </c>
      <c r="Y13" s="329">
        <f>IFERROR(__xludf.DUMMYFUNCTION("""COMPUTED_VALUE"""),1.0)</f>
        <v>1</v>
      </c>
      <c r="Z13" s="329">
        <f>IFERROR(__xludf.DUMMYFUNCTION("""COMPUTED_VALUE"""),1088.0)</f>
        <v>1088</v>
      </c>
      <c r="AA13" s="257" t="str">
        <f>IFERROR(__xludf.DUMMYFUNCTION("""COMPUTED_VALUE"""),"--")</f>
        <v>--</v>
      </c>
      <c r="AB13" s="257" t="str">
        <f>IFERROR(__xludf.DUMMYFUNCTION("""COMPUTED_VALUE"""),"--")</f>
        <v>--</v>
      </c>
      <c r="AC13" s="257" t="str">
        <f>IFERROR(__xludf.DUMMYFUNCTION("""COMPUTED_VALUE"""),"--")</f>
        <v>--</v>
      </c>
      <c r="AD13" s="257" t="str">
        <f>IFERROR(__xludf.DUMMYFUNCTION("""COMPUTED_VALUE"""),"--")</f>
        <v>--</v>
      </c>
      <c r="AE13" s="257" t="str">
        <f>IFERROR(__xludf.DUMMYFUNCTION("""COMPUTED_VALUE"""),"--")</f>
        <v>--</v>
      </c>
      <c r="AF13" s="257" t="str">
        <f>IFERROR(__xludf.DUMMYFUNCTION("""COMPUTED_VALUE"""),"--")</f>
        <v>--</v>
      </c>
      <c r="AG13" s="257" t="str">
        <f>IFERROR(__xludf.DUMMYFUNCTION("""COMPUTED_VALUE"""),"--")</f>
        <v>--</v>
      </c>
      <c r="AH13" s="257" t="str">
        <f>IFERROR(__xludf.DUMMYFUNCTION("""COMPUTED_VALUE"""),"--")</f>
        <v>--</v>
      </c>
    </row>
    <row r="14">
      <c r="A14" s="328">
        <f>IFERROR(__xludf.DUMMYFUNCTION("""COMPUTED_VALUE"""),44081.0)</f>
        <v>44081</v>
      </c>
      <c r="B14" s="329">
        <f>IFERROR(__xludf.DUMMYFUNCTION("""COMPUTED_VALUE"""),35.0)</f>
        <v>35</v>
      </c>
      <c r="C14" s="329">
        <f>IFERROR(__xludf.DUMMYFUNCTION("""COMPUTED_VALUE"""),59.0)</f>
        <v>59</v>
      </c>
      <c r="D14" s="329">
        <f>IFERROR(__xludf.DUMMYFUNCTION("""COMPUTED_VALUE"""),32097.0)</f>
        <v>32097</v>
      </c>
      <c r="E14" s="329">
        <f>IFERROR(__xludf.DUMMYFUNCTION("""COMPUTED_VALUE"""),3002.0)</f>
        <v>3002</v>
      </c>
      <c r="F14" s="257">
        <f>IFERROR(__xludf.DUMMYFUNCTION("""COMPUTED_VALUE"""),556315.0)</f>
        <v>556315</v>
      </c>
      <c r="G14" s="257">
        <f>IFERROR(__xludf.DUMMYFUNCTION("""COMPUTED_VALUE"""),3037.0)</f>
        <v>3037</v>
      </c>
      <c r="H14" s="257">
        <f>IFERROR(__xludf.DUMMYFUNCTION("""COMPUTED_VALUE"""),588412.0)</f>
        <v>588412</v>
      </c>
      <c r="I14" s="329">
        <f>IFERROR(__xludf.DUMMYFUNCTION("""COMPUTED_VALUE"""),26.0)</f>
        <v>26</v>
      </c>
      <c r="J14" s="329">
        <f>IFERROR(__xludf.DUMMYFUNCTION("""COMPUTED_VALUE"""),44.0)</f>
        <v>44</v>
      </c>
      <c r="K14" s="329">
        <f>IFERROR(__xludf.DUMMYFUNCTION("""COMPUTED_VALUE"""),22413.0)</f>
        <v>22413</v>
      </c>
      <c r="L14" s="329">
        <f>IFERROR(__xludf.DUMMYFUNCTION("""COMPUTED_VALUE"""),594.0)</f>
        <v>594</v>
      </c>
      <c r="M14" s="329">
        <f>IFERROR(__xludf.DUMMYFUNCTION("""COMPUTED_VALUE"""),245269.0)</f>
        <v>245269</v>
      </c>
      <c r="N14" s="329">
        <f>IFERROR(__xludf.DUMMYFUNCTION("""COMPUTED_VALUE"""),267682.0)</f>
        <v>267682</v>
      </c>
      <c r="O14" s="329">
        <f>IFERROR(__xludf.DUMMYFUNCTION("""COMPUTED_VALUE"""),11.0)</f>
        <v>11</v>
      </c>
      <c r="P14" s="329">
        <f>IFERROR(__xludf.DUMMYFUNCTION("""COMPUTED_VALUE"""),2547.0)</f>
        <v>2547</v>
      </c>
      <c r="Q14" s="329">
        <f>IFERROR(__xludf.DUMMYFUNCTION("""COMPUTED_VALUE"""),3.0)</f>
        <v>3</v>
      </c>
      <c r="R14" s="329">
        <f>IFERROR(__xludf.DUMMYFUNCTION("""COMPUTED_VALUE"""),2129.0)</f>
        <v>2129</v>
      </c>
      <c r="S14" s="329">
        <f>IFERROR(__xludf.DUMMYFUNCTION("""COMPUTED_VALUE"""),0.0)</f>
        <v>0</v>
      </c>
      <c r="T14" s="329">
        <f>IFERROR(__xludf.DUMMYFUNCTION("""COMPUTED_VALUE"""),341.0)</f>
        <v>341</v>
      </c>
      <c r="U14" s="329">
        <f>IFERROR(__xludf.DUMMYFUNCTION("""COMPUTED_VALUE"""),77.0)</f>
        <v>77</v>
      </c>
      <c r="V14" s="329">
        <f>IFERROR(__xludf.DUMMYFUNCTION("""COMPUTED_VALUE"""),73.0)</f>
        <v>73</v>
      </c>
      <c r="W14" s="329">
        <f>IFERROR(__xludf.DUMMYFUNCTION("""COMPUTED_VALUE"""),5.0)</f>
        <v>5</v>
      </c>
      <c r="X14" s="329">
        <f>IFERROR(__xludf.DUMMYFUNCTION("""COMPUTED_VALUE"""),3.0)</f>
        <v>3</v>
      </c>
      <c r="Y14" s="329">
        <f>IFERROR(__xludf.DUMMYFUNCTION("""COMPUTED_VALUE"""),1.0)</f>
        <v>1</v>
      </c>
      <c r="Z14" s="329">
        <f>IFERROR(__xludf.DUMMYFUNCTION("""COMPUTED_VALUE"""),1089.0)</f>
        <v>1089</v>
      </c>
      <c r="AA14" s="257" t="str">
        <f>IFERROR(__xludf.DUMMYFUNCTION("""COMPUTED_VALUE"""),"--")</f>
        <v>--</v>
      </c>
      <c r="AB14" s="257" t="str">
        <f>IFERROR(__xludf.DUMMYFUNCTION("""COMPUTED_VALUE"""),"--")</f>
        <v>--</v>
      </c>
      <c r="AC14" s="257" t="str">
        <f>IFERROR(__xludf.DUMMYFUNCTION("""COMPUTED_VALUE"""),"--")</f>
        <v>--</v>
      </c>
      <c r="AD14" s="257" t="str">
        <f>IFERROR(__xludf.DUMMYFUNCTION("""COMPUTED_VALUE"""),"--")</f>
        <v>--</v>
      </c>
      <c r="AE14" s="257" t="str">
        <f>IFERROR(__xludf.DUMMYFUNCTION("""COMPUTED_VALUE"""),"--")</f>
        <v>--</v>
      </c>
      <c r="AF14" s="257" t="str">
        <f>IFERROR(__xludf.DUMMYFUNCTION("""COMPUTED_VALUE"""),"--")</f>
        <v>--</v>
      </c>
      <c r="AG14" s="257" t="str">
        <f>IFERROR(__xludf.DUMMYFUNCTION("""COMPUTED_VALUE"""),"--")</f>
        <v>--</v>
      </c>
      <c r="AH14" s="257" t="str">
        <f>IFERROR(__xludf.DUMMYFUNCTION("""COMPUTED_VALUE"""),"--")</f>
        <v>--</v>
      </c>
    </row>
    <row r="15">
      <c r="A15" s="328">
        <f>IFERROR(__xludf.DUMMYFUNCTION("""COMPUTED_VALUE"""),44082.0)</f>
        <v>44082</v>
      </c>
      <c r="B15" s="329">
        <f>IFERROR(__xludf.DUMMYFUNCTION("""COMPUTED_VALUE"""),74.0)</f>
        <v>74</v>
      </c>
      <c r="C15" s="329">
        <f>IFERROR(__xludf.DUMMYFUNCTION("""COMPUTED_VALUE"""),66.0)</f>
        <v>66</v>
      </c>
      <c r="D15" s="329">
        <f>IFERROR(__xludf.DUMMYFUNCTION("""COMPUTED_VALUE"""),32171.0)</f>
        <v>32171</v>
      </c>
      <c r="E15" s="329">
        <f>IFERROR(__xludf.DUMMYFUNCTION("""COMPUTED_VALUE"""),6380.0)</f>
        <v>6380</v>
      </c>
      <c r="F15" s="257">
        <f>IFERROR(__xludf.DUMMYFUNCTION("""COMPUTED_VALUE"""),562695.0)</f>
        <v>562695</v>
      </c>
      <c r="G15" s="257">
        <f>IFERROR(__xludf.DUMMYFUNCTION("""COMPUTED_VALUE"""),6454.0)</f>
        <v>6454</v>
      </c>
      <c r="H15" s="257">
        <f>IFERROR(__xludf.DUMMYFUNCTION("""COMPUTED_VALUE"""),594866.0)</f>
        <v>594866</v>
      </c>
      <c r="I15" s="329">
        <f>IFERROR(__xludf.DUMMYFUNCTION("""COMPUTED_VALUE"""),66.0)</f>
        <v>66</v>
      </c>
      <c r="J15" s="329">
        <f>IFERROR(__xludf.DUMMYFUNCTION("""COMPUTED_VALUE"""),52.0)</f>
        <v>52</v>
      </c>
      <c r="K15" s="329">
        <f>IFERROR(__xludf.DUMMYFUNCTION("""COMPUTED_VALUE"""),22479.0)</f>
        <v>22479</v>
      </c>
      <c r="L15" s="329">
        <f>IFERROR(__xludf.DUMMYFUNCTION("""COMPUTED_VALUE"""),1453.0)</f>
        <v>1453</v>
      </c>
      <c r="M15" s="329">
        <f>IFERROR(__xludf.DUMMYFUNCTION("""COMPUTED_VALUE"""),246722.0)</f>
        <v>246722</v>
      </c>
      <c r="N15" s="329">
        <f>IFERROR(__xludf.DUMMYFUNCTION("""COMPUTED_VALUE"""),269201.0)</f>
        <v>269201</v>
      </c>
      <c r="O15" s="329">
        <f>IFERROR(__xludf.DUMMYFUNCTION("""COMPUTED_VALUE"""),6.0)</f>
        <v>6</v>
      </c>
      <c r="P15" s="329">
        <f>IFERROR(__xludf.DUMMYFUNCTION("""COMPUTED_VALUE"""),2553.0)</f>
        <v>2553</v>
      </c>
      <c r="Q15" s="329">
        <f>IFERROR(__xludf.DUMMYFUNCTION("""COMPUTED_VALUE"""),12.0)</f>
        <v>12</v>
      </c>
      <c r="R15" s="329">
        <f>IFERROR(__xludf.DUMMYFUNCTION("""COMPUTED_VALUE"""),2141.0)</f>
        <v>2141</v>
      </c>
      <c r="S15" s="329">
        <f>IFERROR(__xludf.DUMMYFUNCTION("""COMPUTED_VALUE"""),1.0)</f>
        <v>1</v>
      </c>
      <c r="T15" s="329">
        <f>IFERROR(__xludf.DUMMYFUNCTION("""COMPUTED_VALUE"""),342.0)</f>
        <v>342</v>
      </c>
      <c r="U15" s="329">
        <f>IFERROR(__xludf.DUMMYFUNCTION("""COMPUTED_VALUE"""),70.0)</f>
        <v>70</v>
      </c>
      <c r="V15" s="329">
        <f>IFERROR(__xludf.DUMMYFUNCTION("""COMPUTED_VALUE"""),72.0)</f>
        <v>72</v>
      </c>
      <c r="W15" s="329">
        <f>IFERROR(__xludf.DUMMYFUNCTION("""COMPUTED_VALUE"""),6.0)</f>
        <v>6</v>
      </c>
      <c r="X15" s="329">
        <f>IFERROR(__xludf.DUMMYFUNCTION("""COMPUTED_VALUE"""),3.0)</f>
        <v>3</v>
      </c>
      <c r="Y15" s="329">
        <f>IFERROR(__xludf.DUMMYFUNCTION("""COMPUTED_VALUE"""),2.0)</f>
        <v>2</v>
      </c>
      <c r="Z15" s="329">
        <f>IFERROR(__xludf.DUMMYFUNCTION("""COMPUTED_VALUE"""),1091.0)</f>
        <v>1091</v>
      </c>
      <c r="AA15" s="257" t="str">
        <f>IFERROR(__xludf.DUMMYFUNCTION("""COMPUTED_VALUE"""),"--")</f>
        <v>--</v>
      </c>
      <c r="AB15" s="257" t="str">
        <f>IFERROR(__xludf.DUMMYFUNCTION("""COMPUTED_VALUE"""),"--")</f>
        <v>--</v>
      </c>
      <c r="AC15" s="257" t="str">
        <f>IFERROR(__xludf.DUMMYFUNCTION("""COMPUTED_VALUE"""),"--")</f>
        <v>--</v>
      </c>
      <c r="AD15" s="257" t="str">
        <f>IFERROR(__xludf.DUMMYFUNCTION("""COMPUTED_VALUE"""),"--")</f>
        <v>--</v>
      </c>
      <c r="AE15" s="257" t="str">
        <f>IFERROR(__xludf.DUMMYFUNCTION("""COMPUTED_VALUE"""),"--")</f>
        <v>--</v>
      </c>
      <c r="AF15" s="257" t="str">
        <f>IFERROR(__xludf.DUMMYFUNCTION("""COMPUTED_VALUE"""),"--")</f>
        <v>--</v>
      </c>
      <c r="AG15" s="257" t="str">
        <f>IFERROR(__xludf.DUMMYFUNCTION("""COMPUTED_VALUE"""),"--")</f>
        <v>--</v>
      </c>
      <c r="AH15" s="257" t="str">
        <f>IFERROR(__xludf.DUMMYFUNCTION("""COMPUTED_VALUE"""),"--")</f>
        <v>--</v>
      </c>
    </row>
    <row r="16">
      <c r="A16" s="328">
        <f>IFERROR(__xludf.DUMMYFUNCTION("""COMPUTED_VALUE"""),44083.0)</f>
        <v>44083</v>
      </c>
      <c r="B16" s="329">
        <f>IFERROR(__xludf.DUMMYFUNCTION("""COMPUTED_VALUE"""),118.0)</f>
        <v>118</v>
      </c>
      <c r="C16" s="329">
        <f>IFERROR(__xludf.DUMMYFUNCTION("""COMPUTED_VALUE"""),76.0)</f>
        <v>76</v>
      </c>
      <c r="D16" s="329">
        <f>IFERROR(__xludf.DUMMYFUNCTION("""COMPUTED_VALUE"""),32289.0)</f>
        <v>32289</v>
      </c>
      <c r="E16" s="329">
        <f>IFERROR(__xludf.DUMMYFUNCTION("""COMPUTED_VALUE"""),8650.0)</f>
        <v>8650</v>
      </c>
      <c r="F16" s="257">
        <f>IFERROR(__xludf.DUMMYFUNCTION("""COMPUTED_VALUE"""),571345.0)</f>
        <v>571345</v>
      </c>
      <c r="G16" s="257">
        <f>IFERROR(__xludf.DUMMYFUNCTION("""COMPUTED_VALUE"""),8768.0)</f>
        <v>8768</v>
      </c>
      <c r="H16" s="257">
        <f>IFERROR(__xludf.DUMMYFUNCTION("""COMPUTED_VALUE"""),603634.0)</f>
        <v>603634</v>
      </c>
      <c r="I16" s="329">
        <f>IFERROR(__xludf.DUMMYFUNCTION("""COMPUTED_VALUE"""),102.0)</f>
        <v>102</v>
      </c>
      <c r="J16" s="329">
        <f>IFERROR(__xludf.DUMMYFUNCTION("""COMPUTED_VALUE"""),65.0)</f>
        <v>65</v>
      </c>
      <c r="K16" s="329">
        <f>IFERROR(__xludf.DUMMYFUNCTION("""COMPUTED_VALUE"""),22581.0)</f>
        <v>22581</v>
      </c>
      <c r="L16" s="329">
        <f>IFERROR(__xludf.DUMMYFUNCTION("""COMPUTED_VALUE"""),1965.0)</f>
        <v>1965</v>
      </c>
      <c r="M16" s="329">
        <f>IFERROR(__xludf.DUMMYFUNCTION("""COMPUTED_VALUE"""),248687.0)</f>
        <v>248687</v>
      </c>
      <c r="N16" s="329">
        <f>IFERROR(__xludf.DUMMYFUNCTION("""COMPUTED_VALUE"""),271268.0)</f>
        <v>271268</v>
      </c>
      <c r="O16" s="329">
        <f>IFERROR(__xludf.DUMMYFUNCTION("""COMPUTED_VALUE"""),10.0)</f>
        <v>10</v>
      </c>
      <c r="P16" s="329">
        <f>IFERROR(__xludf.DUMMYFUNCTION("""COMPUTED_VALUE"""),2563.0)</f>
        <v>2563</v>
      </c>
      <c r="Q16" s="329">
        <f>IFERROR(__xludf.DUMMYFUNCTION("""COMPUTED_VALUE"""),5.0)</f>
        <v>5</v>
      </c>
      <c r="R16" s="329">
        <f>IFERROR(__xludf.DUMMYFUNCTION("""COMPUTED_VALUE"""),2146.0)</f>
        <v>2146</v>
      </c>
      <c r="S16" s="329">
        <f>IFERROR(__xludf.DUMMYFUNCTION("""COMPUTED_VALUE"""),1.0)</f>
        <v>1</v>
      </c>
      <c r="T16" s="329">
        <f>IFERROR(__xludf.DUMMYFUNCTION("""COMPUTED_VALUE"""),343.0)</f>
        <v>343</v>
      </c>
      <c r="U16" s="329">
        <f>IFERROR(__xludf.DUMMYFUNCTION("""COMPUTED_VALUE"""),74.0)</f>
        <v>74</v>
      </c>
      <c r="V16" s="329">
        <f>IFERROR(__xludf.DUMMYFUNCTION("""COMPUTED_VALUE"""),74.0)</f>
        <v>74</v>
      </c>
      <c r="W16" s="329">
        <f>IFERROR(__xludf.DUMMYFUNCTION("""COMPUTED_VALUE"""),9.0)</f>
        <v>9</v>
      </c>
      <c r="X16" s="329">
        <f>IFERROR(__xludf.DUMMYFUNCTION("""COMPUTED_VALUE"""),3.0)</f>
        <v>3</v>
      </c>
      <c r="Y16" s="329">
        <f>IFERROR(__xludf.DUMMYFUNCTION("""COMPUTED_VALUE"""),1.0)</f>
        <v>1</v>
      </c>
      <c r="Z16" s="329">
        <f>IFERROR(__xludf.DUMMYFUNCTION("""COMPUTED_VALUE"""),1092.0)</f>
        <v>1092</v>
      </c>
      <c r="AA16" s="257" t="str">
        <f>IFERROR(__xludf.DUMMYFUNCTION("""COMPUTED_VALUE"""),"--")</f>
        <v>--</v>
      </c>
      <c r="AB16" s="257" t="str">
        <f>IFERROR(__xludf.DUMMYFUNCTION("""COMPUTED_VALUE"""),"--")</f>
        <v>--</v>
      </c>
      <c r="AC16" s="257" t="str">
        <f>IFERROR(__xludf.DUMMYFUNCTION("""COMPUTED_VALUE"""),"--")</f>
        <v>--</v>
      </c>
      <c r="AD16" s="257" t="str">
        <f>IFERROR(__xludf.DUMMYFUNCTION("""COMPUTED_VALUE"""),"--")</f>
        <v>--</v>
      </c>
      <c r="AE16" s="257" t="str">
        <f>IFERROR(__xludf.DUMMYFUNCTION("""COMPUTED_VALUE"""),"--")</f>
        <v>--</v>
      </c>
      <c r="AF16" s="257" t="str">
        <f>IFERROR(__xludf.DUMMYFUNCTION("""COMPUTED_VALUE"""),"--")</f>
        <v>--</v>
      </c>
      <c r="AG16" s="257" t="str">
        <f>IFERROR(__xludf.DUMMYFUNCTION("""COMPUTED_VALUE"""),"--")</f>
        <v>--</v>
      </c>
      <c r="AH16" s="257" t="str">
        <f>IFERROR(__xludf.DUMMYFUNCTION("""COMPUTED_VALUE"""),"--")</f>
        <v>--</v>
      </c>
    </row>
    <row r="17">
      <c r="A17" s="328">
        <f>IFERROR(__xludf.DUMMYFUNCTION("""COMPUTED_VALUE"""),44084.0)</f>
        <v>44084</v>
      </c>
      <c r="B17" s="329">
        <f>IFERROR(__xludf.DUMMYFUNCTION("""COMPUTED_VALUE"""),164.0)</f>
        <v>164</v>
      </c>
      <c r="C17" s="329">
        <f>IFERROR(__xludf.DUMMYFUNCTION("""COMPUTED_VALUE"""),119.0)</f>
        <v>119</v>
      </c>
      <c r="D17" s="329">
        <f>IFERROR(__xludf.DUMMYFUNCTION("""COMPUTED_VALUE"""),32453.0)</f>
        <v>32453</v>
      </c>
      <c r="E17" s="329">
        <f>IFERROR(__xludf.DUMMYFUNCTION("""COMPUTED_VALUE"""),11334.0)</f>
        <v>11334</v>
      </c>
      <c r="F17" s="257">
        <f>IFERROR(__xludf.DUMMYFUNCTION("""COMPUTED_VALUE"""),582679.0)</f>
        <v>582679</v>
      </c>
      <c r="G17" s="257">
        <f>IFERROR(__xludf.DUMMYFUNCTION("""COMPUTED_VALUE"""),11498.0)</f>
        <v>11498</v>
      </c>
      <c r="H17" s="257">
        <f>IFERROR(__xludf.DUMMYFUNCTION("""COMPUTED_VALUE"""),615132.0)</f>
        <v>615132</v>
      </c>
      <c r="I17" s="329">
        <f>IFERROR(__xludf.DUMMYFUNCTION("""COMPUTED_VALUE"""),111.0)</f>
        <v>111</v>
      </c>
      <c r="J17" s="329">
        <f>IFERROR(__xludf.DUMMYFUNCTION("""COMPUTED_VALUE"""),93.0)</f>
        <v>93</v>
      </c>
      <c r="K17" s="329">
        <f>IFERROR(__xludf.DUMMYFUNCTION("""COMPUTED_VALUE"""),22692.0)</f>
        <v>22692</v>
      </c>
      <c r="L17" s="329">
        <f>IFERROR(__xludf.DUMMYFUNCTION("""COMPUTED_VALUE"""),2075.0)</f>
        <v>2075</v>
      </c>
      <c r="M17" s="329">
        <f>IFERROR(__xludf.DUMMYFUNCTION("""COMPUTED_VALUE"""),250762.0)</f>
        <v>250762</v>
      </c>
      <c r="N17" s="329">
        <f>IFERROR(__xludf.DUMMYFUNCTION("""COMPUTED_VALUE"""),273454.0)</f>
        <v>273454</v>
      </c>
      <c r="O17" s="329">
        <f>IFERROR(__xludf.DUMMYFUNCTION("""COMPUTED_VALUE"""),9.0)</f>
        <v>9</v>
      </c>
      <c r="P17" s="329">
        <f>IFERROR(__xludf.DUMMYFUNCTION("""COMPUTED_VALUE"""),2572.0)</f>
        <v>2572</v>
      </c>
      <c r="Q17" s="329">
        <f>IFERROR(__xludf.DUMMYFUNCTION("""COMPUTED_VALUE"""),8.0)</f>
        <v>8</v>
      </c>
      <c r="R17" s="329">
        <f>IFERROR(__xludf.DUMMYFUNCTION("""COMPUTED_VALUE"""),2154.0)</f>
        <v>2154</v>
      </c>
      <c r="S17" s="329">
        <f>IFERROR(__xludf.DUMMYFUNCTION("""COMPUTED_VALUE"""),0.0)</f>
        <v>0</v>
      </c>
      <c r="T17" s="329">
        <f>IFERROR(__xludf.DUMMYFUNCTION("""COMPUTED_VALUE"""),343.0)</f>
        <v>343</v>
      </c>
      <c r="U17" s="329">
        <f>IFERROR(__xludf.DUMMYFUNCTION("""COMPUTED_VALUE"""),75.0)</f>
        <v>75</v>
      </c>
      <c r="V17" s="329">
        <f>IFERROR(__xludf.DUMMYFUNCTION("""COMPUTED_VALUE"""),73.0)</f>
        <v>73</v>
      </c>
      <c r="W17" s="329">
        <f>IFERROR(__xludf.DUMMYFUNCTION("""COMPUTED_VALUE"""),10.0)</f>
        <v>10</v>
      </c>
      <c r="X17" s="329">
        <f>IFERROR(__xludf.DUMMYFUNCTION("""COMPUTED_VALUE"""),3.0)</f>
        <v>3</v>
      </c>
      <c r="Y17" s="329">
        <f>IFERROR(__xludf.DUMMYFUNCTION("""COMPUTED_VALUE"""),1.0)</f>
        <v>1</v>
      </c>
      <c r="Z17" s="329">
        <f>IFERROR(__xludf.DUMMYFUNCTION("""COMPUTED_VALUE"""),1093.0)</f>
        <v>1093</v>
      </c>
      <c r="AA17" s="257" t="str">
        <f>IFERROR(__xludf.DUMMYFUNCTION("""COMPUTED_VALUE"""),"--")</f>
        <v>--</v>
      </c>
      <c r="AB17" s="257" t="str">
        <f>IFERROR(__xludf.DUMMYFUNCTION("""COMPUTED_VALUE"""),"--")</f>
        <v>--</v>
      </c>
      <c r="AC17" s="257" t="str">
        <f>IFERROR(__xludf.DUMMYFUNCTION("""COMPUTED_VALUE"""),"--")</f>
        <v>--</v>
      </c>
      <c r="AD17" s="257" t="str">
        <f>IFERROR(__xludf.DUMMYFUNCTION("""COMPUTED_VALUE"""),"--")</f>
        <v>--</v>
      </c>
      <c r="AE17" s="257" t="str">
        <f>IFERROR(__xludf.DUMMYFUNCTION("""COMPUTED_VALUE"""),"--")</f>
        <v>--</v>
      </c>
      <c r="AF17" s="257" t="str">
        <f>IFERROR(__xludf.DUMMYFUNCTION("""COMPUTED_VALUE"""),"--")</f>
        <v>--</v>
      </c>
      <c r="AG17" s="257" t="str">
        <f>IFERROR(__xludf.DUMMYFUNCTION("""COMPUTED_VALUE"""),"--")</f>
        <v>--</v>
      </c>
      <c r="AH17" s="257" t="str">
        <f>IFERROR(__xludf.DUMMYFUNCTION("""COMPUTED_VALUE"""),"--")</f>
        <v>--</v>
      </c>
    </row>
    <row r="18">
      <c r="A18" s="328">
        <f>IFERROR(__xludf.DUMMYFUNCTION("""COMPUTED_VALUE"""),44085.0)</f>
        <v>44085</v>
      </c>
      <c r="B18" s="329">
        <f>IFERROR(__xludf.DUMMYFUNCTION("""COMPUTED_VALUE"""),120.0)</f>
        <v>120</v>
      </c>
      <c r="C18" s="329">
        <f>IFERROR(__xludf.DUMMYFUNCTION("""COMPUTED_VALUE"""),134.0)</f>
        <v>134</v>
      </c>
      <c r="D18" s="329">
        <f>IFERROR(__xludf.DUMMYFUNCTION("""COMPUTED_VALUE"""),32573.0)</f>
        <v>32573</v>
      </c>
      <c r="E18" s="329">
        <f>IFERROR(__xludf.DUMMYFUNCTION("""COMPUTED_VALUE"""),9455.0)</f>
        <v>9455</v>
      </c>
      <c r="F18" s="257">
        <f>IFERROR(__xludf.DUMMYFUNCTION("""COMPUTED_VALUE"""),592134.0)</f>
        <v>592134</v>
      </c>
      <c r="G18" s="257">
        <f>IFERROR(__xludf.DUMMYFUNCTION("""COMPUTED_VALUE"""),9575.0)</f>
        <v>9575</v>
      </c>
      <c r="H18" s="257">
        <f>IFERROR(__xludf.DUMMYFUNCTION("""COMPUTED_VALUE"""),624707.0)</f>
        <v>624707</v>
      </c>
      <c r="I18" s="329">
        <f>IFERROR(__xludf.DUMMYFUNCTION("""COMPUTED_VALUE"""),95.0)</f>
        <v>95</v>
      </c>
      <c r="J18" s="329">
        <f>IFERROR(__xludf.DUMMYFUNCTION("""COMPUTED_VALUE"""),103.0)</f>
        <v>103</v>
      </c>
      <c r="K18" s="329">
        <f>IFERROR(__xludf.DUMMYFUNCTION("""COMPUTED_VALUE"""),22787.0)</f>
        <v>22787</v>
      </c>
      <c r="L18" s="329">
        <f>IFERROR(__xludf.DUMMYFUNCTION("""COMPUTED_VALUE"""),1804.0)</f>
        <v>1804</v>
      </c>
      <c r="M18" s="329">
        <f>IFERROR(__xludf.DUMMYFUNCTION("""COMPUTED_VALUE"""),252566.0)</f>
        <v>252566</v>
      </c>
      <c r="N18" s="329">
        <f>IFERROR(__xludf.DUMMYFUNCTION("""COMPUTED_VALUE"""),275353.0)</f>
        <v>275353</v>
      </c>
      <c r="O18" s="329">
        <f>IFERROR(__xludf.DUMMYFUNCTION("""COMPUTED_VALUE"""),10.0)</f>
        <v>10</v>
      </c>
      <c r="P18" s="329">
        <f>IFERROR(__xludf.DUMMYFUNCTION("""COMPUTED_VALUE"""),2582.0)</f>
        <v>2582</v>
      </c>
      <c r="Q18" s="329">
        <f>IFERROR(__xludf.DUMMYFUNCTION("""COMPUTED_VALUE"""),10.0)</f>
        <v>10</v>
      </c>
      <c r="R18" s="329">
        <f>IFERROR(__xludf.DUMMYFUNCTION("""COMPUTED_VALUE"""),2164.0)</f>
        <v>2164</v>
      </c>
      <c r="S18" s="329">
        <f>IFERROR(__xludf.DUMMYFUNCTION("""COMPUTED_VALUE"""),0.0)</f>
        <v>0</v>
      </c>
      <c r="T18" s="329">
        <f>IFERROR(__xludf.DUMMYFUNCTION("""COMPUTED_VALUE"""),343.0)</f>
        <v>343</v>
      </c>
      <c r="U18" s="329">
        <f>IFERROR(__xludf.DUMMYFUNCTION("""COMPUTED_VALUE"""),75.0)</f>
        <v>75</v>
      </c>
      <c r="V18" s="329">
        <f>IFERROR(__xludf.DUMMYFUNCTION("""COMPUTED_VALUE"""),75.0)</f>
        <v>75</v>
      </c>
      <c r="W18" s="329">
        <f>IFERROR(__xludf.DUMMYFUNCTION("""COMPUTED_VALUE"""),10.0)</f>
        <v>10</v>
      </c>
      <c r="X18" s="329">
        <f>IFERROR(__xludf.DUMMYFUNCTION("""COMPUTED_VALUE"""),5.0)</f>
        <v>5</v>
      </c>
      <c r="Y18" s="329">
        <f>IFERROR(__xludf.DUMMYFUNCTION("""COMPUTED_VALUE"""),0.0)</f>
        <v>0</v>
      </c>
      <c r="Z18" s="329">
        <f>IFERROR(__xludf.DUMMYFUNCTION("""COMPUTED_VALUE"""),1093.0)</f>
        <v>1093</v>
      </c>
      <c r="AA18" s="257" t="str">
        <f>IFERROR(__xludf.DUMMYFUNCTION("""COMPUTED_VALUE"""),"--")</f>
        <v>--</v>
      </c>
      <c r="AB18" s="257" t="str">
        <f>IFERROR(__xludf.DUMMYFUNCTION("""COMPUTED_VALUE"""),"--")</f>
        <v>--</v>
      </c>
      <c r="AC18" s="257" t="str">
        <f>IFERROR(__xludf.DUMMYFUNCTION("""COMPUTED_VALUE"""),"--")</f>
        <v>--</v>
      </c>
      <c r="AD18" s="257" t="str">
        <f>IFERROR(__xludf.DUMMYFUNCTION("""COMPUTED_VALUE"""),"--")</f>
        <v>--</v>
      </c>
      <c r="AE18" s="257" t="str">
        <f>IFERROR(__xludf.DUMMYFUNCTION("""COMPUTED_VALUE"""),"--")</f>
        <v>--</v>
      </c>
      <c r="AF18" s="257" t="str">
        <f>IFERROR(__xludf.DUMMYFUNCTION("""COMPUTED_VALUE"""),"--")</f>
        <v>--</v>
      </c>
      <c r="AG18" s="257" t="str">
        <f>IFERROR(__xludf.DUMMYFUNCTION("""COMPUTED_VALUE"""),"--")</f>
        <v>--</v>
      </c>
      <c r="AH18" s="257" t="str">
        <f>IFERROR(__xludf.DUMMYFUNCTION("""COMPUTED_VALUE"""),"--")</f>
        <v>--</v>
      </c>
    </row>
    <row r="19">
      <c r="A19" s="328">
        <f>IFERROR(__xludf.DUMMYFUNCTION("""COMPUTED_VALUE"""),44086.0)</f>
        <v>44086</v>
      </c>
      <c r="B19" s="329">
        <f>IFERROR(__xludf.DUMMYFUNCTION("""COMPUTED_VALUE"""),110.0)</f>
        <v>110</v>
      </c>
      <c r="C19" s="329">
        <f>IFERROR(__xludf.DUMMYFUNCTION("""COMPUTED_VALUE"""),131.0)</f>
        <v>131</v>
      </c>
      <c r="D19" s="329">
        <f>IFERROR(__xludf.DUMMYFUNCTION("""COMPUTED_VALUE"""),32683.0)</f>
        <v>32683</v>
      </c>
      <c r="E19" s="329">
        <f>IFERROR(__xludf.DUMMYFUNCTION("""COMPUTED_VALUE"""),6158.0)</f>
        <v>6158</v>
      </c>
      <c r="F19" s="257">
        <f>IFERROR(__xludf.DUMMYFUNCTION("""COMPUTED_VALUE"""),598292.0)</f>
        <v>598292</v>
      </c>
      <c r="G19" s="257">
        <f>IFERROR(__xludf.DUMMYFUNCTION("""COMPUTED_VALUE"""),6268.0)</f>
        <v>6268</v>
      </c>
      <c r="H19" s="257">
        <f>IFERROR(__xludf.DUMMYFUNCTION("""COMPUTED_VALUE"""),630975.0)</f>
        <v>630975</v>
      </c>
      <c r="I19" s="329">
        <f>IFERROR(__xludf.DUMMYFUNCTION("""COMPUTED_VALUE"""),97.0)</f>
        <v>97</v>
      </c>
      <c r="J19" s="329">
        <f>IFERROR(__xludf.DUMMYFUNCTION("""COMPUTED_VALUE"""),101.0)</f>
        <v>101</v>
      </c>
      <c r="K19" s="329">
        <f>IFERROR(__xludf.DUMMYFUNCTION("""COMPUTED_VALUE"""),22884.0)</f>
        <v>22884</v>
      </c>
      <c r="L19" s="329">
        <f>IFERROR(__xludf.DUMMYFUNCTION("""COMPUTED_VALUE"""),1369.0)</f>
        <v>1369</v>
      </c>
      <c r="M19" s="329">
        <f>IFERROR(__xludf.DUMMYFUNCTION("""COMPUTED_VALUE"""),253935.0)</f>
        <v>253935</v>
      </c>
      <c r="N19" s="329">
        <f>IFERROR(__xludf.DUMMYFUNCTION("""COMPUTED_VALUE"""),276819.0)</f>
        <v>276819</v>
      </c>
      <c r="O19" s="329">
        <f>IFERROR(__xludf.DUMMYFUNCTION("""COMPUTED_VALUE"""),8.0)</f>
        <v>8</v>
      </c>
      <c r="P19" s="329">
        <f>IFERROR(__xludf.DUMMYFUNCTION("""COMPUTED_VALUE"""),2590.0)</f>
        <v>2590</v>
      </c>
      <c r="Q19" s="329">
        <f>IFERROR(__xludf.DUMMYFUNCTION("""COMPUTED_VALUE"""),5.0)</f>
        <v>5</v>
      </c>
      <c r="R19" s="329">
        <f>IFERROR(__xludf.DUMMYFUNCTION("""COMPUTED_VALUE"""),2169.0)</f>
        <v>2169</v>
      </c>
      <c r="S19" s="329">
        <f>IFERROR(__xludf.DUMMYFUNCTION("""COMPUTED_VALUE"""),2.0)</f>
        <v>2</v>
      </c>
      <c r="T19" s="329">
        <f>IFERROR(__xludf.DUMMYFUNCTION("""COMPUTED_VALUE"""),345.0)</f>
        <v>345</v>
      </c>
      <c r="U19" s="329">
        <f>IFERROR(__xludf.DUMMYFUNCTION("""COMPUTED_VALUE"""),76.0)</f>
        <v>76</v>
      </c>
      <c r="V19" s="329">
        <f>IFERROR(__xludf.DUMMYFUNCTION("""COMPUTED_VALUE"""),75.0)</f>
        <v>75</v>
      </c>
      <c r="W19" s="329">
        <f>IFERROR(__xludf.DUMMYFUNCTION("""COMPUTED_VALUE"""),9.0)</f>
        <v>9</v>
      </c>
      <c r="X19" s="329">
        <f>IFERROR(__xludf.DUMMYFUNCTION("""COMPUTED_VALUE"""),5.0)</f>
        <v>5</v>
      </c>
      <c r="Y19" s="329">
        <f>IFERROR(__xludf.DUMMYFUNCTION("""COMPUTED_VALUE"""),3.0)</f>
        <v>3</v>
      </c>
      <c r="Z19" s="329">
        <f>IFERROR(__xludf.DUMMYFUNCTION("""COMPUTED_VALUE"""),1096.0)</f>
        <v>1096</v>
      </c>
      <c r="AA19" s="257" t="str">
        <f>IFERROR(__xludf.DUMMYFUNCTION("""COMPUTED_VALUE"""),"--")</f>
        <v>--</v>
      </c>
      <c r="AB19" s="257" t="str">
        <f>IFERROR(__xludf.DUMMYFUNCTION("""COMPUTED_VALUE"""),"--")</f>
        <v>--</v>
      </c>
      <c r="AC19" s="257" t="str">
        <f>IFERROR(__xludf.DUMMYFUNCTION("""COMPUTED_VALUE"""),"--")</f>
        <v>--</v>
      </c>
      <c r="AD19" s="257" t="str">
        <f>IFERROR(__xludf.DUMMYFUNCTION("""COMPUTED_VALUE"""),"--")</f>
        <v>--</v>
      </c>
      <c r="AE19" s="257" t="str">
        <f>IFERROR(__xludf.DUMMYFUNCTION("""COMPUTED_VALUE"""),"--")</f>
        <v>--</v>
      </c>
      <c r="AF19" s="257" t="str">
        <f>IFERROR(__xludf.DUMMYFUNCTION("""COMPUTED_VALUE"""),"--")</f>
        <v>--</v>
      </c>
      <c r="AG19" s="257" t="str">
        <f>IFERROR(__xludf.DUMMYFUNCTION("""COMPUTED_VALUE"""),"--")</f>
        <v>--</v>
      </c>
      <c r="AH19" s="257" t="str">
        <f>IFERROR(__xludf.DUMMYFUNCTION("""COMPUTED_VALUE"""),"--")</f>
        <v>--</v>
      </c>
    </row>
    <row r="20">
      <c r="A20" s="328">
        <f>IFERROR(__xludf.DUMMYFUNCTION("""COMPUTED_VALUE"""),44087.0)</f>
        <v>44087</v>
      </c>
      <c r="B20" s="329">
        <f>IFERROR(__xludf.DUMMYFUNCTION("""COMPUTED_VALUE"""),58.0)</f>
        <v>58</v>
      </c>
      <c r="C20" s="329">
        <f>IFERROR(__xludf.DUMMYFUNCTION("""COMPUTED_VALUE"""),96.0)</f>
        <v>96</v>
      </c>
      <c r="D20" s="329">
        <f>IFERROR(__xludf.DUMMYFUNCTION("""COMPUTED_VALUE"""),32741.0)</f>
        <v>32741</v>
      </c>
      <c r="E20" s="329">
        <f>IFERROR(__xludf.DUMMYFUNCTION("""COMPUTED_VALUE"""),2717.0)</f>
        <v>2717</v>
      </c>
      <c r="F20" s="257">
        <f>IFERROR(__xludf.DUMMYFUNCTION("""COMPUTED_VALUE"""),601009.0)</f>
        <v>601009</v>
      </c>
      <c r="G20" s="257">
        <f>IFERROR(__xludf.DUMMYFUNCTION("""COMPUTED_VALUE"""),2775.0)</f>
        <v>2775</v>
      </c>
      <c r="H20" s="257">
        <f>IFERROR(__xludf.DUMMYFUNCTION("""COMPUTED_VALUE"""),633750.0)</f>
        <v>633750</v>
      </c>
      <c r="I20" s="329">
        <f>IFERROR(__xludf.DUMMYFUNCTION("""COMPUTED_VALUE"""),53.0)</f>
        <v>53</v>
      </c>
      <c r="J20" s="329">
        <f>IFERROR(__xludf.DUMMYFUNCTION("""COMPUTED_VALUE"""),82.0)</f>
        <v>82</v>
      </c>
      <c r="K20" s="329">
        <f>IFERROR(__xludf.DUMMYFUNCTION("""COMPUTED_VALUE"""),22937.0)</f>
        <v>22937</v>
      </c>
      <c r="L20" s="329">
        <f>IFERROR(__xludf.DUMMYFUNCTION("""COMPUTED_VALUE"""),801.0)</f>
        <v>801</v>
      </c>
      <c r="M20" s="329">
        <f>IFERROR(__xludf.DUMMYFUNCTION("""COMPUTED_VALUE"""),254736.0)</f>
        <v>254736</v>
      </c>
      <c r="N20" s="329">
        <f>IFERROR(__xludf.DUMMYFUNCTION("""COMPUTED_VALUE"""),277673.0)</f>
        <v>277673</v>
      </c>
      <c r="O20" s="329">
        <f>IFERROR(__xludf.DUMMYFUNCTION("""COMPUTED_VALUE"""),4.0)</f>
        <v>4</v>
      </c>
      <c r="P20" s="329">
        <f>IFERROR(__xludf.DUMMYFUNCTION("""COMPUTED_VALUE"""),2594.0)</f>
        <v>2594</v>
      </c>
      <c r="Q20" s="329">
        <f>IFERROR(__xludf.DUMMYFUNCTION("""COMPUTED_VALUE"""),3.0)</f>
        <v>3</v>
      </c>
      <c r="R20" s="329">
        <f>IFERROR(__xludf.DUMMYFUNCTION("""COMPUTED_VALUE"""),2172.0)</f>
        <v>2172</v>
      </c>
      <c r="S20" s="329">
        <f>IFERROR(__xludf.DUMMYFUNCTION("""COMPUTED_VALUE"""),0.0)</f>
        <v>0</v>
      </c>
      <c r="T20" s="329">
        <f>IFERROR(__xludf.DUMMYFUNCTION("""COMPUTED_VALUE"""),345.0)</f>
        <v>345</v>
      </c>
      <c r="U20" s="329">
        <f>IFERROR(__xludf.DUMMYFUNCTION("""COMPUTED_VALUE"""),77.0)</f>
        <v>77</v>
      </c>
      <c r="V20" s="329">
        <f>IFERROR(__xludf.DUMMYFUNCTION("""COMPUTED_VALUE"""),76.0)</f>
        <v>76</v>
      </c>
      <c r="W20" s="329">
        <f>IFERROR(__xludf.DUMMYFUNCTION("""COMPUTED_VALUE"""),10.0)</f>
        <v>10</v>
      </c>
      <c r="X20" s="329">
        <f>IFERROR(__xludf.DUMMYFUNCTION("""COMPUTED_VALUE"""),5.0)</f>
        <v>5</v>
      </c>
      <c r="Y20" s="329">
        <f>IFERROR(__xludf.DUMMYFUNCTION("""COMPUTED_VALUE"""),0.0)</f>
        <v>0</v>
      </c>
      <c r="Z20" s="329">
        <f>IFERROR(__xludf.DUMMYFUNCTION("""COMPUTED_VALUE"""),1096.0)</f>
        <v>1096</v>
      </c>
      <c r="AA20" s="257" t="str">
        <f>IFERROR(__xludf.DUMMYFUNCTION("""COMPUTED_VALUE"""),"--")</f>
        <v>--</v>
      </c>
      <c r="AB20" s="257" t="str">
        <f>IFERROR(__xludf.DUMMYFUNCTION("""COMPUTED_VALUE"""),"--")</f>
        <v>--</v>
      </c>
      <c r="AC20" s="257" t="str">
        <f>IFERROR(__xludf.DUMMYFUNCTION("""COMPUTED_VALUE"""),"--")</f>
        <v>--</v>
      </c>
      <c r="AD20" s="257" t="str">
        <f>IFERROR(__xludf.DUMMYFUNCTION("""COMPUTED_VALUE"""),"--")</f>
        <v>--</v>
      </c>
      <c r="AE20" s="257" t="str">
        <f>IFERROR(__xludf.DUMMYFUNCTION("""COMPUTED_VALUE"""),"--")</f>
        <v>--</v>
      </c>
      <c r="AF20" s="257" t="str">
        <f>IFERROR(__xludf.DUMMYFUNCTION("""COMPUTED_VALUE"""),"--")</f>
        <v>--</v>
      </c>
      <c r="AG20" s="257" t="str">
        <f>IFERROR(__xludf.DUMMYFUNCTION("""COMPUTED_VALUE"""),"--")</f>
        <v>--</v>
      </c>
      <c r="AH20" s="257" t="str">
        <f>IFERROR(__xludf.DUMMYFUNCTION("""COMPUTED_VALUE"""),"--")</f>
        <v>--</v>
      </c>
    </row>
    <row r="21">
      <c r="A21" s="328">
        <f>IFERROR(__xludf.DUMMYFUNCTION("""COMPUTED_VALUE"""),44088.0)</f>
        <v>44088</v>
      </c>
      <c r="B21" s="329">
        <f>IFERROR(__xludf.DUMMYFUNCTION("""COMPUTED_VALUE"""),104.0)</f>
        <v>104</v>
      </c>
      <c r="C21" s="329">
        <f>IFERROR(__xludf.DUMMYFUNCTION("""COMPUTED_VALUE"""),91.0)</f>
        <v>91</v>
      </c>
      <c r="D21" s="329">
        <f>IFERROR(__xludf.DUMMYFUNCTION("""COMPUTED_VALUE"""),32845.0)</f>
        <v>32845</v>
      </c>
      <c r="E21" s="329">
        <f>IFERROR(__xludf.DUMMYFUNCTION("""COMPUTED_VALUE"""),6434.0)</f>
        <v>6434</v>
      </c>
      <c r="F21" s="257">
        <f>IFERROR(__xludf.DUMMYFUNCTION("""COMPUTED_VALUE"""),607443.0)</f>
        <v>607443</v>
      </c>
      <c r="G21" s="257">
        <f>IFERROR(__xludf.DUMMYFUNCTION("""COMPUTED_VALUE"""),6538.0)</f>
        <v>6538</v>
      </c>
      <c r="H21" s="257">
        <f>IFERROR(__xludf.DUMMYFUNCTION("""COMPUTED_VALUE"""),640288.0)</f>
        <v>640288</v>
      </c>
      <c r="I21" s="329">
        <f>IFERROR(__xludf.DUMMYFUNCTION("""COMPUTED_VALUE"""),96.0)</f>
        <v>96</v>
      </c>
      <c r="J21" s="329">
        <f>IFERROR(__xludf.DUMMYFUNCTION("""COMPUTED_VALUE"""),82.0)</f>
        <v>82</v>
      </c>
      <c r="K21" s="329">
        <f>IFERROR(__xludf.DUMMYFUNCTION("""COMPUTED_VALUE"""),23033.0)</f>
        <v>23033</v>
      </c>
      <c r="L21" s="329">
        <f>IFERROR(__xludf.DUMMYFUNCTION("""COMPUTED_VALUE"""),1571.0)</f>
        <v>1571</v>
      </c>
      <c r="M21" s="329">
        <f>IFERROR(__xludf.DUMMYFUNCTION("""COMPUTED_VALUE"""),256307.0)</f>
        <v>256307</v>
      </c>
      <c r="N21" s="329">
        <f>IFERROR(__xludf.DUMMYFUNCTION("""COMPUTED_VALUE"""),279340.0)</f>
        <v>279340</v>
      </c>
      <c r="O21" s="329">
        <f>IFERROR(__xludf.DUMMYFUNCTION("""COMPUTED_VALUE"""),6.0)</f>
        <v>6</v>
      </c>
      <c r="P21" s="329">
        <f>IFERROR(__xludf.DUMMYFUNCTION("""COMPUTED_VALUE"""),2600.0)</f>
        <v>2600</v>
      </c>
      <c r="Q21" s="329">
        <f>IFERROR(__xludf.DUMMYFUNCTION("""COMPUTED_VALUE"""),3.0)</f>
        <v>3</v>
      </c>
      <c r="R21" s="329">
        <f>IFERROR(__xludf.DUMMYFUNCTION("""COMPUTED_VALUE"""),2175.0)</f>
        <v>2175</v>
      </c>
      <c r="S21" s="329">
        <f>IFERROR(__xludf.DUMMYFUNCTION("""COMPUTED_VALUE"""),2.0)</f>
        <v>2</v>
      </c>
      <c r="T21" s="329">
        <f>IFERROR(__xludf.DUMMYFUNCTION("""COMPUTED_VALUE"""),347.0)</f>
        <v>347</v>
      </c>
      <c r="U21" s="329">
        <f>IFERROR(__xludf.DUMMYFUNCTION("""COMPUTED_VALUE"""),78.0)</f>
        <v>78</v>
      </c>
      <c r="V21" s="329">
        <f>IFERROR(__xludf.DUMMYFUNCTION("""COMPUTED_VALUE"""),77.0)</f>
        <v>77</v>
      </c>
      <c r="W21" s="329">
        <f>IFERROR(__xludf.DUMMYFUNCTION("""COMPUTED_VALUE"""),10.0)</f>
        <v>10</v>
      </c>
      <c r="X21" s="329">
        <f>IFERROR(__xludf.DUMMYFUNCTION("""COMPUTED_VALUE"""),5.0)</f>
        <v>5</v>
      </c>
      <c r="Y21" s="329">
        <f>IFERROR(__xludf.DUMMYFUNCTION("""COMPUTED_VALUE"""),2.0)</f>
        <v>2</v>
      </c>
      <c r="Z21" s="329">
        <f>IFERROR(__xludf.DUMMYFUNCTION("""COMPUTED_VALUE"""),1098.0)</f>
        <v>1098</v>
      </c>
      <c r="AA21" s="257" t="str">
        <f>IFERROR(__xludf.DUMMYFUNCTION("""COMPUTED_VALUE"""),"--")</f>
        <v>--</v>
      </c>
      <c r="AB21" s="257" t="str">
        <f>IFERROR(__xludf.DUMMYFUNCTION("""COMPUTED_VALUE"""),"--")</f>
        <v>--</v>
      </c>
      <c r="AC21" s="257" t="str">
        <f>IFERROR(__xludf.DUMMYFUNCTION("""COMPUTED_VALUE"""),"--")</f>
        <v>--</v>
      </c>
      <c r="AD21" s="257" t="str">
        <f>IFERROR(__xludf.DUMMYFUNCTION("""COMPUTED_VALUE"""),"--")</f>
        <v>--</v>
      </c>
      <c r="AE21" s="257" t="str">
        <f>IFERROR(__xludf.DUMMYFUNCTION("""COMPUTED_VALUE"""),"--")</f>
        <v>--</v>
      </c>
      <c r="AF21" s="257" t="str">
        <f>IFERROR(__xludf.DUMMYFUNCTION("""COMPUTED_VALUE"""),"--")</f>
        <v>--</v>
      </c>
      <c r="AG21" s="257" t="str">
        <f>IFERROR(__xludf.DUMMYFUNCTION("""COMPUTED_VALUE"""),"--")</f>
        <v>--</v>
      </c>
      <c r="AH21" s="257" t="str">
        <f>IFERROR(__xludf.DUMMYFUNCTION("""COMPUTED_VALUE"""),"--")</f>
        <v>--</v>
      </c>
    </row>
    <row r="22">
      <c r="A22" s="328">
        <f>IFERROR(__xludf.DUMMYFUNCTION("""COMPUTED_VALUE"""),44089.0)</f>
        <v>44089</v>
      </c>
      <c r="B22" s="329">
        <f>IFERROR(__xludf.DUMMYFUNCTION("""COMPUTED_VALUE"""),122.0)</f>
        <v>122</v>
      </c>
      <c r="C22" s="329">
        <f>IFERROR(__xludf.DUMMYFUNCTION("""COMPUTED_VALUE"""),95.0)</f>
        <v>95</v>
      </c>
      <c r="D22" s="329">
        <f>IFERROR(__xludf.DUMMYFUNCTION("""COMPUTED_VALUE"""),32967.0)</f>
        <v>32967</v>
      </c>
      <c r="E22" s="329">
        <f>IFERROR(__xludf.DUMMYFUNCTION("""COMPUTED_VALUE"""),8456.0)</f>
        <v>8456</v>
      </c>
      <c r="F22" s="257">
        <f>IFERROR(__xludf.DUMMYFUNCTION("""COMPUTED_VALUE"""),615899.0)</f>
        <v>615899</v>
      </c>
      <c r="G22" s="257">
        <f>IFERROR(__xludf.DUMMYFUNCTION("""COMPUTED_VALUE"""),8578.0)</f>
        <v>8578</v>
      </c>
      <c r="H22" s="257">
        <f>IFERROR(__xludf.DUMMYFUNCTION("""COMPUTED_VALUE"""),648866.0)</f>
        <v>648866</v>
      </c>
      <c r="I22" s="329">
        <f>IFERROR(__xludf.DUMMYFUNCTION("""COMPUTED_VALUE"""),123.0)</f>
        <v>123</v>
      </c>
      <c r="J22" s="329">
        <f>IFERROR(__xludf.DUMMYFUNCTION("""COMPUTED_VALUE"""),91.0)</f>
        <v>91</v>
      </c>
      <c r="K22" s="329">
        <f>IFERROR(__xludf.DUMMYFUNCTION("""COMPUTED_VALUE"""),23156.0)</f>
        <v>23156</v>
      </c>
      <c r="L22" s="329">
        <f>IFERROR(__xludf.DUMMYFUNCTION("""COMPUTED_VALUE"""),2002.0)</f>
        <v>2002</v>
      </c>
      <c r="M22" s="329">
        <f>IFERROR(__xludf.DUMMYFUNCTION("""COMPUTED_VALUE"""),258309.0)</f>
        <v>258309</v>
      </c>
      <c r="N22" s="329">
        <f>IFERROR(__xludf.DUMMYFUNCTION("""COMPUTED_VALUE"""),281465.0)</f>
        <v>281465</v>
      </c>
      <c r="O22" s="329">
        <f>IFERROR(__xludf.DUMMYFUNCTION("""COMPUTED_VALUE"""),7.0)</f>
        <v>7</v>
      </c>
      <c r="P22" s="329">
        <f>IFERROR(__xludf.DUMMYFUNCTION("""COMPUTED_VALUE"""),2607.0)</f>
        <v>2607</v>
      </c>
      <c r="Q22" s="329">
        <f>IFERROR(__xludf.DUMMYFUNCTION("""COMPUTED_VALUE"""),2.0)</f>
        <v>2</v>
      </c>
      <c r="R22" s="329">
        <f>IFERROR(__xludf.DUMMYFUNCTION("""COMPUTED_VALUE"""),2177.0)</f>
        <v>2177</v>
      </c>
      <c r="S22" s="329">
        <f>IFERROR(__xludf.DUMMYFUNCTION("""COMPUTED_VALUE"""),1.0)</f>
        <v>1</v>
      </c>
      <c r="T22" s="329">
        <f>IFERROR(__xludf.DUMMYFUNCTION("""COMPUTED_VALUE"""),348.0)</f>
        <v>348</v>
      </c>
      <c r="U22" s="329">
        <f>IFERROR(__xludf.DUMMYFUNCTION("""COMPUTED_VALUE"""),82.0)</f>
        <v>82</v>
      </c>
      <c r="V22" s="329">
        <f>IFERROR(__xludf.DUMMYFUNCTION("""COMPUTED_VALUE"""),79.0)</f>
        <v>79</v>
      </c>
      <c r="W22" s="329">
        <f>IFERROR(__xludf.DUMMYFUNCTION("""COMPUTED_VALUE"""),10.0)</f>
        <v>10</v>
      </c>
      <c r="X22" s="329">
        <f>IFERROR(__xludf.DUMMYFUNCTION("""COMPUTED_VALUE"""),5.0)</f>
        <v>5</v>
      </c>
      <c r="Y22" s="329">
        <f>IFERROR(__xludf.DUMMYFUNCTION("""COMPUTED_VALUE"""),2.0)</f>
        <v>2</v>
      </c>
      <c r="Z22" s="329">
        <f>IFERROR(__xludf.DUMMYFUNCTION("""COMPUTED_VALUE"""),1100.0)</f>
        <v>1100</v>
      </c>
      <c r="AA22" s="257" t="str">
        <f>IFERROR(__xludf.DUMMYFUNCTION("""COMPUTED_VALUE"""),"--")</f>
        <v>--</v>
      </c>
      <c r="AB22" s="257" t="str">
        <f>IFERROR(__xludf.DUMMYFUNCTION("""COMPUTED_VALUE"""),"--")</f>
        <v>--</v>
      </c>
      <c r="AC22" s="257" t="str">
        <f>IFERROR(__xludf.DUMMYFUNCTION("""COMPUTED_VALUE"""),"--")</f>
        <v>--</v>
      </c>
      <c r="AD22" s="257" t="str">
        <f>IFERROR(__xludf.DUMMYFUNCTION("""COMPUTED_VALUE"""),"--")</f>
        <v>--</v>
      </c>
      <c r="AE22" s="257" t="str">
        <f>IFERROR(__xludf.DUMMYFUNCTION("""COMPUTED_VALUE"""),"--")</f>
        <v>--</v>
      </c>
      <c r="AF22" s="257" t="str">
        <f>IFERROR(__xludf.DUMMYFUNCTION("""COMPUTED_VALUE"""),"--")</f>
        <v>--</v>
      </c>
      <c r="AG22" s="257" t="str">
        <f>IFERROR(__xludf.DUMMYFUNCTION("""COMPUTED_VALUE"""),"--")</f>
        <v>--</v>
      </c>
      <c r="AH22" s="257" t="str">
        <f>IFERROR(__xludf.DUMMYFUNCTION("""COMPUTED_VALUE"""),"--")</f>
        <v>--</v>
      </c>
    </row>
    <row r="23">
      <c r="A23" s="328">
        <f>IFERROR(__xludf.DUMMYFUNCTION("""COMPUTED_VALUE"""),44090.0)</f>
        <v>44090</v>
      </c>
      <c r="B23" s="329">
        <f>IFERROR(__xludf.DUMMYFUNCTION("""COMPUTED_VALUE"""),137.0)</f>
        <v>137</v>
      </c>
      <c r="C23" s="329">
        <f>IFERROR(__xludf.DUMMYFUNCTION("""COMPUTED_VALUE"""),121.0)</f>
        <v>121</v>
      </c>
      <c r="D23" s="329">
        <f>IFERROR(__xludf.DUMMYFUNCTION("""COMPUTED_VALUE"""),33104.0)</f>
        <v>33104</v>
      </c>
      <c r="E23" s="329">
        <f>IFERROR(__xludf.DUMMYFUNCTION("""COMPUTED_VALUE"""),9707.0)</f>
        <v>9707</v>
      </c>
      <c r="F23" s="257">
        <f>IFERROR(__xludf.DUMMYFUNCTION("""COMPUTED_VALUE"""),625606.0)</f>
        <v>625606</v>
      </c>
      <c r="G23" s="257">
        <f>IFERROR(__xludf.DUMMYFUNCTION("""COMPUTED_VALUE"""),9844.0)</f>
        <v>9844</v>
      </c>
      <c r="H23" s="257">
        <f>IFERROR(__xludf.DUMMYFUNCTION("""COMPUTED_VALUE"""),658710.0)</f>
        <v>658710</v>
      </c>
      <c r="I23" s="329">
        <f>IFERROR(__xludf.DUMMYFUNCTION("""COMPUTED_VALUE"""),117.0)</f>
        <v>117</v>
      </c>
      <c r="J23" s="329">
        <f>IFERROR(__xludf.DUMMYFUNCTION("""COMPUTED_VALUE"""),112.0)</f>
        <v>112</v>
      </c>
      <c r="K23" s="329">
        <f>IFERROR(__xludf.DUMMYFUNCTION("""COMPUTED_VALUE"""),23273.0)</f>
        <v>23273</v>
      </c>
      <c r="L23" s="329">
        <f>IFERROR(__xludf.DUMMYFUNCTION("""COMPUTED_VALUE"""),1808.0)</f>
        <v>1808</v>
      </c>
      <c r="M23" s="329">
        <f>IFERROR(__xludf.DUMMYFUNCTION("""COMPUTED_VALUE"""),260117.0)</f>
        <v>260117</v>
      </c>
      <c r="N23" s="329">
        <f>IFERROR(__xludf.DUMMYFUNCTION("""COMPUTED_VALUE"""),283390.0)</f>
        <v>283390</v>
      </c>
      <c r="O23" s="329">
        <f>IFERROR(__xludf.DUMMYFUNCTION("""COMPUTED_VALUE"""),7.0)</f>
        <v>7</v>
      </c>
      <c r="P23" s="329">
        <f>IFERROR(__xludf.DUMMYFUNCTION("""COMPUTED_VALUE"""),2614.0)</f>
        <v>2614</v>
      </c>
      <c r="Q23" s="329">
        <f>IFERROR(__xludf.DUMMYFUNCTION("""COMPUTED_VALUE"""),7.0)</f>
        <v>7</v>
      </c>
      <c r="R23" s="329">
        <f>IFERROR(__xludf.DUMMYFUNCTION("""COMPUTED_VALUE"""),2184.0)</f>
        <v>2184</v>
      </c>
      <c r="S23" s="329">
        <f>IFERROR(__xludf.DUMMYFUNCTION("""COMPUTED_VALUE"""),2.0)</f>
        <v>2</v>
      </c>
      <c r="T23" s="329">
        <f>IFERROR(__xludf.DUMMYFUNCTION("""COMPUTED_VALUE"""),350.0)</f>
        <v>350</v>
      </c>
      <c r="U23" s="329">
        <f>IFERROR(__xludf.DUMMYFUNCTION("""COMPUTED_VALUE"""),80.0)</f>
        <v>80</v>
      </c>
      <c r="V23" s="329">
        <f>IFERROR(__xludf.DUMMYFUNCTION("""COMPUTED_VALUE"""),80.0)</f>
        <v>80</v>
      </c>
      <c r="W23" s="329">
        <f>IFERROR(__xludf.DUMMYFUNCTION("""COMPUTED_VALUE"""),9.0)</f>
        <v>9</v>
      </c>
      <c r="X23" s="329">
        <f>IFERROR(__xludf.DUMMYFUNCTION("""COMPUTED_VALUE"""),6.0)</f>
        <v>6</v>
      </c>
      <c r="Y23" s="329">
        <f>IFERROR(__xludf.DUMMYFUNCTION("""COMPUTED_VALUE"""),5.0)</f>
        <v>5</v>
      </c>
      <c r="Z23" s="329">
        <f>IFERROR(__xludf.DUMMYFUNCTION("""COMPUTED_VALUE"""),1105.0)</f>
        <v>1105</v>
      </c>
      <c r="AA23" s="257" t="str">
        <f>IFERROR(__xludf.DUMMYFUNCTION("""COMPUTED_VALUE"""),"--")</f>
        <v>--</v>
      </c>
      <c r="AB23" s="257" t="str">
        <f>IFERROR(__xludf.DUMMYFUNCTION("""COMPUTED_VALUE"""),"--")</f>
        <v>--</v>
      </c>
      <c r="AC23" s="257" t="str">
        <f>IFERROR(__xludf.DUMMYFUNCTION("""COMPUTED_VALUE"""),"--")</f>
        <v>--</v>
      </c>
      <c r="AD23" s="257" t="str">
        <f>IFERROR(__xludf.DUMMYFUNCTION("""COMPUTED_VALUE"""),"--")</f>
        <v>--</v>
      </c>
      <c r="AE23" s="257" t="str">
        <f>IFERROR(__xludf.DUMMYFUNCTION("""COMPUTED_VALUE"""),"--")</f>
        <v>--</v>
      </c>
      <c r="AF23" s="257" t="str">
        <f>IFERROR(__xludf.DUMMYFUNCTION("""COMPUTED_VALUE"""),"--")</f>
        <v>--</v>
      </c>
      <c r="AG23" s="257" t="str">
        <f>IFERROR(__xludf.DUMMYFUNCTION("""COMPUTED_VALUE"""),"--")</f>
        <v>--</v>
      </c>
      <c r="AH23" s="257" t="str">
        <f>IFERROR(__xludf.DUMMYFUNCTION("""COMPUTED_VALUE"""),"--")</f>
        <v>--</v>
      </c>
    </row>
    <row r="24">
      <c r="A24" s="328">
        <f>IFERROR(__xludf.DUMMYFUNCTION("""COMPUTED_VALUE"""),44091.0)</f>
        <v>44091</v>
      </c>
      <c r="B24" s="329">
        <f>IFERROR(__xludf.DUMMYFUNCTION("""COMPUTED_VALUE"""),125.0)</f>
        <v>125</v>
      </c>
      <c r="C24" s="329">
        <f>IFERROR(__xludf.DUMMYFUNCTION("""COMPUTED_VALUE"""),128.0)</f>
        <v>128</v>
      </c>
      <c r="D24" s="329">
        <f>IFERROR(__xludf.DUMMYFUNCTION("""COMPUTED_VALUE"""),33229.0)</f>
        <v>33229</v>
      </c>
      <c r="E24" s="329">
        <f>IFERROR(__xludf.DUMMYFUNCTION("""COMPUTED_VALUE"""),9228.0)</f>
        <v>9228</v>
      </c>
      <c r="F24" s="257">
        <f>IFERROR(__xludf.DUMMYFUNCTION("""COMPUTED_VALUE"""),634834.0)</f>
        <v>634834</v>
      </c>
      <c r="G24" s="257">
        <f>IFERROR(__xludf.DUMMYFUNCTION("""COMPUTED_VALUE"""),9353.0)</f>
        <v>9353</v>
      </c>
      <c r="H24" s="257">
        <f>IFERROR(__xludf.DUMMYFUNCTION("""COMPUTED_VALUE"""),668063.0)</f>
        <v>668063</v>
      </c>
      <c r="I24" s="329">
        <f>IFERROR(__xludf.DUMMYFUNCTION("""COMPUTED_VALUE"""),151.0)</f>
        <v>151</v>
      </c>
      <c r="J24" s="329">
        <f>IFERROR(__xludf.DUMMYFUNCTION("""COMPUTED_VALUE"""),130.0)</f>
        <v>130</v>
      </c>
      <c r="K24" s="329">
        <f>IFERROR(__xludf.DUMMYFUNCTION("""COMPUTED_VALUE"""),23424.0)</f>
        <v>23424</v>
      </c>
      <c r="L24" s="329">
        <f>IFERROR(__xludf.DUMMYFUNCTION("""COMPUTED_VALUE"""),1774.0)</f>
        <v>1774</v>
      </c>
      <c r="M24" s="329">
        <f>IFERROR(__xludf.DUMMYFUNCTION("""COMPUTED_VALUE"""),261891.0)</f>
        <v>261891</v>
      </c>
      <c r="N24" s="329">
        <f>IFERROR(__xludf.DUMMYFUNCTION("""COMPUTED_VALUE"""),285315.0)</f>
        <v>285315</v>
      </c>
      <c r="O24" s="329">
        <f>IFERROR(__xludf.DUMMYFUNCTION("""COMPUTED_VALUE"""),7.0)</f>
        <v>7</v>
      </c>
      <c r="P24" s="329">
        <f>IFERROR(__xludf.DUMMYFUNCTION("""COMPUTED_VALUE"""),2621.0)</f>
        <v>2621</v>
      </c>
      <c r="Q24" s="329">
        <f>IFERROR(__xludf.DUMMYFUNCTION("""COMPUTED_VALUE"""),15.0)</f>
        <v>15</v>
      </c>
      <c r="R24" s="329">
        <f>IFERROR(__xludf.DUMMYFUNCTION("""COMPUTED_VALUE"""),2199.0)</f>
        <v>2199</v>
      </c>
      <c r="S24" s="329">
        <f>IFERROR(__xludf.DUMMYFUNCTION("""COMPUTED_VALUE"""),0.0)</f>
        <v>0</v>
      </c>
      <c r="T24" s="329">
        <f>IFERROR(__xludf.DUMMYFUNCTION("""COMPUTED_VALUE"""),350.0)</f>
        <v>350</v>
      </c>
      <c r="U24" s="329">
        <f>IFERROR(__xludf.DUMMYFUNCTION("""COMPUTED_VALUE"""),72.0)</f>
        <v>72</v>
      </c>
      <c r="V24" s="329">
        <f>IFERROR(__xludf.DUMMYFUNCTION("""COMPUTED_VALUE"""),78.0)</f>
        <v>78</v>
      </c>
      <c r="W24" s="329">
        <f>IFERROR(__xludf.DUMMYFUNCTION("""COMPUTED_VALUE"""),8.0)</f>
        <v>8</v>
      </c>
      <c r="X24" s="329">
        <f>IFERROR(__xludf.DUMMYFUNCTION("""COMPUTED_VALUE"""),4.0)</f>
        <v>4</v>
      </c>
      <c r="Y24" s="329">
        <f>IFERROR(__xludf.DUMMYFUNCTION("""COMPUTED_VALUE"""),0.0)</f>
        <v>0</v>
      </c>
      <c r="Z24" s="329">
        <f>IFERROR(__xludf.DUMMYFUNCTION("""COMPUTED_VALUE"""),1105.0)</f>
        <v>1105</v>
      </c>
      <c r="AA24" s="257" t="str">
        <f>IFERROR(__xludf.DUMMYFUNCTION("""COMPUTED_VALUE"""),"--")</f>
        <v>--</v>
      </c>
      <c r="AB24" s="257" t="str">
        <f>IFERROR(__xludf.DUMMYFUNCTION("""COMPUTED_VALUE"""),"--")</f>
        <v>--</v>
      </c>
      <c r="AC24" s="257" t="str">
        <f>IFERROR(__xludf.DUMMYFUNCTION("""COMPUTED_VALUE"""),"--")</f>
        <v>--</v>
      </c>
      <c r="AD24" s="257" t="str">
        <f>IFERROR(__xludf.DUMMYFUNCTION("""COMPUTED_VALUE"""),"--")</f>
        <v>--</v>
      </c>
      <c r="AE24" s="257" t="str">
        <f>IFERROR(__xludf.DUMMYFUNCTION("""COMPUTED_VALUE"""),"--")</f>
        <v>--</v>
      </c>
      <c r="AF24" s="257" t="str">
        <f>IFERROR(__xludf.DUMMYFUNCTION("""COMPUTED_VALUE"""),"--")</f>
        <v>--</v>
      </c>
      <c r="AG24" s="257" t="str">
        <f>IFERROR(__xludf.DUMMYFUNCTION("""COMPUTED_VALUE"""),"--")</f>
        <v>--</v>
      </c>
      <c r="AH24" s="257" t="str">
        <f>IFERROR(__xludf.DUMMYFUNCTION("""COMPUTED_VALUE"""),"--")</f>
        <v>--</v>
      </c>
    </row>
    <row r="25">
      <c r="A25" s="328">
        <f>IFERROR(__xludf.DUMMYFUNCTION("""COMPUTED_VALUE"""),44092.0)</f>
        <v>44092</v>
      </c>
      <c r="B25" s="329">
        <f>IFERROR(__xludf.DUMMYFUNCTION("""COMPUTED_VALUE"""),132.0)</f>
        <v>132</v>
      </c>
      <c r="C25" s="329">
        <f>IFERROR(__xludf.DUMMYFUNCTION("""COMPUTED_VALUE"""),131.0)</f>
        <v>131</v>
      </c>
      <c r="D25" s="329">
        <f>IFERROR(__xludf.DUMMYFUNCTION("""COMPUTED_VALUE"""),33361.0)</f>
        <v>33361</v>
      </c>
      <c r="E25" s="329">
        <f>IFERROR(__xludf.DUMMYFUNCTION("""COMPUTED_VALUE"""),10027.0)</f>
        <v>10027</v>
      </c>
      <c r="F25" s="257">
        <f>IFERROR(__xludf.DUMMYFUNCTION("""COMPUTED_VALUE"""),644861.0)</f>
        <v>644861</v>
      </c>
      <c r="G25" s="257">
        <f>IFERROR(__xludf.DUMMYFUNCTION("""COMPUTED_VALUE"""),10159.0)</f>
        <v>10159</v>
      </c>
      <c r="H25" s="257">
        <f>IFERROR(__xludf.DUMMYFUNCTION("""COMPUTED_VALUE"""),678222.0)</f>
        <v>678222</v>
      </c>
      <c r="I25" s="329">
        <f>IFERROR(__xludf.DUMMYFUNCTION("""COMPUTED_VALUE"""),131.0)</f>
        <v>131</v>
      </c>
      <c r="J25" s="329">
        <f>IFERROR(__xludf.DUMMYFUNCTION("""COMPUTED_VALUE"""),133.0)</f>
        <v>133</v>
      </c>
      <c r="K25" s="329">
        <f>IFERROR(__xludf.DUMMYFUNCTION("""COMPUTED_VALUE"""),23555.0)</f>
        <v>23555</v>
      </c>
      <c r="L25" s="329">
        <f>IFERROR(__xludf.DUMMYFUNCTION("""COMPUTED_VALUE"""),1756.0)</f>
        <v>1756</v>
      </c>
      <c r="M25" s="329">
        <f>IFERROR(__xludf.DUMMYFUNCTION("""COMPUTED_VALUE"""),263647.0)</f>
        <v>263647</v>
      </c>
      <c r="N25" s="329">
        <f>IFERROR(__xludf.DUMMYFUNCTION("""COMPUTED_VALUE"""),287202.0)</f>
        <v>287202</v>
      </c>
      <c r="O25" s="329">
        <f>IFERROR(__xludf.DUMMYFUNCTION("""COMPUTED_VALUE"""),7.0)</f>
        <v>7</v>
      </c>
      <c r="P25" s="329">
        <f>IFERROR(__xludf.DUMMYFUNCTION("""COMPUTED_VALUE"""),2628.0)</f>
        <v>2628</v>
      </c>
      <c r="Q25" s="329">
        <f>IFERROR(__xludf.DUMMYFUNCTION("""COMPUTED_VALUE"""),7.0)</f>
        <v>7</v>
      </c>
      <c r="R25" s="329">
        <f>IFERROR(__xludf.DUMMYFUNCTION("""COMPUTED_VALUE"""),2206.0)</f>
        <v>2206</v>
      </c>
      <c r="S25" s="329">
        <f>IFERROR(__xludf.DUMMYFUNCTION("""COMPUTED_VALUE"""),1.0)</f>
        <v>1</v>
      </c>
      <c r="T25" s="329">
        <f>IFERROR(__xludf.DUMMYFUNCTION("""COMPUTED_VALUE"""),351.0)</f>
        <v>351</v>
      </c>
      <c r="U25" s="329">
        <f>IFERROR(__xludf.DUMMYFUNCTION("""COMPUTED_VALUE"""),71.0)</f>
        <v>71</v>
      </c>
      <c r="V25" s="329">
        <f>IFERROR(__xludf.DUMMYFUNCTION("""COMPUTED_VALUE"""),74.0)</f>
        <v>74</v>
      </c>
      <c r="W25" s="329">
        <f>IFERROR(__xludf.DUMMYFUNCTION("""COMPUTED_VALUE"""),11.0)</f>
        <v>11</v>
      </c>
      <c r="X25" s="329">
        <f>IFERROR(__xludf.DUMMYFUNCTION("""COMPUTED_VALUE"""),6.0)</f>
        <v>6</v>
      </c>
      <c r="Y25" s="329">
        <f>IFERROR(__xludf.DUMMYFUNCTION("""COMPUTED_VALUE"""),2.0)</f>
        <v>2</v>
      </c>
      <c r="Z25" s="329">
        <f>IFERROR(__xludf.DUMMYFUNCTION("""COMPUTED_VALUE"""),1107.0)</f>
        <v>1107</v>
      </c>
      <c r="AA25" s="257" t="str">
        <f>IFERROR(__xludf.DUMMYFUNCTION("""COMPUTED_VALUE"""),"--")</f>
        <v>--</v>
      </c>
      <c r="AB25" s="257" t="str">
        <f>IFERROR(__xludf.DUMMYFUNCTION("""COMPUTED_VALUE"""),"--")</f>
        <v>--</v>
      </c>
      <c r="AC25" s="257" t="str">
        <f>IFERROR(__xludf.DUMMYFUNCTION("""COMPUTED_VALUE"""),"--")</f>
        <v>--</v>
      </c>
      <c r="AD25" s="257" t="str">
        <f>IFERROR(__xludf.DUMMYFUNCTION("""COMPUTED_VALUE"""),"--")</f>
        <v>--</v>
      </c>
      <c r="AE25" s="257" t="str">
        <f>IFERROR(__xludf.DUMMYFUNCTION("""COMPUTED_VALUE"""),"--")</f>
        <v>--</v>
      </c>
      <c r="AF25" s="257" t="str">
        <f>IFERROR(__xludf.DUMMYFUNCTION("""COMPUTED_VALUE"""),"--")</f>
        <v>--</v>
      </c>
      <c r="AG25" s="257" t="str">
        <f>IFERROR(__xludf.DUMMYFUNCTION("""COMPUTED_VALUE"""),"--")</f>
        <v>--</v>
      </c>
      <c r="AH25" s="257" t="str">
        <f>IFERROR(__xludf.DUMMYFUNCTION("""COMPUTED_VALUE"""),"--")</f>
        <v>--</v>
      </c>
    </row>
    <row r="26">
      <c r="A26" s="328">
        <f>IFERROR(__xludf.DUMMYFUNCTION("""COMPUTED_VALUE"""),44093.0)</f>
        <v>44093</v>
      </c>
      <c r="B26" s="329">
        <f>IFERROR(__xludf.DUMMYFUNCTION("""COMPUTED_VALUE"""),115.0)</f>
        <v>115</v>
      </c>
      <c r="C26" s="329">
        <f>IFERROR(__xludf.DUMMYFUNCTION("""COMPUTED_VALUE"""),124.0)</f>
        <v>124</v>
      </c>
      <c r="D26" s="329">
        <f>IFERROR(__xludf.DUMMYFUNCTION("""COMPUTED_VALUE"""),33476.0)</f>
        <v>33476</v>
      </c>
      <c r="E26" s="329">
        <f>IFERROR(__xludf.DUMMYFUNCTION("""COMPUTED_VALUE"""),8292.0)</f>
        <v>8292</v>
      </c>
      <c r="F26" s="257">
        <f>IFERROR(__xludf.DUMMYFUNCTION("""COMPUTED_VALUE"""),653153.0)</f>
        <v>653153</v>
      </c>
      <c r="G26" s="257">
        <f>IFERROR(__xludf.DUMMYFUNCTION("""COMPUTED_VALUE"""),8407.0)</f>
        <v>8407</v>
      </c>
      <c r="H26" s="257">
        <f>IFERROR(__xludf.DUMMYFUNCTION("""COMPUTED_VALUE"""),686629.0)</f>
        <v>686629</v>
      </c>
      <c r="I26" s="329">
        <f>IFERROR(__xludf.DUMMYFUNCTION("""COMPUTED_VALUE"""),111.0)</f>
        <v>111</v>
      </c>
      <c r="J26" s="329">
        <f>IFERROR(__xludf.DUMMYFUNCTION("""COMPUTED_VALUE"""),131.0)</f>
        <v>131</v>
      </c>
      <c r="K26" s="329">
        <f>IFERROR(__xludf.DUMMYFUNCTION("""COMPUTED_VALUE"""),23666.0)</f>
        <v>23666</v>
      </c>
      <c r="L26" s="329">
        <f>IFERROR(__xludf.DUMMYFUNCTION("""COMPUTED_VALUE"""),1569.0)</f>
        <v>1569</v>
      </c>
      <c r="M26" s="329">
        <f>IFERROR(__xludf.DUMMYFUNCTION("""COMPUTED_VALUE"""),265216.0)</f>
        <v>265216</v>
      </c>
      <c r="N26" s="329">
        <f>IFERROR(__xludf.DUMMYFUNCTION("""COMPUTED_VALUE"""),288882.0)</f>
        <v>288882</v>
      </c>
      <c r="O26" s="329">
        <f>IFERROR(__xludf.DUMMYFUNCTION("""COMPUTED_VALUE"""),7.0)</f>
        <v>7</v>
      </c>
      <c r="P26" s="329">
        <f>IFERROR(__xludf.DUMMYFUNCTION("""COMPUTED_VALUE"""),2635.0)</f>
        <v>2635</v>
      </c>
      <c r="Q26" s="329">
        <f>IFERROR(__xludf.DUMMYFUNCTION("""COMPUTED_VALUE"""),3.0)</f>
        <v>3</v>
      </c>
      <c r="R26" s="329">
        <f>IFERROR(__xludf.DUMMYFUNCTION("""COMPUTED_VALUE"""),2209.0)</f>
        <v>2209</v>
      </c>
      <c r="S26" s="329">
        <f>IFERROR(__xludf.DUMMYFUNCTION("""COMPUTED_VALUE"""),0.0)</f>
        <v>0</v>
      </c>
      <c r="T26" s="329">
        <f>IFERROR(__xludf.DUMMYFUNCTION("""COMPUTED_VALUE"""),351.0)</f>
        <v>351</v>
      </c>
      <c r="U26" s="329">
        <f>IFERROR(__xludf.DUMMYFUNCTION("""COMPUTED_VALUE"""),75.0)</f>
        <v>75</v>
      </c>
      <c r="V26" s="329">
        <f>IFERROR(__xludf.DUMMYFUNCTION("""COMPUTED_VALUE"""),73.0)</f>
        <v>73</v>
      </c>
      <c r="W26" s="329">
        <f>IFERROR(__xludf.DUMMYFUNCTION("""COMPUTED_VALUE"""),10.0)</f>
        <v>10</v>
      </c>
      <c r="X26" s="329">
        <f>IFERROR(__xludf.DUMMYFUNCTION("""COMPUTED_VALUE"""),6.0)</f>
        <v>6</v>
      </c>
      <c r="Y26" s="329">
        <f>IFERROR(__xludf.DUMMYFUNCTION("""COMPUTED_VALUE"""),4.0)</f>
        <v>4</v>
      </c>
      <c r="Z26" s="329">
        <f>IFERROR(__xludf.DUMMYFUNCTION("""COMPUTED_VALUE"""),1111.0)</f>
        <v>1111</v>
      </c>
      <c r="AA26" s="257" t="str">
        <f>IFERROR(__xludf.DUMMYFUNCTION("""COMPUTED_VALUE"""),"--")</f>
        <v>--</v>
      </c>
      <c r="AB26" s="257" t="str">
        <f>IFERROR(__xludf.DUMMYFUNCTION("""COMPUTED_VALUE"""),"--")</f>
        <v>--</v>
      </c>
      <c r="AC26" s="257" t="str">
        <f>IFERROR(__xludf.DUMMYFUNCTION("""COMPUTED_VALUE"""),"--")</f>
        <v>--</v>
      </c>
      <c r="AD26" s="257" t="str">
        <f>IFERROR(__xludf.DUMMYFUNCTION("""COMPUTED_VALUE"""),"--")</f>
        <v>--</v>
      </c>
      <c r="AE26" s="257" t="str">
        <f>IFERROR(__xludf.DUMMYFUNCTION("""COMPUTED_VALUE"""),"--")</f>
        <v>--</v>
      </c>
      <c r="AF26" s="257" t="str">
        <f>IFERROR(__xludf.DUMMYFUNCTION("""COMPUTED_VALUE"""),"--")</f>
        <v>--</v>
      </c>
      <c r="AG26" s="257" t="str">
        <f>IFERROR(__xludf.DUMMYFUNCTION("""COMPUTED_VALUE"""),"--")</f>
        <v>--</v>
      </c>
      <c r="AH26" s="257" t="str">
        <f>IFERROR(__xludf.DUMMYFUNCTION("""COMPUTED_VALUE"""),"--")</f>
        <v>--</v>
      </c>
    </row>
    <row r="27">
      <c r="A27" s="328">
        <f>IFERROR(__xludf.DUMMYFUNCTION("""COMPUTED_VALUE"""),44094.0)</f>
        <v>44094</v>
      </c>
      <c r="B27" s="329">
        <f>IFERROR(__xludf.DUMMYFUNCTION("""COMPUTED_VALUE"""),60.0)</f>
        <v>60</v>
      </c>
      <c r="C27" s="329">
        <f>IFERROR(__xludf.DUMMYFUNCTION("""COMPUTED_VALUE"""),102.0)</f>
        <v>102</v>
      </c>
      <c r="D27" s="329">
        <f>IFERROR(__xludf.DUMMYFUNCTION("""COMPUTED_VALUE"""),33536.0)</f>
        <v>33536</v>
      </c>
      <c r="E27" s="329">
        <f>IFERROR(__xludf.DUMMYFUNCTION("""COMPUTED_VALUE"""),3676.0)</f>
        <v>3676</v>
      </c>
      <c r="F27" s="257">
        <f>IFERROR(__xludf.DUMMYFUNCTION("""COMPUTED_VALUE"""),656829.0)</f>
        <v>656829</v>
      </c>
      <c r="G27" s="257">
        <f>IFERROR(__xludf.DUMMYFUNCTION("""COMPUTED_VALUE"""),3736.0)</f>
        <v>3736</v>
      </c>
      <c r="H27" s="257">
        <f>IFERROR(__xludf.DUMMYFUNCTION("""COMPUTED_VALUE"""),690365.0)</f>
        <v>690365</v>
      </c>
      <c r="I27" s="329">
        <f>IFERROR(__xludf.DUMMYFUNCTION("""COMPUTED_VALUE"""),49.0)</f>
        <v>49</v>
      </c>
      <c r="J27" s="329">
        <f>IFERROR(__xludf.DUMMYFUNCTION("""COMPUTED_VALUE"""),97.0)</f>
        <v>97</v>
      </c>
      <c r="K27" s="329">
        <f>IFERROR(__xludf.DUMMYFUNCTION("""COMPUTED_VALUE"""),23715.0)</f>
        <v>23715</v>
      </c>
      <c r="L27" s="329">
        <f>IFERROR(__xludf.DUMMYFUNCTION("""COMPUTED_VALUE"""),1212.0)</f>
        <v>1212</v>
      </c>
      <c r="M27" s="329">
        <f>IFERROR(__xludf.DUMMYFUNCTION("""COMPUTED_VALUE"""),266428.0)</f>
        <v>266428</v>
      </c>
      <c r="N27" s="329">
        <f>IFERROR(__xludf.DUMMYFUNCTION("""COMPUTED_VALUE"""),290143.0)</f>
        <v>290143</v>
      </c>
      <c r="O27" s="329">
        <f>IFERROR(__xludf.DUMMYFUNCTION("""COMPUTED_VALUE"""),7.0)</f>
        <v>7</v>
      </c>
      <c r="P27" s="329">
        <f>IFERROR(__xludf.DUMMYFUNCTION("""COMPUTED_VALUE"""),2642.0)</f>
        <v>2642</v>
      </c>
      <c r="Q27" s="329">
        <f>IFERROR(__xludf.DUMMYFUNCTION("""COMPUTED_VALUE"""),6.0)</f>
        <v>6</v>
      </c>
      <c r="R27" s="329">
        <f>IFERROR(__xludf.DUMMYFUNCTION("""COMPUTED_VALUE"""),2215.0)</f>
        <v>2215</v>
      </c>
      <c r="S27" s="329">
        <f>IFERROR(__xludf.DUMMYFUNCTION("""COMPUTED_VALUE"""),2.0)</f>
        <v>2</v>
      </c>
      <c r="T27" s="329">
        <f>IFERROR(__xludf.DUMMYFUNCTION("""COMPUTED_VALUE"""),353.0)</f>
        <v>353</v>
      </c>
      <c r="U27" s="329">
        <f>IFERROR(__xludf.DUMMYFUNCTION("""COMPUTED_VALUE"""),74.0)</f>
        <v>74</v>
      </c>
      <c r="V27" s="329">
        <f>IFERROR(__xludf.DUMMYFUNCTION("""COMPUTED_VALUE"""),73.0)</f>
        <v>73</v>
      </c>
      <c r="W27" s="329">
        <f>IFERROR(__xludf.DUMMYFUNCTION("""COMPUTED_VALUE"""),9.0)</f>
        <v>9</v>
      </c>
      <c r="X27" s="329">
        <f>IFERROR(__xludf.DUMMYFUNCTION("""COMPUTED_VALUE"""),8.0)</f>
        <v>8</v>
      </c>
      <c r="Y27" s="329">
        <f>IFERROR(__xludf.DUMMYFUNCTION("""COMPUTED_VALUE"""),4.0)</f>
        <v>4</v>
      </c>
      <c r="Z27" s="329">
        <f>IFERROR(__xludf.DUMMYFUNCTION("""COMPUTED_VALUE"""),1115.0)</f>
        <v>1115</v>
      </c>
      <c r="AA27" s="257" t="str">
        <f>IFERROR(__xludf.DUMMYFUNCTION("""COMPUTED_VALUE"""),"--")</f>
        <v>--</v>
      </c>
      <c r="AB27" s="257" t="str">
        <f>IFERROR(__xludf.DUMMYFUNCTION("""COMPUTED_VALUE"""),"--")</f>
        <v>--</v>
      </c>
      <c r="AC27" s="257" t="str">
        <f>IFERROR(__xludf.DUMMYFUNCTION("""COMPUTED_VALUE"""),"--")</f>
        <v>--</v>
      </c>
      <c r="AD27" s="257" t="str">
        <f>IFERROR(__xludf.DUMMYFUNCTION("""COMPUTED_VALUE"""),"--")</f>
        <v>--</v>
      </c>
      <c r="AE27" s="257" t="str">
        <f>IFERROR(__xludf.DUMMYFUNCTION("""COMPUTED_VALUE"""),"--")</f>
        <v>--</v>
      </c>
      <c r="AF27" s="257" t="str">
        <f>IFERROR(__xludf.DUMMYFUNCTION("""COMPUTED_VALUE"""),"--")</f>
        <v>--</v>
      </c>
      <c r="AG27" s="257" t="str">
        <f>IFERROR(__xludf.DUMMYFUNCTION("""COMPUTED_VALUE"""),"--")</f>
        <v>--</v>
      </c>
      <c r="AH27" s="257" t="str">
        <f>IFERROR(__xludf.DUMMYFUNCTION("""COMPUTED_VALUE"""),"--")</f>
        <v>--</v>
      </c>
    </row>
    <row r="28">
      <c r="A28" s="328">
        <f>IFERROR(__xludf.DUMMYFUNCTION("""COMPUTED_VALUE"""),44095.0)</f>
        <v>44095</v>
      </c>
      <c r="B28" s="329">
        <f>IFERROR(__xludf.DUMMYFUNCTION("""COMPUTED_VALUE"""),102.0)</f>
        <v>102</v>
      </c>
      <c r="C28" s="329">
        <f>IFERROR(__xludf.DUMMYFUNCTION("""COMPUTED_VALUE"""),92.0)</f>
        <v>92</v>
      </c>
      <c r="D28" s="329">
        <f>IFERROR(__xludf.DUMMYFUNCTION("""COMPUTED_VALUE"""),33638.0)</f>
        <v>33638</v>
      </c>
      <c r="E28" s="329">
        <f>IFERROR(__xludf.DUMMYFUNCTION("""COMPUTED_VALUE"""),7007.0)</f>
        <v>7007</v>
      </c>
      <c r="F28" s="257">
        <f>IFERROR(__xludf.DUMMYFUNCTION("""COMPUTED_VALUE"""),663836.0)</f>
        <v>663836</v>
      </c>
      <c r="G28" s="257">
        <f>IFERROR(__xludf.DUMMYFUNCTION("""COMPUTED_VALUE"""),7109.0)</f>
        <v>7109</v>
      </c>
      <c r="H28" s="257">
        <f>IFERROR(__xludf.DUMMYFUNCTION("""COMPUTED_VALUE"""),697474.0)</f>
        <v>697474</v>
      </c>
      <c r="I28" s="329">
        <f>IFERROR(__xludf.DUMMYFUNCTION("""COMPUTED_VALUE"""),95.0)</f>
        <v>95</v>
      </c>
      <c r="J28" s="329">
        <f>IFERROR(__xludf.DUMMYFUNCTION("""COMPUTED_VALUE"""),85.0)</f>
        <v>85</v>
      </c>
      <c r="K28" s="329">
        <f>IFERROR(__xludf.DUMMYFUNCTION("""COMPUTED_VALUE"""),23810.0)</f>
        <v>23810</v>
      </c>
      <c r="L28" s="329">
        <f>IFERROR(__xludf.DUMMYFUNCTION("""COMPUTED_VALUE"""),2264.0)</f>
        <v>2264</v>
      </c>
      <c r="M28" s="329">
        <f>IFERROR(__xludf.DUMMYFUNCTION("""COMPUTED_VALUE"""),268692.0)</f>
        <v>268692</v>
      </c>
      <c r="N28" s="329">
        <f>IFERROR(__xludf.DUMMYFUNCTION("""COMPUTED_VALUE"""),292502.0)</f>
        <v>292502</v>
      </c>
      <c r="O28" s="329">
        <f>IFERROR(__xludf.DUMMYFUNCTION("""COMPUTED_VALUE"""),12.0)</f>
        <v>12</v>
      </c>
      <c r="P28" s="329">
        <f>IFERROR(__xludf.DUMMYFUNCTION("""COMPUTED_VALUE"""),2654.0)</f>
        <v>2654</v>
      </c>
      <c r="Q28" s="329">
        <f>IFERROR(__xludf.DUMMYFUNCTION("""COMPUTED_VALUE"""),3.0)</f>
        <v>3</v>
      </c>
      <c r="R28" s="329">
        <f>IFERROR(__xludf.DUMMYFUNCTION("""COMPUTED_VALUE"""),2218.0)</f>
        <v>2218</v>
      </c>
      <c r="S28" s="329">
        <f>IFERROR(__xludf.DUMMYFUNCTION("""COMPUTED_VALUE"""),2.0)</f>
        <v>2</v>
      </c>
      <c r="T28" s="329">
        <f>IFERROR(__xludf.DUMMYFUNCTION("""COMPUTED_VALUE"""),355.0)</f>
        <v>355</v>
      </c>
      <c r="U28" s="329">
        <f>IFERROR(__xludf.DUMMYFUNCTION("""COMPUTED_VALUE"""),81.0)</f>
        <v>81</v>
      </c>
      <c r="V28" s="329">
        <f>IFERROR(__xludf.DUMMYFUNCTION("""COMPUTED_VALUE"""),77.0)</f>
        <v>77</v>
      </c>
      <c r="W28" s="329">
        <f>IFERROR(__xludf.DUMMYFUNCTION("""COMPUTED_VALUE"""),8.0)</f>
        <v>8</v>
      </c>
      <c r="X28" s="329">
        <f>IFERROR(__xludf.DUMMYFUNCTION("""COMPUTED_VALUE"""),6.0)</f>
        <v>6</v>
      </c>
      <c r="Y28" s="329">
        <f>IFERROR(__xludf.DUMMYFUNCTION("""COMPUTED_VALUE"""),2.0)</f>
        <v>2</v>
      </c>
      <c r="Z28" s="329">
        <f>IFERROR(__xludf.DUMMYFUNCTION("""COMPUTED_VALUE"""),1117.0)</f>
        <v>1117</v>
      </c>
      <c r="AA28" s="257" t="str">
        <f>IFERROR(__xludf.DUMMYFUNCTION("""COMPUTED_VALUE"""),"--")</f>
        <v>--</v>
      </c>
      <c r="AB28" s="257" t="str">
        <f>IFERROR(__xludf.DUMMYFUNCTION("""COMPUTED_VALUE"""),"--")</f>
        <v>--</v>
      </c>
      <c r="AC28" s="257" t="str">
        <f>IFERROR(__xludf.DUMMYFUNCTION("""COMPUTED_VALUE"""),"--")</f>
        <v>--</v>
      </c>
      <c r="AD28" s="257" t="str">
        <f>IFERROR(__xludf.DUMMYFUNCTION("""COMPUTED_VALUE"""),"--")</f>
        <v>--</v>
      </c>
      <c r="AE28" s="257" t="str">
        <f>IFERROR(__xludf.DUMMYFUNCTION("""COMPUTED_VALUE"""),"--")</f>
        <v>--</v>
      </c>
      <c r="AF28" s="257" t="str">
        <f>IFERROR(__xludf.DUMMYFUNCTION("""COMPUTED_VALUE"""),"--")</f>
        <v>--</v>
      </c>
      <c r="AG28" s="257" t="str">
        <f>IFERROR(__xludf.DUMMYFUNCTION("""COMPUTED_VALUE"""),"--")</f>
        <v>--</v>
      </c>
      <c r="AH28" s="257" t="str">
        <f>IFERROR(__xludf.DUMMYFUNCTION("""COMPUTED_VALUE"""),"--")</f>
        <v>--</v>
      </c>
    </row>
    <row r="29">
      <c r="A29" s="328">
        <f>IFERROR(__xludf.DUMMYFUNCTION("""COMPUTED_VALUE"""),44096.0)</f>
        <v>44096</v>
      </c>
      <c r="B29" s="329">
        <f>IFERROR(__xludf.DUMMYFUNCTION("""COMPUTED_VALUE"""),154.0)</f>
        <v>154</v>
      </c>
      <c r="C29" s="329">
        <f>IFERROR(__xludf.DUMMYFUNCTION("""COMPUTED_VALUE"""),105.0)</f>
        <v>105</v>
      </c>
      <c r="D29" s="329">
        <f>IFERROR(__xludf.DUMMYFUNCTION("""COMPUTED_VALUE"""),33792.0)</f>
        <v>33792</v>
      </c>
      <c r="E29" s="329">
        <f>IFERROR(__xludf.DUMMYFUNCTION("""COMPUTED_VALUE"""),9275.0)</f>
        <v>9275</v>
      </c>
      <c r="F29" s="257">
        <f>IFERROR(__xludf.DUMMYFUNCTION("""COMPUTED_VALUE"""),673111.0)</f>
        <v>673111</v>
      </c>
      <c r="G29" s="257">
        <f>IFERROR(__xludf.DUMMYFUNCTION("""COMPUTED_VALUE"""),9429.0)</f>
        <v>9429</v>
      </c>
      <c r="H29" s="257">
        <f>IFERROR(__xludf.DUMMYFUNCTION("""COMPUTED_VALUE"""),706903.0)</f>
        <v>706903</v>
      </c>
      <c r="I29" s="329">
        <f>IFERROR(__xludf.DUMMYFUNCTION("""COMPUTED_VALUE"""),123.0)</f>
        <v>123</v>
      </c>
      <c r="J29" s="329">
        <f>IFERROR(__xludf.DUMMYFUNCTION("""COMPUTED_VALUE"""),89.0)</f>
        <v>89</v>
      </c>
      <c r="K29" s="329">
        <f>IFERROR(__xludf.DUMMYFUNCTION("""COMPUTED_VALUE"""),23933.0)</f>
        <v>23933</v>
      </c>
      <c r="L29" s="329">
        <f>IFERROR(__xludf.DUMMYFUNCTION("""COMPUTED_VALUE"""),2006.0)</f>
        <v>2006</v>
      </c>
      <c r="M29" s="329">
        <f>IFERROR(__xludf.DUMMYFUNCTION("""COMPUTED_VALUE"""),270698.0)</f>
        <v>270698</v>
      </c>
      <c r="N29" s="329">
        <f>IFERROR(__xludf.DUMMYFUNCTION("""COMPUTED_VALUE"""),294631.0)</f>
        <v>294631</v>
      </c>
      <c r="O29" s="329">
        <f>IFERROR(__xludf.DUMMYFUNCTION("""COMPUTED_VALUE"""),12.0)</f>
        <v>12</v>
      </c>
      <c r="P29" s="329">
        <f>IFERROR(__xludf.DUMMYFUNCTION("""COMPUTED_VALUE"""),2666.0)</f>
        <v>2666</v>
      </c>
      <c r="Q29" s="329">
        <f>IFERROR(__xludf.DUMMYFUNCTION("""COMPUTED_VALUE"""),3.0)</f>
        <v>3</v>
      </c>
      <c r="R29" s="329">
        <f>IFERROR(__xludf.DUMMYFUNCTION("""COMPUTED_VALUE"""),2221.0)</f>
        <v>2221</v>
      </c>
      <c r="S29" s="329">
        <f>IFERROR(__xludf.DUMMYFUNCTION("""COMPUTED_VALUE"""),1.0)</f>
        <v>1</v>
      </c>
      <c r="T29" s="329">
        <f>IFERROR(__xludf.DUMMYFUNCTION("""COMPUTED_VALUE"""),356.0)</f>
        <v>356</v>
      </c>
      <c r="U29" s="329">
        <f>IFERROR(__xludf.DUMMYFUNCTION("""COMPUTED_VALUE"""),89.0)</f>
        <v>89</v>
      </c>
      <c r="V29" s="329">
        <f>IFERROR(__xludf.DUMMYFUNCTION("""COMPUTED_VALUE"""),81.0)</f>
        <v>81</v>
      </c>
      <c r="W29" s="329">
        <f>IFERROR(__xludf.DUMMYFUNCTION("""COMPUTED_VALUE"""),7.0)</f>
        <v>7</v>
      </c>
      <c r="X29" s="329">
        <f>IFERROR(__xludf.DUMMYFUNCTION("""COMPUTED_VALUE"""),5.0)</f>
        <v>5</v>
      </c>
      <c r="Y29" s="329">
        <f>IFERROR(__xludf.DUMMYFUNCTION("""COMPUTED_VALUE"""),1.0)</f>
        <v>1</v>
      </c>
      <c r="Z29" s="329">
        <f>IFERROR(__xludf.DUMMYFUNCTION("""COMPUTED_VALUE"""),1118.0)</f>
        <v>1118</v>
      </c>
      <c r="AA29" s="257" t="str">
        <f>IFERROR(__xludf.DUMMYFUNCTION("""COMPUTED_VALUE"""),"--")</f>
        <v>--</v>
      </c>
      <c r="AB29" s="257" t="str">
        <f>IFERROR(__xludf.DUMMYFUNCTION("""COMPUTED_VALUE"""),"--")</f>
        <v>--</v>
      </c>
      <c r="AC29" s="257" t="str">
        <f>IFERROR(__xludf.DUMMYFUNCTION("""COMPUTED_VALUE"""),"--")</f>
        <v>--</v>
      </c>
      <c r="AD29" s="257" t="str">
        <f>IFERROR(__xludf.DUMMYFUNCTION("""COMPUTED_VALUE"""),"--")</f>
        <v>--</v>
      </c>
      <c r="AE29" s="257" t="str">
        <f>IFERROR(__xludf.DUMMYFUNCTION("""COMPUTED_VALUE"""),"--")</f>
        <v>--</v>
      </c>
      <c r="AF29" s="257" t="str">
        <f>IFERROR(__xludf.DUMMYFUNCTION("""COMPUTED_VALUE"""),"--")</f>
        <v>--</v>
      </c>
      <c r="AG29" s="257" t="str">
        <f>IFERROR(__xludf.DUMMYFUNCTION("""COMPUTED_VALUE"""),"--")</f>
        <v>--</v>
      </c>
      <c r="AH29" s="257" t="str">
        <f>IFERROR(__xludf.DUMMYFUNCTION("""COMPUTED_VALUE"""),"--")</f>
        <v>--</v>
      </c>
    </row>
    <row r="30">
      <c r="A30" s="328">
        <f>IFERROR(__xludf.DUMMYFUNCTION("""COMPUTED_VALUE"""),44097.0)</f>
        <v>44097</v>
      </c>
      <c r="B30" s="329">
        <f>IFERROR(__xludf.DUMMYFUNCTION("""COMPUTED_VALUE"""),136.0)</f>
        <v>136</v>
      </c>
      <c r="C30" s="329">
        <f>IFERROR(__xludf.DUMMYFUNCTION("""COMPUTED_VALUE"""),131.0)</f>
        <v>131</v>
      </c>
      <c r="D30" s="329">
        <f>IFERROR(__xludf.DUMMYFUNCTION("""COMPUTED_VALUE"""),33928.0)</f>
        <v>33928</v>
      </c>
      <c r="E30" s="329">
        <f>IFERROR(__xludf.DUMMYFUNCTION("""COMPUTED_VALUE"""),10637.0)</f>
        <v>10637</v>
      </c>
      <c r="F30" s="257">
        <f>IFERROR(__xludf.DUMMYFUNCTION("""COMPUTED_VALUE"""),683748.0)</f>
        <v>683748</v>
      </c>
      <c r="G30" s="257">
        <f>IFERROR(__xludf.DUMMYFUNCTION("""COMPUTED_VALUE"""),10773.0)</f>
        <v>10773</v>
      </c>
      <c r="H30" s="257">
        <f>IFERROR(__xludf.DUMMYFUNCTION("""COMPUTED_VALUE"""),717676.0)</f>
        <v>717676</v>
      </c>
      <c r="I30" s="329">
        <f>IFERROR(__xludf.DUMMYFUNCTION("""COMPUTED_VALUE"""),128.0)</f>
        <v>128</v>
      </c>
      <c r="J30" s="329">
        <f>IFERROR(__xludf.DUMMYFUNCTION("""COMPUTED_VALUE"""),115.0)</f>
        <v>115</v>
      </c>
      <c r="K30" s="329">
        <f>IFERROR(__xludf.DUMMYFUNCTION("""COMPUTED_VALUE"""),24061.0)</f>
        <v>24061</v>
      </c>
      <c r="L30" s="329">
        <f>IFERROR(__xludf.DUMMYFUNCTION("""COMPUTED_VALUE"""),2038.0)</f>
        <v>2038</v>
      </c>
      <c r="M30" s="329">
        <f>IFERROR(__xludf.DUMMYFUNCTION("""COMPUTED_VALUE"""),272736.0)</f>
        <v>272736</v>
      </c>
      <c r="N30" s="329">
        <f>IFERROR(__xludf.DUMMYFUNCTION("""COMPUTED_VALUE"""),296797.0)</f>
        <v>296797</v>
      </c>
      <c r="O30" s="329">
        <f>IFERROR(__xludf.DUMMYFUNCTION("""COMPUTED_VALUE"""),13.0)</f>
        <v>13</v>
      </c>
      <c r="P30" s="329">
        <f>IFERROR(__xludf.DUMMYFUNCTION("""COMPUTED_VALUE"""),2679.0)</f>
        <v>2679</v>
      </c>
      <c r="Q30" s="329">
        <f>IFERROR(__xludf.DUMMYFUNCTION("""COMPUTED_VALUE"""),7.0)</f>
        <v>7</v>
      </c>
      <c r="R30" s="329">
        <f>IFERROR(__xludf.DUMMYFUNCTION("""COMPUTED_VALUE"""),2228.0)</f>
        <v>2228</v>
      </c>
      <c r="S30" s="329">
        <f>IFERROR(__xludf.DUMMYFUNCTION("""COMPUTED_VALUE"""),0.0)</f>
        <v>0</v>
      </c>
      <c r="T30" s="329">
        <f>IFERROR(__xludf.DUMMYFUNCTION("""COMPUTED_VALUE"""),356.0)</f>
        <v>356</v>
      </c>
      <c r="U30" s="329">
        <f>IFERROR(__xludf.DUMMYFUNCTION("""COMPUTED_VALUE"""),95.0)</f>
        <v>95</v>
      </c>
      <c r="V30" s="329">
        <f>IFERROR(__xludf.DUMMYFUNCTION("""COMPUTED_VALUE"""),88.0)</f>
        <v>88</v>
      </c>
      <c r="W30" s="329">
        <f>IFERROR(__xludf.DUMMYFUNCTION("""COMPUTED_VALUE"""),6.0)</f>
        <v>6</v>
      </c>
      <c r="X30" s="329">
        <f>IFERROR(__xludf.DUMMYFUNCTION("""COMPUTED_VALUE"""),5.0)</f>
        <v>5</v>
      </c>
      <c r="Y30" s="329">
        <f>IFERROR(__xludf.DUMMYFUNCTION("""COMPUTED_VALUE"""),0.0)</f>
        <v>0</v>
      </c>
      <c r="Z30" s="329">
        <f>IFERROR(__xludf.DUMMYFUNCTION("""COMPUTED_VALUE"""),1118.0)</f>
        <v>1118</v>
      </c>
      <c r="AA30" s="257" t="str">
        <f>IFERROR(__xludf.DUMMYFUNCTION("""COMPUTED_VALUE"""),"--")</f>
        <v>--</v>
      </c>
      <c r="AB30" s="257" t="str">
        <f>IFERROR(__xludf.DUMMYFUNCTION("""COMPUTED_VALUE"""),"--")</f>
        <v>--</v>
      </c>
      <c r="AC30" s="257" t="str">
        <f>IFERROR(__xludf.DUMMYFUNCTION("""COMPUTED_VALUE"""),"--")</f>
        <v>--</v>
      </c>
      <c r="AD30" s="257" t="str">
        <f>IFERROR(__xludf.DUMMYFUNCTION("""COMPUTED_VALUE"""),"--")</f>
        <v>--</v>
      </c>
      <c r="AE30" s="257" t="str">
        <f>IFERROR(__xludf.DUMMYFUNCTION("""COMPUTED_VALUE"""),"--")</f>
        <v>--</v>
      </c>
      <c r="AF30" s="257" t="str">
        <f>IFERROR(__xludf.DUMMYFUNCTION("""COMPUTED_VALUE"""),"--")</f>
        <v>--</v>
      </c>
      <c r="AG30" s="257" t="str">
        <f>IFERROR(__xludf.DUMMYFUNCTION("""COMPUTED_VALUE"""),"--")</f>
        <v>--</v>
      </c>
      <c r="AH30" s="257" t="str">
        <f>IFERROR(__xludf.DUMMYFUNCTION("""COMPUTED_VALUE"""),"--")</f>
        <v>--</v>
      </c>
    </row>
    <row r="31">
      <c r="A31" s="328">
        <f>IFERROR(__xludf.DUMMYFUNCTION("""COMPUTED_VALUE"""),44098.0)</f>
        <v>44098</v>
      </c>
      <c r="B31" s="329">
        <f>IFERROR(__xludf.DUMMYFUNCTION("""COMPUTED_VALUE"""),120.0)</f>
        <v>120</v>
      </c>
      <c r="C31" s="329">
        <f>IFERROR(__xludf.DUMMYFUNCTION("""COMPUTED_VALUE"""),137.0)</f>
        <v>137</v>
      </c>
      <c r="D31" s="329">
        <f>IFERROR(__xludf.DUMMYFUNCTION("""COMPUTED_VALUE"""),34048.0)</f>
        <v>34048</v>
      </c>
      <c r="E31" s="329">
        <f>IFERROR(__xludf.DUMMYFUNCTION("""COMPUTED_VALUE"""),12468.0)</f>
        <v>12468</v>
      </c>
      <c r="F31" s="257">
        <f>IFERROR(__xludf.DUMMYFUNCTION("""COMPUTED_VALUE"""),696216.0)</f>
        <v>696216</v>
      </c>
      <c r="G31" s="257">
        <f>IFERROR(__xludf.DUMMYFUNCTION("""COMPUTED_VALUE"""),12588.0)</f>
        <v>12588</v>
      </c>
      <c r="H31" s="257">
        <f>IFERROR(__xludf.DUMMYFUNCTION("""COMPUTED_VALUE"""),730264.0)</f>
        <v>730264</v>
      </c>
      <c r="I31" s="329">
        <f>IFERROR(__xludf.DUMMYFUNCTION("""COMPUTED_VALUE"""),117.0)</f>
        <v>117</v>
      </c>
      <c r="J31" s="329">
        <f>IFERROR(__xludf.DUMMYFUNCTION("""COMPUTED_VALUE"""),123.0)</f>
        <v>123</v>
      </c>
      <c r="K31" s="329">
        <f>IFERROR(__xludf.DUMMYFUNCTION("""COMPUTED_VALUE"""),24178.0)</f>
        <v>24178</v>
      </c>
      <c r="L31" s="329">
        <f>IFERROR(__xludf.DUMMYFUNCTION("""COMPUTED_VALUE"""),2890.0)</f>
        <v>2890</v>
      </c>
      <c r="M31" s="329">
        <f>IFERROR(__xludf.DUMMYFUNCTION("""COMPUTED_VALUE"""),275626.0)</f>
        <v>275626</v>
      </c>
      <c r="N31" s="329">
        <f>IFERROR(__xludf.DUMMYFUNCTION("""COMPUTED_VALUE"""),299804.0)</f>
        <v>299804</v>
      </c>
      <c r="O31" s="329">
        <f>IFERROR(__xludf.DUMMYFUNCTION("""COMPUTED_VALUE"""),7.0)</f>
        <v>7</v>
      </c>
      <c r="P31" s="329">
        <f>IFERROR(__xludf.DUMMYFUNCTION("""COMPUTED_VALUE"""),2686.0)</f>
        <v>2686</v>
      </c>
      <c r="Q31" s="329">
        <f>IFERROR(__xludf.DUMMYFUNCTION("""COMPUTED_VALUE"""),8.0)</f>
        <v>8</v>
      </c>
      <c r="R31" s="329">
        <f>IFERROR(__xludf.DUMMYFUNCTION("""COMPUTED_VALUE"""),2236.0)</f>
        <v>2236</v>
      </c>
      <c r="S31" s="329">
        <f>IFERROR(__xludf.DUMMYFUNCTION("""COMPUTED_VALUE"""),1.0)</f>
        <v>1</v>
      </c>
      <c r="T31" s="329">
        <f>IFERROR(__xludf.DUMMYFUNCTION("""COMPUTED_VALUE"""),357.0)</f>
        <v>357</v>
      </c>
      <c r="U31" s="329">
        <f>IFERROR(__xludf.DUMMYFUNCTION("""COMPUTED_VALUE"""),93.0)</f>
        <v>93</v>
      </c>
      <c r="V31" s="329">
        <f>IFERROR(__xludf.DUMMYFUNCTION("""COMPUTED_VALUE"""),92.0)</f>
        <v>92</v>
      </c>
      <c r="W31" s="329">
        <f>IFERROR(__xludf.DUMMYFUNCTION("""COMPUTED_VALUE"""),7.0)</f>
        <v>7</v>
      </c>
      <c r="X31" s="329">
        <f>IFERROR(__xludf.DUMMYFUNCTION("""COMPUTED_VALUE"""),5.0)</f>
        <v>5</v>
      </c>
      <c r="Y31" s="329">
        <f>IFERROR(__xludf.DUMMYFUNCTION("""COMPUTED_VALUE"""),1.0)</f>
        <v>1</v>
      </c>
      <c r="Z31" s="329">
        <f>IFERROR(__xludf.DUMMYFUNCTION("""COMPUTED_VALUE"""),1119.0)</f>
        <v>1119</v>
      </c>
      <c r="AA31" s="257" t="str">
        <f>IFERROR(__xludf.DUMMYFUNCTION("""COMPUTED_VALUE"""),"--")</f>
        <v>--</v>
      </c>
      <c r="AB31" s="257" t="str">
        <f>IFERROR(__xludf.DUMMYFUNCTION("""COMPUTED_VALUE"""),"--")</f>
        <v>--</v>
      </c>
      <c r="AC31" s="257" t="str">
        <f>IFERROR(__xludf.DUMMYFUNCTION("""COMPUTED_VALUE"""),"--")</f>
        <v>--</v>
      </c>
      <c r="AD31" s="257" t="str">
        <f>IFERROR(__xludf.DUMMYFUNCTION("""COMPUTED_VALUE"""),"--")</f>
        <v>--</v>
      </c>
      <c r="AE31" s="257" t="str">
        <f>IFERROR(__xludf.DUMMYFUNCTION("""COMPUTED_VALUE"""),"--")</f>
        <v>--</v>
      </c>
      <c r="AF31" s="257" t="str">
        <f>IFERROR(__xludf.DUMMYFUNCTION("""COMPUTED_VALUE"""),"--")</f>
        <v>--</v>
      </c>
      <c r="AG31" s="257" t="str">
        <f>IFERROR(__xludf.DUMMYFUNCTION("""COMPUTED_VALUE"""),"--")</f>
        <v>--</v>
      </c>
      <c r="AH31" s="257" t="str">
        <f>IFERROR(__xludf.DUMMYFUNCTION("""COMPUTED_VALUE"""),"--")</f>
        <v>--</v>
      </c>
    </row>
    <row r="32">
      <c r="A32" s="328">
        <f>IFERROR(__xludf.DUMMYFUNCTION("""COMPUTED_VALUE"""),44099.0)</f>
        <v>44099</v>
      </c>
      <c r="B32" s="329">
        <f>IFERROR(__xludf.DUMMYFUNCTION("""COMPUTED_VALUE"""),150.0)</f>
        <v>150</v>
      </c>
      <c r="C32" s="329">
        <f>IFERROR(__xludf.DUMMYFUNCTION("""COMPUTED_VALUE"""),135.0)</f>
        <v>135</v>
      </c>
      <c r="D32" s="329">
        <f>IFERROR(__xludf.DUMMYFUNCTION("""COMPUTED_VALUE"""),34198.0)</f>
        <v>34198</v>
      </c>
      <c r="E32" s="329">
        <f>IFERROR(__xludf.DUMMYFUNCTION("""COMPUTED_VALUE"""),10546.0)</f>
        <v>10546</v>
      </c>
      <c r="F32" s="257">
        <f>IFERROR(__xludf.DUMMYFUNCTION("""COMPUTED_VALUE"""),706762.0)</f>
        <v>706762</v>
      </c>
      <c r="G32" s="257">
        <f>IFERROR(__xludf.DUMMYFUNCTION("""COMPUTED_VALUE"""),10696.0)</f>
        <v>10696</v>
      </c>
      <c r="H32" s="257">
        <f>IFERROR(__xludf.DUMMYFUNCTION("""COMPUTED_VALUE"""),740960.0)</f>
        <v>740960</v>
      </c>
      <c r="I32" s="329">
        <f>IFERROR(__xludf.DUMMYFUNCTION("""COMPUTED_VALUE"""),143.0)</f>
        <v>143</v>
      </c>
      <c r="J32" s="329">
        <f>IFERROR(__xludf.DUMMYFUNCTION("""COMPUTED_VALUE"""),129.0)</f>
        <v>129</v>
      </c>
      <c r="K32" s="329">
        <f>IFERROR(__xludf.DUMMYFUNCTION("""COMPUTED_VALUE"""),24321.0)</f>
        <v>24321</v>
      </c>
      <c r="L32" s="329">
        <f>IFERROR(__xludf.DUMMYFUNCTION("""COMPUTED_VALUE"""),2747.0)</f>
        <v>2747</v>
      </c>
      <c r="M32" s="329">
        <f>IFERROR(__xludf.DUMMYFUNCTION("""COMPUTED_VALUE"""),278373.0)</f>
        <v>278373</v>
      </c>
      <c r="N32" s="329">
        <f>IFERROR(__xludf.DUMMYFUNCTION("""COMPUTED_VALUE"""),302694.0)</f>
        <v>302694</v>
      </c>
      <c r="O32" s="329">
        <f>IFERROR(__xludf.DUMMYFUNCTION("""COMPUTED_VALUE"""),9.0)</f>
        <v>9</v>
      </c>
      <c r="P32" s="329">
        <f>IFERROR(__xludf.DUMMYFUNCTION("""COMPUTED_VALUE"""),2695.0)</f>
        <v>2695</v>
      </c>
      <c r="Q32" s="329">
        <f>IFERROR(__xludf.DUMMYFUNCTION("""COMPUTED_VALUE"""),10.0)</f>
        <v>10</v>
      </c>
      <c r="R32" s="329">
        <f>IFERROR(__xludf.DUMMYFUNCTION("""COMPUTED_VALUE"""),2246.0)</f>
        <v>2246</v>
      </c>
      <c r="S32" s="329">
        <f>IFERROR(__xludf.DUMMYFUNCTION("""COMPUTED_VALUE"""),0.0)</f>
        <v>0</v>
      </c>
      <c r="T32" s="329">
        <f>IFERROR(__xludf.DUMMYFUNCTION("""COMPUTED_VALUE"""),357.0)</f>
        <v>357</v>
      </c>
      <c r="U32" s="329">
        <f>IFERROR(__xludf.DUMMYFUNCTION("""COMPUTED_VALUE"""),92.0)</f>
        <v>92</v>
      </c>
      <c r="V32" s="329">
        <f>IFERROR(__xludf.DUMMYFUNCTION("""COMPUTED_VALUE"""),93.0)</f>
        <v>93</v>
      </c>
      <c r="W32" s="329">
        <f>IFERROR(__xludf.DUMMYFUNCTION("""COMPUTED_VALUE"""),6.0)</f>
        <v>6</v>
      </c>
      <c r="X32" s="329">
        <f>IFERROR(__xludf.DUMMYFUNCTION("""COMPUTED_VALUE"""),5.0)</f>
        <v>5</v>
      </c>
      <c r="Y32" s="329">
        <f>IFERROR(__xludf.DUMMYFUNCTION("""COMPUTED_VALUE"""),1.0)</f>
        <v>1</v>
      </c>
      <c r="Z32" s="329">
        <f>IFERROR(__xludf.DUMMYFUNCTION("""COMPUTED_VALUE"""),1120.0)</f>
        <v>1120</v>
      </c>
      <c r="AA32" s="257" t="str">
        <f>IFERROR(__xludf.DUMMYFUNCTION("""COMPUTED_VALUE"""),"--")</f>
        <v>--</v>
      </c>
      <c r="AB32" s="257" t="str">
        <f>IFERROR(__xludf.DUMMYFUNCTION("""COMPUTED_VALUE"""),"--")</f>
        <v>--</v>
      </c>
      <c r="AC32" s="257" t="str">
        <f>IFERROR(__xludf.DUMMYFUNCTION("""COMPUTED_VALUE"""),"--")</f>
        <v>--</v>
      </c>
      <c r="AD32" s="257" t="str">
        <f>IFERROR(__xludf.DUMMYFUNCTION("""COMPUTED_VALUE"""),"--")</f>
        <v>--</v>
      </c>
      <c r="AE32" s="257" t="str">
        <f>IFERROR(__xludf.DUMMYFUNCTION("""COMPUTED_VALUE"""),"--")</f>
        <v>--</v>
      </c>
      <c r="AF32" s="257" t="str">
        <f>IFERROR(__xludf.DUMMYFUNCTION("""COMPUTED_VALUE"""),"--")</f>
        <v>--</v>
      </c>
      <c r="AG32" s="257" t="str">
        <f>IFERROR(__xludf.DUMMYFUNCTION("""COMPUTED_VALUE"""),"--")</f>
        <v>--</v>
      </c>
      <c r="AH32" s="257" t="str">
        <f>IFERROR(__xludf.DUMMYFUNCTION("""COMPUTED_VALUE"""),"--")</f>
        <v>--</v>
      </c>
    </row>
    <row r="33">
      <c r="A33" s="328">
        <f>IFERROR(__xludf.DUMMYFUNCTION("""COMPUTED_VALUE"""),44100.0)</f>
        <v>44100</v>
      </c>
      <c r="B33" s="329">
        <f>IFERROR(__xludf.DUMMYFUNCTION("""COMPUTED_VALUE"""),147.0)</f>
        <v>147</v>
      </c>
      <c r="C33" s="329">
        <f>IFERROR(__xludf.DUMMYFUNCTION("""COMPUTED_VALUE"""),139.0)</f>
        <v>139</v>
      </c>
      <c r="D33" s="329">
        <f>IFERROR(__xludf.DUMMYFUNCTION("""COMPUTED_VALUE"""),34345.0)</f>
        <v>34345</v>
      </c>
      <c r="E33" s="329">
        <f>IFERROR(__xludf.DUMMYFUNCTION("""COMPUTED_VALUE"""),10556.0)</f>
        <v>10556</v>
      </c>
      <c r="F33" s="257">
        <f>IFERROR(__xludf.DUMMYFUNCTION("""COMPUTED_VALUE"""),717318.0)</f>
        <v>717318</v>
      </c>
      <c r="G33" s="257">
        <f>IFERROR(__xludf.DUMMYFUNCTION("""COMPUTED_VALUE"""),10703.0)</f>
        <v>10703</v>
      </c>
      <c r="H33" s="257">
        <f>IFERROR(__xludf.DUMMYFUNCTION("""COMPUTED_VALUE"""),751663.0)</f>
        <v>751663</v>
      </c>
      <c r="I33" s="329">
        <f>IFERROR(__xludf.DUMMYFUNCTION("""COMPUTED_VALUE"""),120.0)</f>
        <v>120</v>
      </c>
      <c r="J33" s="329">
        <f>IFERROR(__xludf.DUMMYFUNCTION("""COMPUTED_VALUE"""),127.0)</f>
        <v>127</v>
      </c>
      <c r="K33" s="329">
        <f>IFERROR(__xludf.DUMMYFUNCTION("""COMPUTED_VALUE"""),24441.0)</f>
        <v>24441</v>
      </c>
      <c r="L33" s="329">
        <f>IFERROR(__xludf.DUMMYFUNCTION("""COMPUTED_VALUE"""),2278.0)</f>
        <v>2278</v>
      </c>
      <c r="M33" s="329">
        <f>IFERROR(__xludf.DUMMYFUNCTION("""COMPUTED_VALUE"""),280651.0)</f>
        <v>280651</v>
      </c>
      <c r="N33" s="329">
        <f>IFERROR(__xludf.DUMMYFUNCTION("""COMPUTED_VALUE"""),305092.0)</f>
        <v>305092</v>
      </c>
      <c r="O33" s="329">
        <f>IFERROR(__xludf.DUMMYFUNCTION("""COMPUTED_VALUE"""),12.0)</f>
        <v>12</v>
      </c>
      <c r="P33" s="329">
        <f>IFERROR(__xludf.DUMMYFUNCTION("""COMPUTED_VALUE"""),2707.0)</f>
        <v>2707</v>
      </c>
      <c r="Q33" s="329">
        <f>IFERROR(__xludf.DUMMYFUNCTION("""COMPUTED_VALUE"""),8.0)</f>
        <v>8</v>
      </c>
      <c r="R33" s="329">
        <f>IFERROR(__xludf.DUMMYFUNCTION("""COMPUTED_VALUE"""),2254.0)</f>
        <v>2254</v>
      </c>
      <c r="S33" s="329">
        <f>IFERROR(__xludf.DUMMYFUNCTION("""COMPUTED_VALUE"""),1.0)</f>
        <v>1</v>
      </c>
      <c r="T33" s="329">
        <f>IFERROR(__xludf.DUMMYFUNCTION("""COMPUTED_VALUE"""),358.0)</f>
        <v>358</v>
      </c>
      <c r="U33" s="329">
        <f>IFERROR(__xludf.DUMMYFUNCTION("""COMPUTED_VALUE"""),95.0)</f>
        <v>95</v>
      </c>
      <c r="V33" s="329">
        <f>IFERROR(__xludf.DUMMYFUNCTION("""COMPUTED_VALUE"""),93.0)</f>
        <v>93</v>
      </c>
      <c r="W33" s="329">
        <f>IFERROR(__xludf.DUMMYFUNCTION("""COMPUTED_VALUE"""),6.0)</f>
        <v>6</v>
      </c>
      <c r="X33" s="329">
        <f>IFERROR(__xludf.DUMMYFUNCTION("""COMPUTED_VALUE"""),5.0)</f>
        <v>5</v>
      </c>
      <c r="Y33" s="329">
        <f>IFERROR(__xludf.DUMMYFUNCTION("""COMPUTED_VALUE"""),1.0)</f>
        <v>1</v>
      </c>
      <c r="Z33" s="329">
        <f>IFERROR(__xludf.DUMMYFUNCTION("""COMPUTED_VALUE"""),1121.0)</f>
        <v>1121</v>
      </c>
      <c r="AA33" s="257" t="str">
        <f>IFERROR(__xludf.DUMMYFUNCTION("""COMPUTED_VALUE"""),"--")</f>
        <v>--</v>
      </c>
      <c r="AB33" s="257" t="str">
        <f>IFERROR(__xludf.DUMMYFUNCTION("""COMPUTED_VALUE"""),"--")</f>
        <v>--</v>
      </c>
      <c r="AC33" s="257" t="str">
        <f>IFERROR(__xludf.DUMMYFUNCTION("""COMPUTED_VALUE"""),"--")</f>
        <v>--</v>
      </c>
      <c r="AD33" s="257" t="str">
        <f>IFERROR(__xludf.DUMMYFUNCTION("""COMPUTED_VALUE"""),"--")</f>
        <v>--</v>
      </c>
      <c r="AE33" s="257" t="str">
        <f>IFERROR(__xludf.DUMMYFUNCTION("""COMPUTED_VALUE"""),"--")</f>
        <v>--</v>
      </c>
      <c r="AF33" s="257" t="str">
        <f>IFERROR(__xludf.DUMMYFUNCTION("""COMPUTED_VALUE"""),"--")</f>
        <v>--</v>
      </c>
      <c r="AG33" s="257" t="str">
        <f>IFERROR(__xludf.DUMMYFUNCTION("""COMPUTED_VALUE"""),"--")</f>
        <v>--</v>
      </c>
      <c r="AH33" s="257" t="str">
        <f>IFERROR(__xludf.DUMMYFUNCTION("""COMPUTED_VALUE"""),"--")</f>
        <v>--</v>
      </c>
    </row>
    <row r="34">
      <c r="A34" s="328">
        <f>IFERROR(__xludf.DUMMYFUNCTION("""COMPUTED_VALUE"""),44101.0)</f>
        <v>44101</v>
      </c>
      <c r="B34" s="329">
        <f>IFERROR(__xludf.DUMMYFUNCTION("""COMPUTED_VALUE"""),43.0)</f>
        <v>43</v>
      </c>
      <c r="C34" s="329">
        <f>IFERROR(__xludf.DUMMYFUNCTION("""COMPUTED_VALUE"""),113.0)</f>
        <v>113</v>
      </c>
      <c r="D34" s="329">
        <f>IFERROR(__xludf.DUMMYFUNCTION("""COMPUTED_VALUE"""),34388.0)</f>
        <v>34388</v>
      </c>
      <c r="E34" s="329">
        <f>IFERROR(__xludf.DUMMYFUNCTION("""COMPUTED_VALUE"""),2764.0)</f>
        <v>2764</v>
      </c>
      <c r="F34" s="257">
        <f>IFERROR(__xludf.DUMMYFUNCTION("""COMPUTED_VALUE"""),720082.0)</f>
        <v>720082</v>
      </c>
      <c r="G34" s="257">
        <f>IFERROR(__xludf.DUMMYFUNCTION("""COMPUTED_VALUE"""),2807.0)</f>
        <v>2807</v>
      </c>
      <c r="H34" s="257">
        <f>IFERROR(__xludf.DUMMYFUNCTION("""COMPUTED_VALUE"""),754470.0)</f>
        <v>754470</v>
      </c>
      <c r="I34" s="329">
        <f>IFERROR(__xludf.DUMMYFUNCTION("""COMPUTED_VALUE"""),34.0)</f>
        <v>34</v>
      </c>
      <c r="J34" s="329">
        <f>IFERROR(__xludf.DUMMYFUNCTION("""COMPUTED_VALUE"""),99.0)</f>
        <v>99</v>
      </c>
      <c r="K34" s="329">
        <f>IFERROR(__xludf.DUMMYFUNCTION("""COMPUTED_VALUE"""),24475.0)</f>
        <v>24475</v>
      </c>
      <c r="L34" s="329">
        <f>IFERROR(__xludf.DUMMYFUNCTION("""COMPUTED_VALUE"""),786.0)</f>
        <v>786</v>
      </c>
      <c r="M34" s="329">
        <f>IFERROR(__xludf.DUMMYFUNCTION("""COMPUTED_VALUE"""),281437.0)</f>
        <v>281437</v>
      </c>
      <c r="N34" s="329">
        <f>IFERROR(__xludf.DUMMYFUNCTION("""COMPUTED_VALUE"""),305912.0)</f>
        <v>305912</v>
      </c>
      <c r="O34" s="329">
        <f>IFERROR(__xludf.DUMMYFUNCTION("""COMPUTED_VALUE"""),7.0)</f>
        <v>7</v>
      </c>
      <c r="P34" s="329">
        <f>IFERROR(__xludf.DUMMYFUNCTION("""COMPUTED_VALUE"""),2714.0)</f>
        <v>2714</v>
      </c>
      <c r="Q34" s="329">
        <f>IFERROR(__xludf.DUMMYFUNCTION("""COMPUTED_VALUE"""),5.0)</f>
        <v>5</v>
      </c>
      <c r="R34" s="329">
        <f>IFERROR(__xludf.DUMMYFUNCTION("""COMPUTED_VALUE"""),2259.0)</f>
        <v>2259</v>
      </c>
      <c r="S34" s="329">
        <f>IFERROR(__xludf.DUMMYFUNCTION("""COMPUTED_VALUE"""),0.0)</f>
        <v>0</v>
      </c>
      <c r="T34" s="329">
        <f>IFERROR(__xludf.DUMMYFUNCTION("""COMPUTED_VALUE"""),358.0)</f>
        <v>358</v>
      </c>
      <c r="U34" s="329">
        <f>IFERROR(__xludf.DUMMYFUNCTION("""COMPUTED_VALUE"""),97.0)</f>
        <v>97</v>
      </c>
      <c r="V34" s="329">
        <f>IFERROR(__xludf.DUMMYFUNCTION("""COMPUTED_VALUE"""),95.0)</f>
        <v>95</v>
      </c>
      <c r="W34" s="329">
        <f>IFERROR(__xludf.DUMMYFUNCTION("""COMPUTED_VALUE"""),9.0)</f>
        <v>9</v>
      </c>
      <c r="X34" s="329">
        <f>IFERROR(__xludf.DUMMYFUNCTION("""COMPUTED_VALUE"""),5.0)</f>
        <v>5</v>
      </c>
      <c r="Y34" s="329">
        <f>IFERROR(__xludf.DUMMYFUNCTION("""COMPUTED_VALUE"""),0.0)</f>
        <v>0</v>
      </c>
      <c r="Z34" s="329">
        <f>IFERROR(__xludf.DUMMYFUNCTION("""COMPUTED_VALUE"""),1121.0)</f>
        <v>1121</v>
      </c>
      <c r="AA34" s="257" t="str">
        <f>IFERROR(__xludf.DUMMYFUNCTION("""COMPUTED_VALUE"""),"--")</f>
        <v>--</v>
      </c>
      <c r="AB34" s="257" t="str">
        <f>IFERROR(__xludf.DUMMYFUNCTION("""COMPUTED_VALUE"""),"--")</f>
        <v>--</v>
      </c>
      <c r="AC34" s="257" t="str">
        <f>IFERROR(__xludf.DUMMYFUNCTION("""COMPUTED_VALUE"""),"--")</f>
        <v>--</v>
      </c>
      <c r="AD34" s="257" t="str">
        <f>IFERROR(__xludf.DUMMYFUNCTION("""COMPUTED_VALUE"""),"--")</f>
        <v>--</v>
      </c>
      <c r="AE34" s="257" t="str">
        <f>IFERROR(__xludf.DUMMYFUNCTION("""COMPUTED_VALUE"""),"--")</f>
        <v>--</v>
      </c>
      <c r="AF34" s="257" t="str">
        <f>IFERROR(__xludf.DUMMYFUNCTION("""COMPUTED_VALUE"""),"--")</f>
        <v>--</v>
      </c>
      <c r="AG34" s="257" t="str">
        <f>IFERROR(__xludf.DUMMYFUNCTION("""COMPUTED_VALUE"""),"--")</f>
        <v>--</v>
      </c>
      <c r="AH34" s="257" t="str">
        <f>IFERROR(__xludf.DUMMYFUNCTION("""COMPUTED_VALUE"""),"--")</f>
        <v>--</v>
      </c>
    </row>
    <row r="35">
      <c r="A35" s="328">
        <f>IFERROR(__xludf.DUMMYFUNCTION("""COMPUTED_VALUE"""),44102.0)</f>
        <v>44102</v>
      </c>
      <c r="B35" s="329">
        <f>IFERROR(__xludf.DUMMYFUNCTION("""COMPUTED_VALUE"""),156.0)</f>
        <v>156</v>
      </c>
      <c r="C35" s="329">
        <f>IFERROR(__xludf.DUMMYFUNCTION("""COMPUTED_VALUE"""),115.0)</f>
        <v>115</v>
      </c>
      <c r="D35" s="329">
        <f>IFERROR(__xludf.DUMMYFUNCTION("""COMPUTED_VALUE"""),34544.0)</f>
        <v>34544</v>
      </c>
      <c r="E35" s="329">
        <f>IFERROR(__xludf.DUMMYFUNCTION("""COMPUTED_VALUE"""),7294.0)</f>
        <v>7294</v>
      </c>
      <c r="F35" s="257">
        <f>IFERROR(__xludf.DUMMYFUNCTION("""COMPUTED_VALUE"""),727376.0)</f>
        <v>727376</v>
      </c>
      <c r="G35" s="257">
        <f>IFERROR(__xludf.DUMMYFUNCTION("""COMPUTED_VALUE"""),7450.0)</f>
        <v>7450</v>
      </c>
      <c r="H35" s="257">
        <f>IFERROR(__xludf.DUMMYFUNCTION("""COMPUTED_VALUE"""),761920.0)</f>
        <v>761920</v>
      </c>
      <c r="I35" s="329">
        <f>IFERROR(__xludf.DUMMYFUNCTION("""COMPUTED_VALUE"""),137.0)</f>
        <v>137</v>
      </c>
      <c r="J35" s="329">
        <f>IFERROR(__xludf.DUMMYFUNCTION("""COMPUTED_VALUE"""),97.0)</f>
        <v>97</v>
      </c>
      <c r="K35" s="329">
        <f>IFERROR(__xludf.DUMMYFUNCTION("""COMPUTED_VALUE"""),24612.0)</f>
        <v>24612</v>
      </c>
      <c r="L35" s="329">
        <f>IFERROR(__xludf.DUMMYFUNCTION("""COMPUTED_VALUE"""),2105.0)</f>
        <v>2105</v>
      </c>
      <c r="M35" s="329">
        <f>IFERROR(__xludf.DUMMYFUNCTION("""COMPUTED_VALUE"""),283542.0)</f>
        <v>283542</v>
      </c>
      <c r="N35" s="329">
        <f>IFERROR(__xludf.DUMMYFUNCTION("""COMPUTED_VALUE"""),308154.0)</f>
        <v>308154</v>
      </c>
      <c r="O35" s="329">
        <f>IFERROR(__xludf.DUMMYFUNCTION("""COMPUTED_VALUE"""),7.0)</f>
        <v>7</v>
      </c>
      <c r="P35" s="329">
        <f>IFERROR(__xludf.DUMMYFUNCTION("""COMPUTED_VALUE"""),2721.0)</f>
        <v>2721</v>
      </c>
      <c r="Q35" s="329">
        <f>IFERROR(__xludf.DUMMYFUNCTION("""COMPUTED_VALUE"""),7.0)</f>
        <v>7</v>
      </c>
      <c r="R35" s="329">
        <f>IFERROR(__xludf.DUMMYFUNCTION("""COMPUTED_VALUE"""),2266.0)</f>
        <v>2266</v>
      </c>
      <c r="S35" s="329">
        <f>IFERROR(__xludf.DUMMYFUNCTION("""COMPUTED_VALUE"""),2.0)</f>
        <v>2</v>
      </c>
      <c r="T35" s="329">
        <f>IFERROR(__xludf.DUMMYFUNCTION("""COMPUTED_VALUE"""),360.0)</f>
        <v>360</v>
      </c>
      <c r="U35" s="329">
        <f>IFERROR(__xludf.DUMMYFUNCTION("""COMPUTED_VALUE"""),95.0)</f>
        <v>95</v>
      </c>
      <c r="V35" s="329">
        <f>IFERROR(__xludf.DUMMYFUNCTION("""COMPUTED_VALUE"""),96.0)</f>
        <v>96</v>
      </c>
      <c r="W35" s="329">
        <f>IFERROR(__xludf.DUMMYFUNCTION("""COMPUTED_VALUE"""),7.0)</f>
        <v>7</v>
      </c>
      <c r="X35" s="329">
        <f>IFERROR(__xludf.DUMMYFUNCTION("""COMPUTED_VALUE"""),5.0)</f>
        <v>5</v>
      </c>
      <c r="Y35" s="329">
        <f>IFERROR(__xludf.DUMMYFUNCTION("""COMPUTED_VALUE"""),2.0)</f>
        <v>2</v>
      </c>
      <c r="Z35" s="329">
        <f>IFERROR(__xludf.DUMMYFUNCTION("""COMPUTED_VALUE"""),1123.0)</f>
        <v>1123</v>
      </c>
      <c r="AA35" s="257" t="str">
        <f>IFERROR(__xludf.DUMMYFUNCTION("""COMPUTED_VALUE"""),"--")</f>
        <v>--</v>
      </c>
      <c r="AB35" s="257" t="str">
        <f>IFERROR(__xludf.DUMMYFUNCTION("""COMPUTED_VALUE"""),"--")</f>
        <v>--</v>
      </c>
      <c r="AC35" s="257" t="str">
        <f>IFERROR(__xludf.DUMMYFUNCTION("""COMPUTED_VALUE"""),"--")</f>
        <v>--</v>
      </c>
      <c r="AD35" s="257" t="str">
        <f>IFERROR(__xludf.DUMMYFUNCTION("""COMPUTED_VALUE"""),"--")</f>
        <v>--</v>
      </c>
      <c r="AE35" s="257" t="str">
        <f>IFERROR(__xludf.DUMMYFUNCTION("""COMPUTED_VALUE"""),"--")</f>
        <v>--</v>
      </c>
      <c r="AF35" s="257" t="str">
        <f>IFERROR(__xludf.DUMMYFUNCTION("""COMPUTED_VALUE"""),"--")</f>
        <v>--</v>
      </c>
      <c r="AG35" s="257" t="str">
        <f>IFERROR(__xludf.DUMMYFUNCTION("""COMPUTED_VALUE"""),"--")</f>
        <v>--</v>
      </c>
      <c r="AH35" s="257" t="str">
        <f>IFERROR(__xludf.DUMMYFUNCTION("""COMPUTED_VALUE"""),"--")</f>
        <v>--</v>
      </c>
    </row>
    <row r="36">
      <c r="A36" s="328">
        <f>IFERROR(__xludf.DUMMYFUNCTION("""COMPUTED_VALUE"""),44103.0)</f>
        <v>44103</v>
      </c>
      <c r="B36" s="329">
        <f>IFERROR(__xludf.DUMMYFUNCTION("""COMPUTED_VALUE"""),203.0)</f>
        <v>203</v>
      </c>
      <c r="C36" s="329">
        <f>IFERROR(__xludf.DUMMYFUNCTION("""COMPUTED_VALUE"""),134.0)</f>
        <v>134</v>
      </c>
      <c r="D36" s="329">
        <f>IFERROR(__xludf.DUMMYFUNCTION("""COMPUTED_VALUE"""),34747.0)</f>
        <v>34747</v>
      </c>
      <c r="E36" s="329">
        <f>IFERROR(__xludf.DUMMYFUNCTION("""COMPUTED_VALUE"""),11034.0)</f>
        <v>11034</v>
      </c>
      <c r="F36" s="257">
        <f>IFERROR(__xludf.DUMMYFUNCTION("""COMPUTED_VALUE"""),738410.0)</f>
        <v>738410</v>
      </c>
      <c r="G36" s="257">
        <f>IFERROR(__xludf.DUMMYFUNCTION("""COMPUTED_VALUE"""),11237.0)</f>
        <v>11237</v>
      </c>
      <c r="H36" s="257">
        <f>IFERROR(__xludf.DUMMYFUNCTION("""COMPUTED_VALUE"""),773157.0)</f>
        <v>773157</v>
      </c>
      <c r="I36" s="329">
        <f>IFERROR(__xludf.DUMMYFUNCTION("""COMPUTED_VALUE"""),185.0)</f>
        <v>185</v>
      </c>
      <c r="J36" s="329">
        <f>IFERROR(__xludf.DUMMYFUNCTION("""COMPUTED_VALUE"""),119.0)</f>
        <v>119</v>
      </c>
      <c r="K36" s="329">
        <f>IFERROR(__xludf.DUMMYFUNCTION("""COMPUTED_VALUE"""),24797.0)</f>
        <v>24797</v>
      </c>
      <c r="L36" s="329">
        <f>IFERROR(__xludf.DUMMYFUNCTION("""COMPUTED_VALUE"""),2578.0)</f>
        <v>2578</v>
      </c>
      <c r="M36" s="329">
        <f>IFERROR(__xludf.DUMMYFUNCTION("""COMPUTED_VALUE"""),286120.0)</f>
        <v>286120</v>
      </c>
      <c r="N36" s="329">
        <f>IFERROR(__xludf.DUMMYFUNCTION("""COMPUTED_VALUE"""),310917.0)</f>
        <v>310917</v>
      </c>
      <c r="O36" s="329">
        <f>IFERROR(__xludf.DUMMYFUNCTION("""COMPUTED_VALUE"""),12.0)</f>
        <v>12</v>
      </c>
      <c r="P36" s="329">
        <f>IFERROR(__xludf.DUMMYFUNCTION("""COMPUTED_VALUE"""),2733.0)</f>
        <v>2733</v>
      </c>
      <c r="Q36" s="329">
        <f>IFERROR(__xludf.DUMMYFUNCTION("""COMPUTED_VALUE"""),18.0)</f>
        <v>18</v>
      </c>
      <c r="R36" s="329">
        <f>IFERROR(__xludf.DUMMYFUNCTION("""COMPUTED_VALUE"""),2284.0)</f>
        <v>2284</v>
      </c>
      <c r="S36" s="329">
        <f>IFERROR(__xludf.DUMMYFUNCTION("""COMPUTED_VALUE"""),1.0)</f>
        <v>1</v>
      </c>
      <c r="T36" s="329">
        <f>IFERROR(__xludf.DUMMYFUNCTION("""COMPUTED_VALUE"""),361.0)</f>
        <v>361</v>
      </c>
      <c r="U36" s="329">
        <f>IFERROR(__xludf.DUMMYFUNCTION("""COMPUTED_VALUE"""),88.0)</f>
        <v>88</v>
      </c>
      <c r="V36" s="329">
        <f>IFERROR(__xludf.DUMMYFUNCTION("""COMPUTED_VALUE"""),93.0)</f>
        <v>93</v>
      </c>
      <c r="W36" s="329">
        <f>IFERROR(__xludf.DUMMYFUNCTION("""COMPUTED_VALUE"""),6.0)</f>
        <v>6</v>
      </c>
      <c r="X36" s="329">
        <f>IFERROR(__xludf.DUMMYFUNCTION("""COMPUTED_VALUE"""),6.0)</f>
        <v>6</v>
      </c>
      <c r="Y36" s="329">
        <f>IFERROR(__xludf.DUMMYFUNCTION("""COMPUTED_VALUE"""),1.0)</f>
        <v>1</v>
      </c>
      <c r="Z36" s="329">
        <f>IFERROR(__xludf.DUMMYFUNCTION("""COMPUTED_VALUE"""),1124.0)</f>
        <v>1124</v>
      </c>
      <c r="AA36" s="257" t="str">
        <f>IFERROR(__xludf.DUMMYFUNCTION("""COMPUTED_VALUE"""),"--")</f>
        <v>--</v>
      </c>
      <c r="AB36" s="257" t="str">
        <f>IFERROR(__xludf.DUMMYFUNCTION("""COMPUTED_VALUE"""),"--")</f>
        <v>--</v>
      </c>
      <c r="AC36" s="257" t="str">
        <f>IFERROR(__xludf.DUMMYFUNCTION("""COMPUTED_VALUE"""),"--")</f>
        <v>--</v>
      </c>
      <c r="AD36" s="257" t="str">
        <f>IFERROR(__xludf.DUMMYFUNCTION("""COMPUTED_VALUE"""),"--")</f>
        <v>--</v>
      </c>
      <c r="AE36" s="257" t="str">
        <f>IFERROR(__xludf.DUMMYFUNCTION("""COMPUTED_VALUE"""),"--")</f>
        <v>--</v>
      </c>
      <c r="AF36" s="257" t="str">
        <f>IFERROR(__xludf.DUMMYFUNCTION("""COMPUTED_VALUE"""),"--")</f>
        <v>--</v>
      </c>
      <c r="AG36" s="257" t="str">
        <f>IFERROR(__xludf.DUMMYFUNCTION("""COMPUTED_VALUE"""),"--")</f>
        <v>--</v>
      </c>
      <c r="AH36" s="257" t="str">
        <f>IFERROR(__xludf.DUMMYFUNCTION("""COMPUTED_VALUE"""),"--")</f>
        <v>--</v>
      </c>
    </row>
    <row r="37">
      <c r="A37" s="328">
        <f>IFERROR(__xludf.DUMMYFUNCTION("""COMPUTED_VALUE"""),44104.0)</f>
        <v>44104</v>
      </c>
      <c r="B37" s="329">
        <f>IFERROR(__xludf.DUMMYFUNCTION("""COMPUTED_VALUE"""),223.0)</f>
        <v>223</v>
      </c>
      <c r="C37" s="329">
        <f>IFERROR(__xludf.DUMMYFUNCTION("""COMPUTED_VALUE"""),194.0)</f>
        <v>194</v>
      </c>
      <c r="D37" s="329">
        <f>IFERROR(__xludf.DUMMYFUNCTION("""COMPUTED_VALUE"""),34970.0)</f>
        <v>34970</v>
      </c>
      <c r="E37" s="329">
        <f>IFERROR(__xludf.DUMMYFUNCTION("""COMPUTED_VALUE"""),12218.0)</f>
        <v>12218</v>
      </c>
      <c r="F37" s="257">
        <f>IFERROR(__xludf.DUMMYFUNCTION("""COMPUTED_VALUE"""),750628.0)</f>
        <v>750628</v>
      </c>
      <c r="G37" s="257">
        <f>IFERROR(__xludf.DUMMYFUNCTION("""COMPUTED_VALUE"""),12441.0)</f>
        <v>12441</v>
      </c>
      <c r="H37" s="257">
        <f>IFERROR(__xludf.DUMMYFUNCTION("""COMPUTED_VALUE"""),785598.0)</f>
        <v>785598</v>
      </c>
      <c r="I37" s="329">
        <f>IFERROR(__xludf.DUMMYFUNCTION("""COMPUTED_VALUE"""),189.0)</f>
        <v>189</v>
      </c>
      <c r="J37" s="329">
        <f>IFERROR(__xludf.DUMMYFUNCTION("""COMPUTED_VALUE"""),170.0)</f>
        <v>170</v>
      </c>
      <c r="K37" s="329">
        <f>IFERROR(__xludf.DUMMYFUNCTION("""COMPUTED_VALUE"""),24986.0)</f>
        <v>24986</v>
      </c>
      <c r="L37" s="329">
        <f>IFERROR(__xludf.DUMMYFUNCTION("""COMPUTED_VALUE"""),2370.0)</f>
        <v>2370</v>
      </c>
      <c r="M37" s="329">
        <f>IFERROR(__xludf.DUMMYFUNCTION("""COMPUTED_VALUE"""),288490.0)</f>
        <v>288490</v>
      </c>
      <c r="N37" s="329">
        <f>IFERROR(__xludf.DUMMYFUNCTION("""COMPUTED_VALUE"""),313476.0)</f>
        <v>313476</v>
      </c>
      <c r="O37" s="329">
        <f>IFERROR(__xludf.DUMMYFUNCTION("""COMPUTED_VALUE"""),6.0)</f>
        <v>6</v>
      </c>
      <c r="P37" s="329">
        <f>IFERROR(__xludf.DUMMYFUNCTION("""COMPUTED_VALUE"""),2739.0)</f>
        <v>2739</v>
      </c>
      <c r="Q37" s="329">
        <f>IFERROR(__xludf.DUMMYFUNCTION("""COMPUTED_VALUE"""),6.0)</f>
        <v>6</v>
      </c>
      <c r="R37" s="329">
        <f>IFERROR(__xludf.DUMMYFUNCTION("""COMPUTED_VALUE"""),2290.0)</f>
        <v>2290</v>
      </c>
      <c r="S37" s="329">
        <f>IFERROR(__xludf.DUMMYFUNCTION("""COMPUTED_VALUE"""),0.0)</f>
        <v>0</v>
      </c>
      <c r="T37" s="329">
        <f>IFERROR(__xludf.DUMMYFUNCTION("""COMPUTED_VALUE"""),361.0)</f>
        <v>361</v>
      </c>
      <c r="U37" s="329">
        <f>IFERROR(__xludf.DUMMYFUNCTION("""COMPUTED_VALUE"""),88.0)</f>
        <v>88</v>
      </c>
      <c r="V37" s="329">
        <f>IFERROR(__xludf.DUMMYFUNCTION("""COMPUTED_VALUE"""),90.0)</f>
        <v>90</v>
      </c>
      <c r="W37" s="329">
        <f>IFERROR(__xludf.DUMMYFUNCTION("""COMPUTED_VALUE"""),6.0)</f>
        <v>6</v>
      </c>
      <c r="X37" s="329">
        <f>IFERROR(__xludf.DUMMYFUNCTION("""COMPUTED_VALUE"""),6.0)</f>
        <v>6</v>
      </c>
      <c r="Y37" s="329">
        <f>IFERROR(__xludf.DUMMYFUNCTION("""COMPUTED_VALUE"""),1.0)</f>
        <v>1</v>
      </c>
      <c r="Z37" s="329">
        <f>IFERROR(__xludf.DUMMYFUNCTION("""COMPUTED_VALUE"""),1125.0)</f>
        <v>1125</v>
      </c>
      <c r="AA37" s="257" t="str">
        <f>IFERROR(__xludf.DUMMYFUNCTION("""COMPUTED_VALUE"""),"--")</f>
        <v>--</v>
      </c>
      <c r="AB37" s="257" t="str">
        <f>IFERROR(__xludf.DUMMYFUNCTION("""COMPUTED_VALUE"""),"--")</f>
        <v>--</v>
      </c>
      <c r="AC37" s="257" t="str">
        <f>IFERROR(__xludf.DUMMYFUNCTION("""COMPUTED_VALUE"""),"--")</f>
        <v>--</v>
      </c>
      <c r="AD37" s="257" t="str">
        <f>IFERROR(__xludf.DUMMYFUNCTION("""COMPUTED_VALUE"""),"--")</f>
        <v>--</v>
      </c>
      <c r="AE37" s="257" t="str">
        <f>IFERROR(__xludf.DUMMYFUNCTION("""COMPUTED_VALUE"""),"--")</f>
        <v>--</v>
      </c>
      <c r="AF37" s="257" t="str">
        <f>IFERROR(__xludf.DUMMYFUNCTION("""COMPUTED_VALUE"""),"--")</f>
        <v>--</v>
      </c>
      <c r="AG37" s="257" t="str">
        <f>IFERROR(__xludf.DUMMYFUNCTION("""COMPUTED_VALUE"""),"--")</f>
        <v>--</v>
      </c>
      <c r="AH37" s="257" t="str">
        <f>IFERROR(__xludf.DUMMYFUNCTION("""COMPUTED_VALUE"""),"--")</f>
        <v>--</v>
      </c>
    </row>
    <row r="38">
      <c r="A38" s="328">
        <f>IFERROR(__xludf.DUMMYFUNCTION("""COMPUTED_VALUE"""),44105.0)</f>
        <v>44105</v>
      </c>
      <c r="B38" s="329">
        <f>IFERROR(__xludf.DUMMYFUNCTION("""COMPUTED_VALUE"""),184.0)</f>
        <v>184</v>
      </c>
      <c r="C38" s="329">
        <f>IFERROR(__xludf.DUMMYFUNCTION("""COMPUTED_VALUE"""),203.0)</f>
        <v>203</v>
      </c>
      <c r="D38" s="329">
        <f>IFERROR(__xludf.DUMMYFUNCTION("""COMPUTED_VALUE"""),35154.0)</f>
        <v>35154</v>
      </c>
      <c r="E38" s="329">
        <f>IFERROR(__xludf.DUMMYFUNCTION("""COMPUTED_VALUE"""),12492.0)</f>
        <v>12492</v>
      </c>
      <c r="F38" s="257">
        <f>IFERROR(__xludf.DUMMYFUNCTION("""COMPUTED_VALUE"""),763120.0)</f>
        <v>763120</v>
      </c>
      <c r="G38" s="257">
        <f>IFERROR(__xludf.DUMMYFUNCTION("""COMPUTED_VALUE"""),12676.0)</f>
        <v>12676</v>
      </c>
      <c r="H38" s="257">
        <f>IFERROR(__xludf.DUMMYFUNCTION("""COMPUTED_VALUE"""),798274.0)</f>
        <v>798274</v>
      </c>
      <c r="I38" s="329">
        <f>IFERROR(__xludf.DUMMYFUNCTION("""COMPUTED_VALUE"""),166.0)</f>
        <v>166</v>
      </c>
      <c r="J38" s="329">
        <f>IFERROR(__xludf.DUMMYFUNCTION("""COMPUTED_VALUE"""),180.0)</f>
        <v>180</v>
      </c>
      <c r="K38" s="329">
        <f>IFERROR(__xludf.DUMMYFUNCTION("""COMPUTED_VALUE"""),25152.0)</f>
        <v>25152</v>
      </c>
      <c r="L38" s="329">
        <f>IFERROR(__xludf.DUMMYFUNCTION("""COMPUTED_VALUE"""),2192.0)</f>
        <v>2192</v>
      </c>
      <c r="M38" s="329">
        <f>IFERROR(__xludf.DUMMYFUNCTION("""COMPUTED_VALUE"""),290682.0)</f>
        <v>290682</v>
      </c>
      <c r="N38" s="329">
        <f>IFERROR(__xludf.DUMMYFUNCTION("""COMPUTED_VALUE"""),315834.0)</f>
        <v>315834</v>
      </c>
      <c r="O38" s="329">
        <f>IFERROR(__xludf.DUMMYFUNCTION("""COMPUTED_VALUE"""),17.0)</f>
        <v>17</v>
      </c>
      <c r="P38" s="329">
        <f>IFERROR(__xludf.DUMMYFUNCTION("""COMPUTED_VALUE"""),2756.0)</f>
        <v>2756</v>
      </c>
      <c r="Q38" s="329">
        <f>IFERROR(__xludf.DUMMYFUNCTION("""COMPUTED_VALUE"""),13.0)</f>
        <v>13</v>
      </c>
      <c r="R38" s="329">
        <f>IFERROR(__xludf.DUMMYFUNCTION("""COMPUTED_VALUE"""),2303.0)</f>
        <v>2303</v>
      </c>
      <c r="S38" s="329">
        <f>IFERROR(__xludf.DUMMYFUNCTION("""COMPUTED_VALUE"""),1.0)</f>
        <v>1</v>
      </c>
      <c r="T38" s="329">
        <f>IFERROR(__xludf.DUMMYFUNCTION("""COMPUTED_VALUE"""),362.0)</f>
        <v>362</v>
      </c>
      <c r="U38" s="329">
        <f>IFERROR(__xludf.DUMMYFUNCTION("""COMPUTED_VALUE"""),91.0)</f>
        <v>91</v>
      </c>
      <c r="V38" s="329">
        <f>IFERROR(__xludf.DUMMYFUNCTION("""COMPUTED_VALUE"""),89.0)</f>
        <v>89</v>
      </c>
      <c r="W38" s="329">
        <f>IFERROR(__xludf.DUMMYFUNCTION("""COMPUTED_VALUE"""),6.0)</f>
        <v>6</v>
      </c>
      <c r="X38" s="329">
        <f>IFERROR(__xludf.DUMMYFUNCTION("""COMPUTED_VALUE"""),4.0)</f>
        <v>4</v>
      </c>
      <c r="Y38" s="329">
        <f>IFERROR(__xludf.DUMMYFUNCTION("""COMPUTED_VALUE"""),2.0)</f>
        <v>2</v>
      </c>
      <c r="Z38" s="329">
        <f>IFERROR(__xludf.DUMMYFUNCTION("""COMPUTED_VALUE"""),1127.0)</f>
        <v>1127</v>
      </c>
      <c r="AA38" s="257" t="str">
        <f>IFERROR(__xludf.DUMMYFUNCTION("""COMPUTED_VALUE"""),"--")</f>
        <v>--</v>
      </c>
      <c r="AB38" s="257" t="str">
        <f>IFERROR(__xludf.DUMMYFUNCTION("""COMPUTED_VALUE"""),"--")</f>
        <v>--</v>
      </c>
      <c r="AC38" s="257" t="str">
        <f>IFERROR(__xludf.DUMMYFUNCTION("""COMPUTED_VALUE"""),"--")</f>
        <v>--</v>
      </c>
      <c r="AD38" s="257" t="str">
        <f>IFERROR(__xludf.DUMMYFUNCTION("""COMPUTED_VALUE"""),"--")</f>
        <v>--</v>
      </c>
      <c r="AE38" s="257" t="str">
        <f>IFERROR(__xludf.DUMMYFUNCTION("""COMPUTED_VALUE"""),"--")</f>
        <v>--</v>
      </c>
      <c r="AF38" s="257" t="str">
        <f>IFERROR(__xludf.DUMMYFUNCTION("""COMPUTED_VALUE"""),"--")</f>
        <v>--</v>
      </c>
      <c r="AG38" s="257" t="str">
        <f>IFERROR(__xludf.DUMMYFUNCTION("""COMPUTED_VALUE"""),"--")</f>
        <v>--</v>
      </c>
      <c r="AH38" s="257" t="str">
        <f>IFERROR(__xludf.DUMMYFUNCTION("""COMPUTED_VALUE"""),"--")</f>
        <v>--</v>
      </c>
    </row>
    <row r="39">
      <c r="A39" s="328">
        <f>IFERROR(__xludf.DUMMYFUNCTION("""COMPUTED_VALUE"""),44106.0)</f>
        <v>44106</v>
      </c>
      <c r="B39" s="329">
        <f>IFERROR(__xludf.DUMMYFUNCTION("""COMPUTED_VALUE"""),209.0)</f>
        <v>209</v>
      </c>
      <c r="C39" s="329">
        <f>IFERROR(__xludf.DUMMYFUNCTION("""COMPUTED_VALUE"""),205.0)</f>
        <v>205</v>
      </c>
      <c r="D39" s="329">
        <f>IFERROR(__xludf.DUMMYFUNCTION("""COMPUTED_VALUE"""),35363.0)</f>
        <v>35363</v>
      </c>
      <c r="E39" s="329">
        <f>IFERROR(__xludf.DUMMYFUNCTION("""COMPUTED_VALUE"""),12149.0)</f>
        <v>12149</v>
      </c>
      <c r="F39" s="257">
        <f>IFERROR(__xludf.DUMMYFUNCTION("""COMPUTED_VALUE"""),775269.0)</f>
        <v>775269</v>
      </c>
      <c r="G39" s="257">
        <f>IFERROR(__xludf.DUMMYFUNCTION("""COMPUTED_VALUE"""),12358.0)</f>
        <v>12358</v>
      </c>
      <c r="H39" s="257">
        <f>IFERROR(__xludf.DUMMYFUNCTION("""COMPUTED_VALUE"""),810632.0)</f>
        <v>810632</v>
      </c>
      <c r="I39" s="329">
        <f>IFERROR(__xludf.DUMMYFUNCTION("""COMPUTED_VALUE"""),183.0)</f>
        <v>183</v>
      </c>
      <c r="J39" s="329">
        <f>IFERROR(__xludf.DUMMYFUNCTION("""COMPUTED_VALUE"""),179.0)</f>
        <v>179</v>
      </c>
      <c r="K39" s="329">
        <f>IFERROR(__xludf.DUMMYFUNCTION("""COMPUTED_VALUE"""),25335.0)</f>
        <v>25335</v>
      </c>
      <c r="L39" s="329">
        <f>IFERROR(__xludf.DUMMYFUNCTION("""COMPUTED_VALUE"""),2293.0)</f>
        <v>2293</v>
      </c>
      <c r="M39" s="329">
        <f>IFERROR(__xludf.DUMMYFUNCTION("""COMPUTED_VALUE"""),292975.0)</f>
        <v>292975</v>
      </c>
      <c r="N39" s="329">
        <f>IFERROR(__xludf.DUMMYFUNCTION("""COMPUTED_VALUE"""),318310.0)</f>
        <v>318310</v>
      </c>
      <c r="O39" s="329">
        <f>IFERROR(__xludf.DUMMYFUNCTION("""COMPUTED_VALUE"""),14.0)</f>
        <v>14</v>
      </c>
      <c r="P39" s="329">
        <f>IFERROR(__xludf.DUMMYFUNCTION("""COMPUTED_VALUE"""),2770.0)</f>
        <v>2770</v>
      </c>
      <c r="Q39" s="329">
        <f>IFERROR(__xludf.DUMMYFUNCTION("""COMPUTED_VALUE"""),13.0)</f>
        <v>13</v>
      </c>
      <c r="R39" s="329">
        <f>IFERROR(__xludf.DUMMYFUNCTION("""COMPUTED_VALUE"""),2316.0)</f>
        <v>2316</v>
      </c>
      <c r="S39" s="329">
        <f>IFERROR(__xludf.DUMMYFUNCTION("""COMPUTED_VALUE"""),1.0)</f>
        <v>1</v>
      </c>
      <c r="T39" s="329">
        <f>IFERROR(__xludf.DUMMYFUNCTION("""COMPUTED_VALUE"""),363.0)</f>
        <v>363</v>
      </c>
      <c r="U39" s="329">
        <f>IFERROR(__xludf.DUMMYFUNCTION("""COMPUTED_VALUE"""),91.0)</f>
        <v>91</v>
      </c>
      <c r="V39" s="329">
        <f>IFERROR(__xludf.DUMMYFUNCTION("""COMPUTED_VALUE"""),90.0)</f>
        <v>90</v>
      </c>
      <c r="W39" s="329">
        <f>IFERROR(__xludf.DUMMYFUNCTION("""COMPUTED_VALUE"""),8.0)</f>
        <v>8</v>
      </c>
      <c r="X39" s="329">
        <f>IFERROR(__xludf.DUMMYFUNCTION("""COMPUTED_VALUE"""),5.0)</f>
        <v>5</v>
      </c>
      <c r="Y39" s="329">
        <f>IFERROR(__xludf.DUMMYFUNCTION("""COMPUTED_VALUE"""),2.0)</f>
        <v>2</v>
      </c>
      <c r="Z39" s="329">
        <f>IFERROR(__xludf.DUMMYFUNCTION("""COMPUTED_VALUE"""),1129.0)</f>
        <v>1129</v>
      </c>
      <c r="AA39" s="257" t="str">
        <f>IFERROR(__xludf.DUMMYFUNCTION("""COMPUTED_VALUE"""),"--")</f>
        <v>--</v>
      </c>
      <c r="AB39" s="257" t="str">
        <f>IFERROR(__xludf.DUMMYFUNCTION("""COMPUTED_VALUE"""),"--")</f>
        <v>--</v>
      </c>
      <c r="AC39" s="257" t="str">
        <f>IFERROR(__xludf.DUMMYFUNCTION("""COMPUTED_VALUE"""),"--")</f>
        <v>--</v>
      </c>
      <c r="AD39" s="257" t="str">
        <f>IFERROR(__xludf.DUMMYFUNCTION("""COMPUTED_VALUE"""),"--")</f>
        <v>--</v>
      </c>
      <c r="AE39" s="257" t="str">
        <f>IFERROR(__xludf.DUMMYFUNCTION("""COMPUTED_VALUE"""),"--")</f>
        <v>--</v>
      </c>
      <c r="AF39" s="257" t="str">
        <f>IFERROR(__xludf.DUMMYFUNCTION("""COMPUTED_VALUE"""),"--")</f>
        <v>--</v>
      </c>
      <c r="AG39" s="257" t="str">
        <f>IFERROR(__xludf.DUMMYFUNCTION("""COMPUTED_VALUE"""),"--")</f>
        <v>--</v>
      </c>
      <c r="AH39" s="257" t="str">
        <f>IFERROR(__xludf.DUMMYFUNCTION("""COMPUTED_VALUE"""),"--")</f>
        <v>--</v>
      </c>
    </row>
    <row r="40">
      <c r="A40" s="328">
        <f>IFERROR(__xludf.DUMMYFUNCTION("""COMPUTED_VALUE"""),44107.0)</f>
        <v>44107</v>
      </c>
      <c r="B40" s="329">
        <f>IFERROR(__xludf.DUMMYFUNCTION("""COMPUTED_VALUE"""),157.0)</f>
        <v>157</v>
      </c>
      <c r="C40" s="329">
        <f>IFERROR(__xludf.DUMMYFUNCTION("""COMPUTED_VALUE"""),183.0)</f>
        <v>183</v>
      </c>
      <c r="D40" s="329">
        <f>IFERROR(__xludf.DUMMYFUNCTION("""COMPUTED_VALUE"""),35520.0)</f>
        <v>35520</v>
      </c>
      <c r="E40" s="329">
        <f>IFERROR(__xludf.DUMMYFUNCTION("""COMPUTED_VALUE"""),9304.0)</f>
        <v>9304</v>
      </c>
      <c r="F40" s="257">
        <f>IFERROR(__xludf.DUMMYFUNCTION("""COMPUTED_VALUE"""),784573.0)</f>
        <v>784573</v>
      </c>
      <c r="G40" s="257">
        <f>IFERROR(__xludf.DUMMYFUNCTION("""COMPUTED_VALUE"""),9461.0)</f>
        <v>9461</v>
      </c>
      <c r="H40" s="257">
        <f>IFERROR(__xludf.DUMMYFUNCTION("""COMPUTED_VALUE"""),820093.0)</f>
        <v>820093</v>
      </c>
      <c r="I40" s="329">
        <f>IFERROR(__xludf.DUMMYFUNCTION("""COMPUTED_VALUE"""),131.0)</f>
        <v>131</v>
      </c>
      <c r="J40" s="329">
        <f>IFERROR(__xludf.DUMMYFUNCTION("""COMPUTED_VALUE"""),160.0)</f>
        <v>160</v>
      </c>
      <c r="K40" s="329">
        <f>IFERROR(__xludf.DUMMYFUNCTION("""COMPUTED_VALUE"""),25466.0)</f>
        <v>25466</v>
      </c>
      <c r="L40" s="329">
        <f>IFERROR(__xludf.DUMMYFUNCTION("""COMPUTED_VALUE"""),1862.0)</f>
        <v>1862</v>
      </c>
      <c r="M40" s="329">
        <f>IFERROR(__xludf.DUMMYFUNCTION("""COMPUTED_VALUE"""),294837.0)</f>
        <v>294837</v>
      </c>
      <c r="N40" s="329">
        <f>IFERROR(__xludf.DUMMYFUNCTION("""COMPUTED_VALUE"""),320303.0)</f>
        <v>320303</v>
      </c>
      <c r="O40" s="329">
        <f>IFERROR(__xludf.DUMMYFUNCTION("""COMPUTED_VALUE"""),8.0)</f>
        <v>8</v>
      </c>
      <c r="P40" s="329">
        <f>IFERROR(__xludf.DUMMYFUNCTION("""COMPUTED_VALUE"""),2778.0)</f>
        <v>2778</v>
      </c>
      <c r="Q40" s="329">
        <f>IFERROR(__xludf.DUMMYFUNCTION("""COMPUTED_VALUE"""),8.0)</f>
        <v>8</v>
      </c>
      <c r="R40" s="329">
        <f>IFERROR(__xludf.DUMMYFUNCTION("""COMPUTED_VALUE"""),2324.0)</f>
        <v>2324</v>
      </c>
      <c r="S40" s="329">
        <f>IFERROR(__xludf.DUMMYFUNCTION("""COMPUTED_VALUE"""),2.0)</f>
        <v>2</v>
      </c>
      <c r="T40" s="329">
        <f>IFERROR(__xludf.DUMMYFUNCTION("""COMPUTED_VALUE"""),365.0)</f>
        <v>365</v>
      </c>
      <c r="U40" s="329">
        <f>IFERROR(__xludf.DUMMYFUNCTION("""COMPUTED_VALUE"""),89.0)</f>
        <v>89</v>
      </c>
      <c r="V40" s="329">
        <f>IFERROR(__xludf.DUMMYFUNCTION("""COMPUTED_VALUE"""),90.0)</f>
        <v>90</v>
      </c>
      <c r="W40" s="329">
        <f>IFERROR(__xludf.DUMMYFUNCTION("""COMPUTED_VALUE"""),9.0)</f>
        <v>9</v>
      </c>
      <c r="X40" s="329">
        <f>IFERROR(__xludf.DUMMYFUNCTION("""COMPUTED_VALUE"""),4.0)</f>
        <v>4</v>
      </c>
      <c r="Y40" s="329">
        <f>IFERROR(__xludf.DUMMYFUNCTION("""COMPUTED_VALUE"""),2.0)</f>
        <v>2</v>
      </c>
      <c r="Z40" s="329">
        <f>IFERROR(__xludf.DUMMYFUNCTION("""COMPUTED_VALUE"""),1131.0)</f>
        <v>1131</v>
      </c>
      <c r="AA40" s="257" t="str">
        <f>IFERROR(__xludf.DUMMYFUNCTION("""COMPUTED_VALUE"""),"--")</f>
        <v>--</v>
      </c>
      <c r="AB40" s="257" t="str">
        <f>IFERROR(__xludf.DUMMYFUNCTION("""COMPUTED_VALUE"""),"--")</f>
        <v>--</v>
      </c>
      <c r="AC40" s="257" t="str">
        <f>IFERROR(__xludf.DUMMYFUNCTION("""COMPUTED_VALUE"""),"--")</f>
        <v>--</v>
      </c>
      <c r="AD40" s="257" t="str">
        <f>IFERROR(__xludf.DUMMYFUNCTION("""COMPUTED_VALUE"""),"--")</f>
        <v>--</v>
      </c>
      <c r="AE40" s="257" t="str">
        <f>IFERROR(__xludf.DUMMYFUNCTION("""COMPUTED_VALUE"""),"--")</f>
        <v>--</v>
      </c>
      <c r="AF40" s="257" t="str">
        <f>IFERROR(__xludf.DUMMYFUNCTION("""COMPUTED_VALUE"""),"--")</f>
        <v>--</v>
      </c>
      <c r="AG40" s="257" t="str">
        <f>IFERROR(__xludf.DUMMYFUNCTION("""COMPUTED_VALUE"""),"--")</f>
        <v>--</v>
      </c>
      <c r="AH40" s="257" t="str">
        <f>IFERROR(__xludf.DUMMYFUNCTION("""COMPUTED_VALUE"""),"--")</f>
        <v>--</v>
      </c>
    </row>
    <row r="41">
      <c r="A41" s="328">
        <f>IFERROR(__xludf.DUMMYFUNCTION("""COMPUTED_VALUE"""),44108.0)</f>
        <v>44108</v>
      </c>
      <c r="B41" s="329">
        <f>IFERROR(__xludf.DUMMYFUNCTION("""COMPUTED_VALUE"""),81.0)</f>
        <v>81</v>
      </c>
      <c r="C41" s="329">
        <f>IFERROR(__xludf.DUMMYFUNCTION("""COMPUTED_VALUE"""),149.0)</f>
        <v>149</v>
      </c>
      <c r="D41" s="329">
        <f>IFERROR(__xludf.DUMMYFUNCTION("""COMPUTED_VALUE"""),35601.0)</f>
        <v>35601</v>
      </c>
      <c r="E41" s="329">
        <f>IFERROR(__xludf.DUMMYFUNCTION("""COMPUTED_VALUE"""),2369.0)</f>
        <v>2369</v>
      </c>
      <c r="F41" s="257">
        <f>IFERROR(__xludf.DUMMYFUNCTION("""COMPUTED_VALUE"""),786942.0)</f>
        <v>786942</v>
      </c>
      <c r="G41" s="257">
        <f>IFERROR(__xludf.DUMMYFUNCTION("""COMPUTED_VALUE"""),2450.0)</f>
        <v>2450</v>
      </c>
      <c r="H41" s="257">
        <f>IFERROR(__xludf.DUMMYFUNCTION("""COMPUTED_VALUE"""),822543.0)</f>
        <v>822543</v>
      </c>
      <c r="I41" s="329">
        <f>IFERROR(__xludf.DUMMYFUNCTION("""COMPUTED_VALUE"""),77.0)</f>
        <v>77</v>
      </c>
      <c r="J41" s="329">
        <f>IFERROR(__xludf.DUMMYFUNCTION("""COMPUTED_VALUE"""),130.0)</f>
        <v>130</v>
      </c>
      <c r="K41" s="329">
        <f>IFERROR(__xludf.DUMMYFUNCTION("""COMPUTED_VALUE"""),25543.0)</f>
        <v>25543</v>
      </c>
      <c r="L41" s="329">
        <f>IFERROR(__xludf.DUMMYFUNCTION("""COMPUTED_VALUE"""),875.0)</f>
        <v>875</v>
      </c>
      <c r="M41" s="329">
        <f>IFERROR(__xludf.DUMMYFUNCTION("""COMPUTED_VALUE"""),295712.0)</f>
        <v>295712</v>
      </c>
      <c r="N41" s="329">
        <f>IFERROR(__xludf.DUMMYFUNCTION("""COMPUTED_VALUE"""),321255.0)</f>
        <v>321255</v>
      </c>
      <c r="O41" s="329">
        <f>IFERROR(__xludf.DUMMYFUNCTION("""COMPUTED_VALUE"""),11.0)</f>
        <v>11</v>
      </c>
      <c r="P41" s="329">
        <f>IFERROR(__xludf.DUMMYFUNCTION("""COMPUTED_VALUE"""),2789.0)</f>
        <v>2789</v>
      </c>
      <c r="Q41" s="329">
        <f>IFERROR(__xludf.DUMMYFUNCTION("""COMPUTED_VALUE"""),9.0)</f>
        <v>9</v>
      </c>
      <c r="R41" s="329">
        <f>IFERROR(__xludf.DUMMYFUNCTION("""COMPUTED_VALUE"""),2333.0)</f>
        <v>2333</v>
      </c>
      <c r="S41" s="329">
        <f>IFERROR(__xludf.DUMMYFUNCTION("""COMPUTED_VALUE"""),1.0)</f>
        <v>1</v>
      </c>
      <c r="T41" s="329">
        <f>IFERROR(__xludf.DUMMYFUNCTION("""COMPUTED_VALUE"""),366.0)</f>
        <v>366</v>
      </c>
      <c r="U41" s="329">
        <f>IFERROR(__xludf.DUMMYFUNCTION("""COMPUTED_VALUE"""),90.0)</f>
        <v>90</v>
      </c>
      <c r="V41" s="329">
        <f>IFERROR(__xludf.DUMMYFUNCTION("""COMPUTED_VALUE"""),90.0)</f>
        <v>90</v>
      </c>
      <c r="W41" s="329">
        <f>IFERROR(__xludf.DUMMYFUNCTION("""COMPUTED_VALUE"""),8.0)</f>
        <v>8</v>
      </c>
      <c r="X41" s="329">
        <f>IFERROR(__xludf.DUMMYFUNCTION("""COMPUTED_VALUE"""),5.0)</f>
        <v>5</v>
      </c>
      <c r="Y41" s="329">
        <f>IFERROR(__xludf.DUMMYFUNCTION("""COMPUTED_VALUE"""),2.0)</f>
        <v>2</v>
      </c>
      <c r="Z41" s="329">
        <f>IFERROR(__xludf.DUMMYFUNCTION("""COMPUTED_VALUE"""),1133.0)</f>
        <v>1133</v>
      </c>
      <c r="AA41" s="257" t="str">
        <f>IFERROR(__xludf.DUMMYFUNCTION("""COMPUTED_VALUE"""),"--")</f>
        <v>--</v>
      </c>
      <c r="AB41" s="257" t="str">
        <f>IFERROR(__xludf.DUMMYFUNCTION("""COMPUTED_VALUE"""),"--")</f>
        <v>--</v>
      </c>
      <c r="AC41" s="257" t="str">
        <f>IFERROR(__xludf.DUMMYFUNCTION("""COMPUTED_VALUE"""),"--")</f>
        <v>--</v>
      </c>
      <c r="AD41" s="257" t="str">
        <f>IFERROR(__xludf.DUMMYFUNCTION("""COMPUTED_VALUE"""),"--")</f>
        <v>--</v>
      </c>
      <c r="AE41" s="257" t="str">
        <f>IFERROR(__xludf.DUMMYFUNCTION("""COMPUTED_VALUE"""),"--")</f>
        <v>--</v>
      </c>
      <c r="AF41" s="257" t="str">
        <f>IFERROR(__xludf.DUMMYFUNCTION("""COMPUTED_VALUE"""),"--")</f>
        <v>--</v>
      </c>
      <c r="AG41" s="257" t="str">
        <f>IFERROR(__xludf.DUMMYFUNCTION("""COMPUTED_VALUE"""),"--")</f>
        <v>--</v>
      </c>
      <c r="AH41" s="257" t="str">
        <f>IFERROR(__xludf.DUMMYFUNCTION("""COMPUTED_VALUE"""),"--")</f>
        <v>--</v>
      </c>
    </row>
    <row r="42">
      <c r="A42" s="328">
        <f>IFERROR(__xludf.DUMMYFUNCTION("""COMPUTED_VALUE"""),44109.0)</f>
        <v>44109</v>
      </c>
      <c r="B42" s="329">
        <f>IFERROR(__xludf.DUMMYFUNCTION("""COMPUTED_VALUE"""),175.0)</f>
        <v>175</v>
      </c>
      <c r="C42" s="329">
        <f>IFERROR(__xludf.DUMMYFUNCTION("""COMPUTED_VALUE"""),138.0)</f>
        <v>138</v>
      </c>
      <c r="D42" s="329">
        <f>IFERROR(__xludf.DUMMYFUNCTION("""COMPUTED_VALUE"""),35776.0)</f>
        <v>35776</v>
      </c>
      <c r="E42" s="329">
        <f>IFERROR(__xludf.DUMMYFUNCTION("""COMPUTED_VALUE"""),8963.0)</f>
        <v>8963</v>
      </c>
      <c r="F42" s="257">
        <f>IFERROR(__xludf.DUMMYFUNCTION("""COMPUTED_VALUE"""),795905.0)</f>
        <v>795905</v>
      </c>
      <c r="G42" s="257">
        <f>IFERROR(__xludf.DUMMYFUNCTION("""COMPUTED_VALUE"""),9138.0)</f>
        <v>9138</v>
      </c>
      <c r="H42" s="257">
        <f>IFERROR(__xludf.DUMMYFUNCTION("""COMPUTED_VALUE"""),831681.0)</f>
        <v>831681</v>
      </c>
      <c r="I42" s="329">
        <f>IFERROR(__xludf.DUMMYFUNCTION("""COMPUTED_VALUE"""),160.0)</f>
        <v>160</v>
      </c>
      <c r="J42" s="329">
        <f>IFERROR(__xludf.DUMMYFUNCTION("""COMPUTED_VALUE"""),123.0)</f>
        <v>123</v>
      </c>
      <c r="K42" s="329">
        <f>IFERROR(__xludf.DUMMYFUNCTION("""COMPUTED_VALUE"""),25703.0)</f>
        <v>25703</v>
      </c>
      <c r="L42" s="329">
        <f>IFERROR(__xludf.DUMMYFUNCTION("""COMPUTED_VALUE"""),2807.0)</f>
        <v>2807</v>
      </c>
      <c r="M42" s="329">
        <f>IFERROR(__xludf.DUMMYFUNCTION("""COMPUTED_VALUE"""),298519.0)</f>
        <v>298519</v>
      </c>
      <c r="N42" s="329">
        <f>IFERROR(__xludf.DUMMYFUNCTION("""COMPUTED_VALUE"""),324222.0)</f>
        <v>324222</v>
      </c>
      <c r="O42" s="329">
        <f>IFERROR(__xludf.DUMMYFUNCTION("""COMPUTED_VALUE"""),29.0)</f>
        <v>29</v>
      </c>
      <c r="P42" s="329">
        <f>IFERROR(__xludf.DUMMYFUNCTION("""COMPUTED_VALUE"""),2818.0)</f>
        <v>2818</v>
      </c>
      <c r="Q42" s="329">
        <f>IFERROR(__xludf.DUMMYFUNCTION("""COMPUTED_VALUE"""),9.0)</f>
        <v>9</v>
      </c>
      <c r="R42" s="329">
        <f>IFERROR(__xludf.DUMMYFUNCTION("""COMPUTED_VALUE"""),2342.0)</f>
        <v>2342</v>
      </c>
      <c r="S42" s="329">
        <f>IFERROR(__xludf.DUMMYFUNCTION("""COMPUTED_VALUE"""),2.0)</f>
        <v>2</v>
      </c>
      <c r="T42" s="329">
        <f>IFERROR(__xludf.DUMMYFUNCTION("""COMPUTED_VALUE"""),368.0)</f>
        <v>368</v>
      </c>
      <c r="U42" s="329">
        <f>IFERROR(__xludf.DUMMYFUNCTION("""COMPUTED_VALUE"""),108.0)</f>
        <v>108</v>
      </c>
      <c r="V42" s="329">
        <f>IFERROR(__xludf.DUMMYFUNCTION("""COMPUTED_VALUE"""),96.0)</f>
        <v>96</v>
      </c>
      <c r="W42" s="329">
        <f>IFERROR(__xludf.DUMMYFUNCTION("""COMPUTED_VALUE"""),9.0)</f>
        <v>9</v>
      </c>
      <c r="X42" s="329">
        <f>IFERROR(__xludf.DUMMYFUNCTION("""COMPUTED_VALUE"""),6.0)</f>
        <v>6</v>
      </c>
      <c r="Y42" s="329">
        <f>IFERROR(__xludf.DUMMYFUNCTION("""COMPUTED_VALUE"""),4.0)</f>
        <v>4</v>
      </c>
      <c r="Z42" s="329">
        <f>IFERROR(__xludf.DUMMYFUNCTION("""COMPUTED_VALUE"""),1137.0)</f>
        <v>1137</v>
      </c>
      <c r="AA42" s="257" t="str">
        <f>IFERROR(__xludf.DUMMYFUNCTION("""COMPUTED_VALUE"""),"--")</f>
        <v>--</v>
      </c>
      <c r="AB42" s="257" t="str">
        <f>IFERROR(__xludf.DUMMYFUNCTION("""COMPUTED_VALUE"""),"--")</f>
        <v>--</v>
      </c>
      <c r="AC42" s="257" t="str">
        <f>IFERROR(__xludf.DUMMYFUNCTION("""COMPUTED_VALUE"""),"--")</f>
        <v>--</v>
      </c>
      <c r="AD42" s="257" t="str">
        <f>IFERROR(__xludf.DUMMYFUNCTION("""COMPUTED_VALUE"""),"--")</f>
        <v>--</v>
      </c>
      <c r="AE42" s="257" t="str">
        <f>IFERROR(__xludf.DUMMYFUNCTION("""COMPUTED_VALUE"""),"--")</f>
        <v>--</v>
      </c>
      <c r="AF42" s="257" t="str">
        <f>IFERROR(__xludf.DUMMYFUNCTION("""COMPUTED_VALUE"""),"--")</f>
        <v>--</v>
      </c>
      <c r="AG42" s="257" t="str">
        <f>IFERROR(__xludf.DUMMYFUNCTION("""COMPUTED_VALUE"""),"--")</f>
        <v>--</v>
      </c>
      <c r="AH42" s="257" t="str">
        <f>IFERROR(__xludf.DUMMYFUNCTION("""COMPUTED_VALUE"""),"--")</f>
        <v>--</v>
      </c>
    </row>
    <row r="43">
      <c r="A43" s="328">
        <f>IFERROR(__xludf.DUMMYFUNCTION("""COMPUTED_VALUE"""),44110.0)</f>
        <v>44110</v>
      </c>
      <c r="B43" s="329">
        <f>IFERROR(__xludf.DUMMYFUNCTION("""COMPUTED_VALUE"""),189.0)</f>
        <v>189</v>
      </c>
      <c r="C43" s="329">
        <f>IFERROR(__xludf.DUMMYFUNCTION("""COMPUTED_VALUE"""),148.0)</f>
        <v>148</v>
      </c>
      <c r="D43" s="329">
        <f>IFERROR(__xludf.DUMMYFUNCTION("""COMPUTED_VALUE"""),35965.0)</f>
        <v>35965</v>
      </c>
      <c r="E43" s="329">
        <f>IFERROR(__xludf.DUMMYFUNCTION("""COMPUTED_VALUE"""),11190.0)</f>
        <v>11190</v>
      </c>
      <c r="F43" s="257">
        <f>IFERROR(__xludf.DUMMYFUNCTION("""COMPUTED_VALUE"""),807095.0)</f>
        <v>807095</v>
      </c>
      <c r="G43" s="257">
        <f>IFERROR(__xludf.DUMMYFUNCTION("""COMPUTED_VALUE"""),11379.0)</f>
        <v>11379</v>
      </c>
      <c r="H43" s="257">
        <f>IFERROR(__xludf.DUMMYFUNCTION("""COMPUTED_VALUE"""),843060.0)</f>
        <v>843060</v>
      </c>
      <c r="I43" s="329">
        <f>IFERROR(__xludf.DUMMYFUNCTION("""COMPUTED_VALUE"""),187.0)</f>
        <v>187</v>
      </c>
      <c r="J43" s="329">
        <f>IFERROR(__xludf.DUMMYFUNCTION("""COMPUTED_VALUE"""),141.0)</f>
        <v>141</v>
      </c>
      <c r="K43" s="329">
        <f>IFERROR(__xludf.DUMMYFUNCTION("""COMPUTED_VALUE"""),25890.0)</f>
        <v>25890</v>
      </c>
      <c r="L43" s="329">
        <f>IFERROR(__xludf.DUMMYFUNCTION("""COMPUTED_VALUE"""),2658.0)</f>
        <v>2658</v>
      </c>
      <c r="M43" s="329">
        <f>IFERROR(__xludf.DUMMYFUNCTION("""COMPUTED_VALUE"""),301177.0)</f>
        <v>301177</v>
      </c>
      <c r="N43" s="329">
        <f>IFERROR(__xludf.DUMMYFUNCTION("""COMPUTED_VALUE"""),327067.0)</f>
        <v>327067</v>
      </c>
      <c r="O43" s="329">
        <f>IFERROR(__xludf.DUMMYFUNCTION("""COMPUTED_VALUE"""),11.0)</f>
        <v>11</v>
      </c>
      <c r="P43" s="329">
        <f>IFERROR(__xludf.DUMMYFUNCTION("""COMPUTED_VALUE"""),2829.0)</f>
        <v>2829</v>
      </c>
      <c r="Q43" s="329">
        <f>IFERROR(__xludf.DUMMYFUNCTION("""COMPUTED_VALUE"""),4.0)</f>
        <v>4</v>
      </c>
      <c r="R43" s="329">
        <f>IFERROR(__xludf.DUMMYFUNCTION("""COMPUTED_VALUE"""),2346.0)</f>
        <v>2346</v>
      </c>
      <c r="S43" s="329">
        <f>IFERROR(__xludf.DUMMYFUNCTION("""COMPUTED_VALUE"""),0.0)</f>
        <v>0</v>
      </c>
      <c r="T43" s="329">
        <f>IFERROR(__xludf.DUMMYFUNCTION("""COMPUTED_VALUE"""),368.0)</f>
        <v>368</v>
      </c>
      <c r="U43" s="329">
        <f>IFERROR(__xludf.DUMMYFUNCTION("""COMPUTED_VALUE"""),115.0)</f>
        <v>115</v>
      </c>
      <c r="V43" s="329">
        <f>IFERROR(__xludf.DUMMYFUNCTION("""COMPUTED_VALUE"""),104.0)</f>
        <v>104</v>
      </c>
      <c r="W43" s="329">
        <f>IFERROR(__xludf.DUMMYFUNCTION("""COMPUTED_VALUE"""),11.0)</f>
        <v>11</v>
      </c>
      <c r="X43" s="329">
        <f>IFERROR(__xludf.DUMMYFUNCTION("""COMPUTED_VALUE"""),7.0)</f>
        <v>7</v>
      </c>
      <c r="Y43" s="329">
        <f>IFERROR(__xludf.DUMMYFUNCTION("""COMPUTED_VALUE"""),0.0)</f>
        <v>0</v>
      </c>
      <c r="Z43" s="329">
        <f>IFERROR(__xludf.DUMMYFUNCTION("""COMPUTED_VALUE"""),1137.0)</f>
        <v>1137</v>
      </c>
      <c r="AA43" s="257" t="str">
        <f>IFERROR(__xludf.DUMMYFUNCTION("""COMPUTED_VALUE"""),"--")</f>
        <v>--</v>
      </c>
      <c r="AB43" s="257" t="str">
        <f>IFERROR(__xludf.DUMMYFUNCTION("""COMPUTED_VALUE"""),"--")</f>
        <v>--</v>
      </c>
      <c r="AC43" s="257" t="str">
        <f>IFERROR(__xludf.DUMMYFUNCTION("""COMPUTED_VALUE"""),"--")</f>
        <v>--</v>
      </c>
      <c r="AD43" s="257" t="str">
        <f>IFERROR(__xludf.DUMMYFUNCTION("""COMPUTED_VALUE"""),"--")</f>
        <v>--</v>
      </c>
      <c r="AE43" s="257" t="str">
        <f>IFERROR(__xludf.DUMMYFUNCTION("""COMPUTED_VALUE"""),"--")</f>
        <v>--</v>
      </c>
      <c r="AF43" s="257" t="str">
        <f>IFERROR(__xludf.DUMMYFUNCTION("""COMPUTED_VALUE"""),"--")</f>
        <v>--</v>
      </c>
      <c r="AG43" s="257" t="str">
        <f>IFERROR(__xludf.DUMMYFUNCTION("""COMPUTED_VALUE"""),"--")</f>
        <v>--</v>
      </c>
      <c r="AH43" s="257" t="str">
        <f>IFERROR(__xludf.DUMMYFUNCTION("""COMPUTED_VALUE"""),"--")</f>
        <v>--</v>
      </c>
    </row>
    <row r="44">
      <c r="A44" s="328">
        <f>IFERROR(__xludf.DUMMYFUNCTION("""COMPUTED_VALUE"""),44111.0)</f>
        <v>44111</v>
      </c>
      <c r="B44" s="329">
        <f>IFERROR(__xludf.DUMMYFUNCTION("""COMPUTED_VALUE"""),244.0)</f>
        <v>244</v>
      </c>
      <c r="C44" s="329">
        <f>IFERROR(__xludf.DUMMYFUNCTION("""COMPUTED_VALUE"""),203.0)</f>
        <v>203</v>
      </c>
      <c r="D44" s="329">
        <f>IFERROR(__xludf.DUMMYFUNCTION("""COMPUTED_VALUE"""),36209.0)</f>
        <v>36209</v>
      </c>
      <c r="E44" s="329">
        <f>IFERROR(__xludf.DUMMYFUNCTION("""COMPUTED_VALUE"""),12443.0)</f>
        <v>12443</v>
      </c>
      <c r="F44" s="257">
        <f>IFERROR(__xludf.DUMMYFUNCTION("""COMPUTED_VALUE"""),819538.0)</f>
        <v>819538</v>
      </c>
      <c r="G44" s="257">
        <f>IFERROR(__xludf.DUMMYFUNCTION("""COMPUTED_VALUE"""),12687.0)</f>
        <v>12687</v>
      </c>
      <c r="H44" s="257">
        <f>IFERROR(__xludf.DUMMYFUNCTION("""COMPUTED_VALUE"""),855747.0)</f>
        <v>855747</v>
      </c>
      <c r="I44" s="329">
        <f>IFERROR(__xludf.DUMMYFUNCTION("""COMPUTED_VALUE"""),243.0)</f>
        <v>243</v>
      </c>
      <c r="J44" s="329">
        <f>IFERROR(__xludf.DUMMYFUNCTION("""COMPUTED_VALUE"""),197.0)</f>
        <v>197</v>
      </c>
      <c r="K44" s="329">
        <f>IFERROR(__xludf.DUMMYFUNCTION("""COMPUTED_VALUE"""),26133.0)</f>
        <v>26133</v>
      </c>
      <c r="L44" s="329">
        <f>IFERROR(__xludf.DUMMYFUNCTION("""COMPUTED_VALUE"""),3242.0)</f>
        <v>3242</v>
      </c>
      <c r="M44" s="329">
        <f>IFERROR(__xludf.DUMMYFUNCTION("""COMPUTED_VALUE"""),304419.0)</f>
        <v>304419</v>
      </c>
      <c r="N44" s="329">
        <f>IFERROR(__xludf.DUMMYFUNCTION("""COMPUTED_VALUE"""),330552.0)</f>
        <v>330552</v>
      </c>
      <c r="O44" s="329">
        <f>IFERROR(__xludf.DUMMYFUNCTION("""COMPUTED_VALUE"""),13.0)</f>
        <v>13</v>
      </c>
      <c r="P44" s="329">
        <f>IFERROR(__xludf.DUMMYFUNCTION("""COMPUTED_VALUE"""),2842.0)</f>
        <v>2842</v>
      </c>
      <c r="Q44" s="329">
        <f>IFERROR(__xludf.DUMMYFUNCTION("""COMPUTED_VALUE"""),14.0)</f>
        <v>14</v>
      </c>
      <c r="R44" s="329">
        <f>IFERROR(__xludf.DUMMYFUNCTION("""COMPUTED_VALUE"""),2360.0)</f>
        <v>2360</v>
      </c>
      <c r="S44" s="329">
        <f>IFERROR(__xludf.DUMMYFUNCTION("""COMPUTED_VALUE"""),2.0)</f>
        <v>2</v>
      </c>
      <c r="T44" s="329">
        <f>IFERROR(__xludf.DUMMYFUNCTION("""COMPUTED_VALUE"""),370.0)</f>
        <v>370</v>
      </c>
      <c r="U44" s="329">
        <f>IFERROR(__xludf.DUMMYFUNCTION("""COMPUTED_VALUE"""),112.0)</f>
        <v>112</v>
      </c>
      <c r="V44" s="329">
        <f>IFERROR(__xludf.DUMMYFUNCTION("""COMPUTED_VALUE"""),112.0)</f>
        <v>112</v>
      </c>
      <c r="W44" s="329">
        <f>IFERROR(__xludf.DUMMYFUNCTION("""COMPUTED_VALUE"""),9.0)</f>
        <v>9</v>
      </c>
      <c r="X44" s="329">
        <f>IFERROR(__xludf.DUMMYFUNCTION("""COMPUTED_VALUE"""),7.0)</f>
        <v>7</v>
      </c>
      <c r="Y44" s="329">
        <f>IFERROR(__xludf.DUMMYFUNCTION("""COMPUTED_VALUE"""),2.0)</f>
        <v>2</v>
      </c>
      <c r="Z44" s="329">
        <f>IFERROR(__xludf.DUMMYFUNCTION("""COMPUTED_VALUE"""),1139.0)</f>
        <v>1139</v>
      </c>
      <c r="AA44" s="257" t="str">
        <f>IFERROR(__xludf.DUMMYFUNCTION("""COMPUTED_VALUE"""),"--")</f>
        <v>--</v>
      </c>
      <c r="AB44" s="257" t="str">
        <f>IFERROR(__xludf.DUMMYFUNCTION("""COMPUTED_VALUE"""),"--")</f>
        <v>--</v>
      </c>
      <c r="AC44" s="257" t="str">
        <f>IFERROR(__xludf.DUMMYFUNCTION("""COMPUTED_VALUE"""),"--")</f>
        <v>--</v>
      </c>
      <c r="AD44" s="257" t="str">
        <f>IFERROR(__xludf.DUMMYFUNCTION("""COMPUTED_VALUE"""),"--")</f>
        <v>--</v>
      </c>
      <c r="AE44" s="257" t="str">
        <f>IFERROR(__xludf.DUMMYFUNCTION("""COMPUTED_VALUE"""),"--")</f>
        <v>--</v>
      </c>
      <c r="AF44" s="257" t="str">
        <f>IFERROR(__xludf.DUMMYFUNCTION("""COMPUTED_VALUE"""),"--")</f>
        <v>--</v>
      </c>
      <c r="AG44" s="257" t="str">
        <f>IFERROR(__xludf.DUMMYFUNCTION("""COMPUTED_VALUE"""),"--")</f>
        <v>--</v>
      </c>
      <c r="AH44" s="257" t="str">
        <f>IFERROR(__xludf.DUMMYFUNCTION("""COMPUTED_VALUE"""),"--")</f>
        <v>--</v>
      </c>
    </row>
    <row r="45">
      <c r="A45" s="328">
        <f>IFERROR(__xludf.DUMMYFUNCTION("""COMPUTED_VALUE"""),44112.0)</f>
        <v>44112</v>
      </c>
      <c r="B45" s="329">
        <f>IFERROR(__xludf.DUMMYFUNCTION("""COMPUTED_VALUE"""),283.0)</f>
        <v>283</v>
      </c>
      <c r="C45" s="329">
        <f>IFERROR(__xludf.DUMMYFUNCTION("""COMPUTED_VALUE"""),239.0)</f>
        <v>239</v>
      </c>
      <c r="D45" s="329">
        <f>IFERROR(__xludf.DUMMYFUNCTION("""COMPUTED_VALUE"""),36492.0)</f>
        <v>36492</v>
      </c>
      <c r="E45" s="329">
        <f>IFERROR(__xludf.DUMMYFUNCTION("""COMPUTED_VALUE"""),15222.0)</f>
        <v>15222</v>
      </c>
      <c r="F45" s="257">
        <f>IFERROR(__xludf.DUMMYFUNCTION("""COMPUTED_VALUE"""),834760.0)</f>
        <v>834760</v>
      </c>
      <c r="G45" s="257">
        <f>IFERROR(__xludf.DUMMYFUNCTION("""COMPUTED_VALUE"""),15505.0)</f>
        <v>15505</v>
      </c>
      <c r="H45" s="257">
        <f>IFERROR(__xludf.DUMMYFUNCTION("""COMPUTED_VALUE"""),871252.0)</f>
        <v>871252</v>
      </c>
      <c r="I45" s="329">
        <f>IFERROR(__xludf.DUMMYFUNCTION("""COMPUTED_VALUE"""),275.0)</f>
        <v>275</v>
      </c>
      <c r="J45" s="329">
        <f>IFERROR(__xludf.DUMMYFUNCTION("""COMPUTED_VALUE"""),235.0)</f>
        <v>235</v>
      </c>
      <c r="K45" s="329">
        <f>IFERROR(__xludf.DUMMYFUNCTION("""COMPUTED_VALUE"""),26408.0)</f>
        <v>26408</v>
      </c>
      <c r="L45" s="329">
        <f>IFERROR(__xludf.DUMMYFUNCTION("""COMPUTED_VALUE"""),3843.0)</f>
        <v>3843</v>
      </c>
      <c r="M45" s="329">
        <f>IFERROR(__xludf.DUMMYFUNCTION("""COMPUTED_VALUE"""),308262.0)</f>
        <v>308262</v>
      </c>
      <c r="N45" s="329">
        <f>IFERROR(__xludf.DUMMYFUNCTION("""COMPUTED_VALUE"""),334670.0)</f>
        <v>334670</v>
      </c>
      <c r="O45" s="329">
        <f>IFERROR(__xludf.DUMMYFUNCTION("""COMPUTED_VALUE"""),17.0)</f>
        <v>17</v>
      </c>
      <c r="P45" s="329">
        <f>IFERROR(__xludf.DUMMYFUNCTION("""COMPUTED_VALUE"""),2859.0)</f>
        <v>2859</v>
      </c>
      <c r="Q45" s="329">
        <f>IFERROR(__xludf.DUMMYFUNCTION("""COMPUTED_VALUE"""),13.0)</f>
        <v>13</v>
      </c>
      <c r="R45" s="329">
        <f>IFERROR(__xludf.DUMMYFUNCTION("""COMPUTED_VALUE"""),2373.0)</f>
        <v>2373</v>
      </c>
      <c r="S45" s="329">
        <f>IFERROR(__xludf.DUMMYFUNCTION("""COMPUTED_VALUE"""),2.0)</f>
        <v>2</v>
      </c>
      <c r="T45" s="329">
        <f>IFERROR(__xludf.DUMMYFUNCTION("""COMPUTED_VALUE"""),372.0)</f>
        <v>372</v>
      </c>
      <c r="U45" s="329">
        <f>IFERROR(__xludf.DUMMYFUNCTION("""COMPUTED_VALUE"""),114.0)</f>
        <v>114</v>
      </c>
      <c r="V45" s="329">
        <f>IFERROR(__xludf.DUMMYFUNCTION("""COMPUTED_VALUE"""),114.0)</f>
        <v>114</v>
      </c>
      <c r="W45" s="329">
        <f>IFERROR(__xludf.DUMMYFUNCTION("""COMPUTED_VALUE"""),7.0)</f>
        <v>7</v>
      </c>
      <c r="X45" s="329">
        <f>IFERROR(__xludf.DUMMYFUNCTION("""COMPUTED_VALUE"""),5.0)</f>
        <v>5</v>
      </c>
      <c r="Y45" s="329">
        <f>IFERROR(__xludf.DUMMYFUNCTION("""COMPUTED_VALUE"""),4.0)</f>
        <v>4</v>
      </c>
      <c r="Z45" s="329">
        <f>IFERROR(__xludf.DUMMYFUNCTION("""COMPUTED_VALUE"""),1143.0)</f>
        <v>1143</v>
      </c>
      <c r="AA45" s="257" t="str">
        <f>IFERROR(__xludf.DUMMYFUNCTION("""COMPUTED_VALUE"""),"--")</f>
        <v>--</v>
      </c>
      <c r="AB45" s="257" t="str">
        <f>IFERROR(__xludf.DUMMYFUNCTION("""COMPUTED_VALUE"""),"--")</f>
        <v>--</v>
      </c>
      <c r="AC45" s="257" t="str">
        <f>IFERROR(__xludf.DUMMYFUNCTION("""COMPUTED_VALUE"""),"--")</f>
        <v>--</v>
      </c>
      <c r="AD45" s="257" t="str">
        <f>IFERROR(__xludf.DUMMYFUNCTION("""COMPUTED_VALUE"""),"--")</f>
        <v>--</v>
      </c>
      <c r="AE45" s="257" t="str">
        <f>IFERROR(__xludf.DUMMYFUNCTION("""COMPUTED_VALUE"""),"--")</f>
        <v>--</v>
      </c>
      <c r="AF45" s="257" t="str">
        <f>IFERROR(__xludf.DUMMYFUNCTION("""COMPUTED_VALUE"""),"--")</f>
        <v>--</v>
      </c>
      <c r="AG45" s="257" t="str">
        <f>IFERROR(__xludf.DUMMYFUNCTION("""COMPUTED_VALUE"""),"--")</f>
        <v>--</v>
      </c>
      <c r="AH45" s="257" t="str">
        <f>IFERROR(__xludf.DUMMYFUNCTION("""COMPUTED_VALUE"""),"--")</f>
        <v>--</v>
      </c>
    </row>
    <row r="46">
      <c r="A46" s="328">
        <f>IFERROR(__xludf.DUMMYFUNCTION("""COMPUTED_VALUE"""),44113.0)</f>
        <v>44113</v>
      </c>
      <c r="B46" s="329">
        <f>IFERROR(__xludf.DUMMYFUNCTION("""COMPUTED_VALUE"""),231.0)</f>
        <v>231</v>
      </c>
      <c r="C46" s="329">
        <f>IFERROR(__xludf.DUMMYFUNCTION("""COMPUTED_VALUE"""),253.0)</f>
        <v>253</v>
      </c>
      <c r="D46" s="329">
        <f>IFERROR(__xludf.DUMMYFUNCTION("""COMPUTED_VALUE"""),36723.0)</f>
        <v>36723</v>
      </c>
      <c r="E46" s="329">
        <f>IFERROR(__xludf.DUMMYFUNCTION("""COMPUTED_VALUE"""),13729.0)</f>
        <v>13729</v>
      </c>
      <c r="F46" s="257">
        <f>IFERROR(__xludf.DUMMYFUNCTION("""COMPUTED_VALUE"""),848489.0)</f>
        <v>848489</v>
      </c>
      <c r="G46" s="257">
        <f>IFERROR(__xludf.DUMMYFUNCTION("""COMPUTED_VALUE"""),13960.0)</f>
        <v>13960</v>
      </c>
      <c r="H46" s="257">
        <f>IFERROR(__xludf.DUMMYFUNCTION("""COMPUTED_VALUE"""),885212.0)</f>
        <v>885212</v>
      </c>
      <c r="I46" s="329">
        <f>IFERROR(__xludf.DUMMYFUNCTION("""COMPUTED_VALUE"""),200.0)</f>
        <v>200</v>
      </c>
      <c r="J46" s="329">
        <f>IFERROR(__xludf.DUMMYFUNCTION("""COMPUTED_VALUE"""),239.0)</f>
        <v>239</v>
      </c>
      <c r="K46" s="329">
        <f>IFERROR(__xludf.DUMMYFUNCTION("""COMPUTED_VALUE"""),26608.0)</f>
        <v>26608</v>
      </c>
      <c r="L46" s="329">
        <f>IFERROR(__xludf.DUMMYFUNCTION("""COMPUTED_VALUE"""),3848.0)</f>
        <v>3848</v>
      </c>
      <c r="M46" s="329">
        <f>IFERROR(__xludf.DUMMYFUNCTION("""COMPUTED_VALUE"""),312110.0)</f>
        <v>312110</v>
      </c>
      <c r="N46" s="329">
        <f>IFERROR(__xludf.DUMMYFUNCTION("""COMPUTED_VALUE"""),338718.0)</f>
        <v>338718</v>
      </c>
      <c r="O46" s="329">
        <f>IFERROR(__xludf.DUMMYFUNCTION("""COMPUTED_VALUE"""),21.0)</f>
        <v>21</v>
      </c>
      <c r="P46" s="329">
        <f>IFERROR(__xludf.DUMMYFUNCTION("""COMPUTED_VALUE"""),2880.0)</f>
        <v>2880</v>
      </c>
      <c r="Q46" s="329">
        <f>IFERROR(__xludf.DUMMYFUNCTION("""COMPUTED_VALUE"""),12.0)</f>
        <v>12</v>
      </c>
      <c r="R46" s="329">
        <f>IFERROR(__xludf.DUMMYFUNCTION("""COMPUTED_VALUE"""),2385.0)</f>
        <v>2385</v>
      </c>
      <c r="S46" s="329">
        <f>IFERROR(__xludf.DUMMYFUNCTION("""COMPUTED_VALUE"""),0.0)</f>
        <v>0</v>
      </c>
      <c r="T46" s="329">
        <f>IFERROR(__xludf.DUMMYFUNCTION("""COMPUTED_VALUE"""),372.0)</f>
        <v>372</v>
      </c>
      <c r="U46" s="329">
        <f>IFERROR(__xludf.DUMMYFUNCTION("""COMPUTED_VALUE"""),123.0)</f>
        <v>123</v>
      </c>
      <c r="V46" s="329">
        <f>IFERROR(__xludf.DUMMYFUNCTION("""COMPUTED_VALUE"""),116.0)</f>
        <v>116</v>
      </c>
      <c r="W46" s="329">
        <f>IFERROR(__xludf.DUMMYFUNCTION("""COMPUTED_VALUE"""),10.0)</f>
        <v>10</v>
      </c>
      <c r="X46" s="329">
        <f>IFERROR(__xludf.DUMMYFUNCTION("""COMPUTED_VALUE"""),7.0)</f>
        <v>7</v>
      </c>
      <c r="Y46" s="329">
        <f>IFERROR(__xludf.DUMMYFUNCTION("""COMPUTED_VALUE"""),3.0)</f>
        <v>3</v>
      </c>
      <c r="Z46" s="329">
        <f>IFERROR(__xludf.DUMMYFUNCTION("""COMPUTED_VALUE"""),1146.0)</f>
        <v>1146</v>
      </c>
      <c r="AA46" s="257" t="str">
        <f>IFERROR(__xludf.DUMMYFUNCTION("""COMPUTED_VALUE"""),"--")</f>
        <v>--</v>
      </c>
      <c r="AB46" s="257" t="str">
        <f>IFERROR(__xludf.DUMMYFUNCTION("""COMPUTED_VALUE"""),"--")</f>
        <v>--</v>
      </c>
      <c r="AC46" s="257" t="str">
        <f>IFERROR(__xludf.DUMMYFUNCTION("""COMPUTED_VALUE"""),"--")</f>
        <v>--</v>
      </c>
      <c r="AD46" s="257" t="str">
        <f>IFERROR(__xludf.DUMMYFUNCTION("""COMPUTED_VALUE"""),"--")</f>
        <v>--</v>
      </c>
      <c r="AE46" s="257" t="str">
        <f>IFERROR(__xludf.DUMMYFUNCTION("""COMPUTED_VALUE"""),"--")</f>
        <v>--</v>
      </c>
      <c r="AF46" s="257" t="str">
        <f>IFERROR(__xludf.DUMMYFUNCTION("""COMPUTED_VALUE"""),"--")</f>
        <v>--</v>
      </c>
      <c r="AG46" s="257" t="str">
        <f>IFERROR(__xludf.DUMMYFUNCTION("""COMPUTED_VALUE"""),"--")</f>
        <v>--</v>
      </c>
      <c r="AH46" s="257" t="str">
        <f>IFERROR(__xludf.DUMMYFUNCTION("""COMPUTED_VALUE"""),"--")</f>
        <v>--</v>
      </c>
    </row>
    <row r="47">
      <c r="A47" s="328">
        <f>IFERROR(__xludf.DUMMYFUNCTION("""COMPUTED_VALUE"""),44114.0)</f>
        <v>44114</v>
      </c>
      <c r="B47" s="329">
        <f>IFERROR(__xludf.DUMMYFUNCTION("""COMPUTED_VALUE"""),232.0)</f>
        <v>232</v>
      </c>
      <c r="C47" s="329">
        <f>IFERROR(__xludf.DUMMYFUNCTION("""COMPUTED_VALUE"""),249.0)</f>
        <v>249</v>
      </c>
      <c r="D47" s="329">
        <f>IFERROR(__xludf.DUMMYFUNCTION("""COMPUTED_VALUE"""),36955.0)</f>
        <v>36955</v>
      </c>
      <c r="E47" s="329">
        <f>IFERROR(__xludf.DUMMYFUNCTION("""COMPUTED_VALUE"""),13829.0)</f>
        <v>13829</v>
      </c>
      <c r="F47" s="257">
        <f>IFERROR(__xludf.DUMMYFUNCTION("""COMPUTED_VALUE"""),862318.0)</f>
        <v>862318</v>
      </c>
      <c r="G47" s="257">
        <f>IFERROR(__xludf.DUMMYFUNCTION("""COMPUTED_VALUE"""),14061.0)</f>
        <v>14061</v>
      </c>
      <c r="H47" s="257">
        <f>IFERROR(__xludf.DUMMYFUNCTION("""COMPUTED_VALUE"""),899273.0)</f>
        <v>899273</v>
      </c>
      <c r="I47" s="329">
        <f>IFERROR(__xludf.DUMMYFUNCTION("""COMPUTED_VALUE"""),192.0)</f>
        <v>192</v>
      </c>
      <c r="J47" s="329">
        <f>IFERROR(__xludf.DUMMYFUNCTION("""COMPUTED_VALUE"""),222.0)</f>
        <v>222</v>
      </c>
      <c r="K47" s="329">
        <f>IFERROR(__xludf.DUMMYFUNCTION("""COMPUTED_VALUE"""),26800.0)</f>
        <v>26800</v>
      </c>
      <c r="L47" s="329">
        <f>IFERROR(__xludf.DUMMYFUNCTION("""COMPUTED_VALUE"""),3465.0)</f>
        <v>3465</v>
      </c>
      <c r="M47" s="329">
        <f>IFERROR(__xludf.DUMMYFUNCTION("""COMPUTED_VALUE"""),315575.0)</f>
        <v>315575</v>
      </c>
      <c r="N47" s="329">
        <f>IFERROR(__xludf.DUMMYFUNCTION("""COMPUTED_VALUE"""),342375.0)</f>
        <v>342375</v>
      </c>
      <c r="O47" s="329">
        <f>IFERROR(__xludf.DUMMYFUNCTION("""COMPUTED_VALUE"""),18.0)</f>
        <v>18</v>
      </c>
      <c r="P47" s="329">
        <f>IFERROR(__xludf.DUMMYFUNCTION("""COMPUTED_VALUE"""),2898.0)</f>
        <v>2898</v>
      </c>
      <c r="Q47" s="329">
        <f>IFERROR(__xludf.DUMMYFUNCTION("""COMPUTED_VALUE"""),9.0)</f>
        <v>9</v>
      </c>
      <c r="R47" s="329">
        <f>IFERROR(__xludf.DUMMYFUNCTION("""COMPUTED_VALUE"""),2394.0)</f>
        <v>2394</v>
      </c>
      <c r="S47" s="329">
        <f>IFERROR(__xludf.DUMMYFUNCTION("""COMPUTED_VALUE"""),1.0)</f>
        <v>1</v>
      </c>
      <c r="T47" s="329">
        <f>IFERROR(__xludf.DUMMYFUNCTION("""COMPUTED_VALUE"""),373.0)</f>
        <v>373</v>
      </c>
      <c r="U47" s="329">
        <f>IFERROR(__xludf.DUMMYFUNCTION("""COMPUTED_VALUE"""),131.0)</f>
        <v>131</v>
      </c>
      <c r="V47" s="329">
        <f>IFERROR(__xludf.DUMMYFUNCTION("""COMPUTED_VALUE"""),123.0)</f>
        <v>123</v>
      </c>
      <c r="W47" s="329">
        <f>IFERROR(__xludf.DUMMYFUNCTION("""COMPUTED_VALUE"""),13.0)</f>
        <v>13</v>
      </c>
      <c r="X47" s="329">
        <f>IFERROR(__xludf.DUMMYFUNCTION("""COMPUTED_VALUE"""),7.0)</f>
        <v>7</v>
      </c>
      <c r="Y47" s="329">
        <f>IFERROR(__xludf.DUMMYFUNCTION("""COMPUTED_VALUE"""),2.0)</f>
        <v>2</v>
      </c>
      <c r="Z47" s="329">
        <f>IFERROR(__xludf.DUMMYFUNCTION("""COMPUTED_VALUE"""),1148.0)</f>
        <v>1148</v>
      </c>
      <c r="AA47" s="257" t="str">
        <f>IFERROR(__xludf.DUMMYFUNCTION("""COMPUTED_VALUE"""),"--")</f>
        <v>--</v>
      </c>
      <c r="AB47" s="257" t="str">
        <f>IFERROR(__xludf.DUMMYFUNCTION("""COMPUTED_VALUE"""),"--")</f>
        <v>--</v>
      </c>
      <c r="AC47" s="257" t="str">
        <f>IFERROR(__xludf.DUMMYFUNCTION("""COMPUTED_VALUE"""),"--")</f>
        <v>--</v>
      </c>
      <c r="AD47" s="257" t="str">
        <f>IFERROR(__xludf.DUMMYFUNCTION("""COMPUTED_VALUE"""),"--")</f>
        <v>--</v>
      </c>
      <c r="AE47" s="257" t="str">
        <f>IFERROR(__xludf.DUMMYFUNCTION("""COMPUTED_VALUE"""),"--")</f>
        <v>--</v>
      </c>
      <c r="AF47" s="257" t="str">
        <f>IFERROR(__xludf.DUMMYFUNCTION("""COMPUTED_VALUE"""),"--")</f>
        <v>--</v>
      </c>
      <c r="AG47" s="257" t="str">
        <f>IFERROR(__xludf.DUMMYFUNCTION("""COMPUTED_VALUE"""),"--")</f>
        <v>--</v>
      </c>
      <c r="AH47" s="257" t="str">
        <f>IFERROR(__xludf.DUMMYFUNCTION("""COMPUTED_VALUE"""),"--")</f>
        <v>--</v>
      </c>
    </row>
    <row r="48">
      <c r="A48" s="328">
        <f>IFERROR(__xludf.DUMMYFUNCTION("""COMPUTED_VALUE"""),44115.0)</f>
        <v>44115</v>
      </c>
      <c r="B48" s="329">
        <f>IFERROR(__xludf.DUMMYFUNCTION("""COMPUTED_VALUE"""),100.0)</f>
        <v>100</v>
      </c>
      <c r="C48" s="329">
        <f>IFERROR(__xludf.DUMMYFUNCTION("""COMPUTED_VALUE"""),188.0)</f>
        <v>188</v>
      </c>
      <c r="D48" s="329">
        <f>IFERROR(__xludf.DUMMYFUNCTION("""COMPUTED_VALUE"""),37055.0)</f>
        <v>37055</v>
      </c>
      <c r="E48" s="329">
        <f>IFERROR(__xludf.DUMMYFUNCTION("""COMPUTED_VALUE"""),3264.0)</f>
        <v>3264</v>
      </c>
      <c r="F48" s="257">
        <f>IFERROR(__xludf.DUMMYFUNCTION("""COMPUTED_VALUE"""),865582.0)</f>
        <v>865582</v>
      </c>
      <c r="G48" s="257">
        <f>IFERROR(__xludf.DUMMYFUNCTION("""COMPUTED_VALUE"""),3364.0)</f>
        <v>3364</v>
      </c>
      <c r="H48" s="257">
        <f>IFERROR(__xludf.DUMMYFUNCTION("""COMPUTED_VALUE"""),902637.0)</f>
        <v>902637</v>
      </c>
      <c r="I48" s="329">
        <f>IFERROR(__xludf.DUMMYFUNCTION("""COMPUTED_VALUE"""),88.0)</f>
        <v>88</v>
      </c>
      <c r="J48" s="329">
        <f>IFERROR(__xludf.DUMMYFUNCTION("""COMPUTED_VALUE"""),160.0)</f>
        <v>160</v>
      </c>
      <c r="K48" s="329">
        <f>IFERROR(__xludf.DUMMYFUNCTION("""COMPUTED_VALUE"""),26888.0)</f>
        <v>26888</v>
      </c>
      <c r="L48" s="329">
        <f>IFERROR(__xludf.DUMMYFUNCTION("""COMPUTED_VALUE"""),1081.0)</f>
        <v>1081</v>
      </c>
      <c r="M48" s="329">
        <f>IFERROR(__xludf.DUMMYFUNCTION("""COMPUTED_VALUE"""),316656.0)</f>
        <v>316656</v>
      </c>
      <c r="N48" s="329">
        <f>IFERROR(__xludf.DUMMYFUNCTION("""COMPUTED_VALUE"""),343544.0)</f>
        <v>343544</v>
      </c>
      <c r="O48" s="329">
        <f>IFERROR(__xludf.DUMMYFUNCTION("""COMPUTED_VALUE"""),11.0)</f>
        <v>11</v>
      </c>
      <c r="P48" s="329">
        <f>IFERROR(__xludf.DUMMYFUNCTION("""COMPUTED_VALUE"""),2909.0)</f>
        <v>2909</v>
      </c>
      <c r="Q48" s="329">
        <f>IFERROR(__xludf.DUMMYFUNCTION("""COMPUTED_VALUE"""),8.0)</f>
        <v>8</v>
      </c>
      <c r="R48" s="329">
        <f>IFERROR(__xludf.DUMMYFUNCTION("""COMPUTED_VALUE"""),2402.0)</f>
        <v>2402</v>
      </c>
      <c r="S48" s="329">
        <f>IFERROR(__xludf.DUMMYFUNCTION("""COMPUTED_VALUE"""),1.0)</f>
        <v>1</v>
      </c>
      <c r="T48" s="329">
        <f>IFERROR(__xludf.DUMMYFUNCTION("""COMPUTED_VALUE"""),374.0)</f>
        <v>374</v>
      </c>
      <c r="U48" s="329">
        <f>IFERROR(__xludf.DUMMYFUNCTION("""COMPUTED_VALUE"""),133.0)</f>
        <v>133</v>
      </c>
      <c r="V48" s="329">
        <f>IFERROR(__xludf.DUMMYFUNCTION("""COMPUTED_VALUE"""),129.0)</f>
        <v>129</v>
      </c>
      <c r="W48" s="329">
        <f>IFERROR(__xludf.DUMMYFUNCTION("""COMPUTED_VALUE"""),14.0)</f>
        <v>14</v>
      </c>
      <c r="X48" s="329">
        <f>IFERROR(__xludf.DUMMYFUNCTION("""COMPUTED_VALUE"""),5.0)</f>
        <v>5</v>
      </c>
      <c r="Y48" s="329">
        <f>IFERROR(__xludf.DUMMYFUNCTION("""COMPUTED_VALUE"""),6.0)</f>
        <v>6</v>
      </c>
      <c r="Z48" s="329">
        <f>IFERROR(__xludf.DUMMYFUNCTION("""COMPUTED_VALUE"""),1154.0)</f>
        <v>1154</v>
      </c>
      <c r="AA48" s="257" t="str">
        <f>IFERROR(__xludf.DUMMYFUNCTION("""COMPUTED_VALUE"""),"--")</f>
        <v>--</v>
      </c>
      <c r="AB48" s="257" t="str">
        <f>IFERROR(__xludf.DUMMYFUNCTION("""COMPUTED_VALUE"""),"--")</f>
        <v>--</v>
      </c>
      <c r="AC48" s="257" t="str">
        <f>IFERROR(__xludf.DUMMYFUNCTION("""COMPUTED_VALUE"""),"--")</f>
        <v>--</v>
      </c>
      <c r="AD48" s="257" t="str">
        <f>IFERROR(__xludf.DUMMYFUNCTION("""COMPUTED_VALUE"""),"--")</f>
        <v>--</v>
      </c>
      <c r="AE48" s="257" t="str">
        <f>IFERROR(__xludf.DUMMYFUNCTION("""COMPUTED_VALUE"""),"--")</f>
        <v>--</v>
      </c>
      <c r="AF48" s="257" t="str">
        <f>IFERROR(__xludf.DUMMYFUNCTION("""COMPUTED_VALUE"""),"--")</f>
        <v>--</v>
      </c>
      <c r="AG48" s="257" t="str">
        <f>IFERROR(__xludf.DUMMYFUNCTION("""COMPUTED_VALUE"""),"--")</f>
        <v>--</v>
      </c>
      <c r="AH48" s="257" t="str">
        <f>IFERROR(__xludf.DUMMYFUNCTION("""COMPUTED_VALUE"""),"--")</f>
        <v>--</v>
      </c>
    </row>
    <row r="49">
      <c r="A49" s="328">
        <f>IFERROR(__xludf.DUMMYFUNCTION("""COMPUTED_VALUE"""),44116.0)</f>
        <v>44116</v>
      </c>
      <c r="B49" s="329">
        <f>IFERROR(__xludf.DUMMYFUNCTION("""COMPUTED_VALUE"""),170.0)</f>
        <v>170</v>
      </c>
      <c r="C49" s="329">
        <f>IFERROR(__xludf.DUMMYFUNCTION("""COMPUTED_VALUE"""),167.0)</f>
        <v>167</v>
      </c>
      <c r="D49" s="329">
        <f>IFERROR(__xludf.DUMMYFUNCTION("""COMPUTED_VALUE"""),37225.0)</f>
        <v>37225</v>
      </c>
      <c r="E49" s="329">
        <f>IFERROR(__xludf.DUMMYFUNCTION("""COMPUTED_VALUE"""),6420.0)</f>
        <v>6420</v>
      </c>
      <c r="F49" s="257">
        <f>IFERROR(__xludf.DUMMYFUNCTION("""COMPUTED_VALUE"""),872002.0)</f>
        <v>872002</v>
      </c>
      <c r="G49" s="257">
        <f>IFERROR(__xludf.DUMMYFUNCTION("""COMPUTED_VALUE"""),6590.0)</f>
        <v>6590</v>
      </c>
      <c r="H49" s="257">
        <f>IFERROR(__xludf.DUMMYFUNCTION("""COMPUTED_VALUE"""),909227.0)</f>
        <v>909227</v>
      </c>
      <c r="I49" s="329">
        <f>IFERROR(__xludf.DUMMYFUNCTION("""COMPUTED_VALUE"""),157.0)</f>
        <v>157</v>
      </c>
      <c r="J49" s="329">
        <f>IFERROR(__xludf.DUMMYFUNCTION("""COMPUTED_VALUE"""),146.0)</f>
        <v>146</v>
      </c>
      <c r="K49" s="329">
        <f>IFERROR(__xludf.DUMMYFUNCTION("""COMPUTED_VALUE"""),27045.0)</f>
        <v>27045</v>
      </c>
      <c r="L49" s="329">
        <f>IFERROR(__xludf.DUMMYFUNCTION("""COMPUTED_VALUE"""),1588.0)</f>
        <v>1588</v>
      </c>
      <c r="M49" s="329">
        <f>IFERROR(__xludf.DUMMYFUNCTION("""COMPUTED_VALUE"""),318244.0)</f>
        <v>318244</v>
      </c>
      <c r="N49" s="329">
        <f>IFERROR(__xludf.DUMMYFUNCTION("""COMPUTED_VALUE"""),345289.0)</f>
        <v>345289</v>
      </c>
      <c r="O49" s="329">
        <f>IFERROR(__xludf.DUMMYFUNCTION("""COMPUTED_VALUE"""),19.0)</f>
        <v>19</v>
      </c>
      <c r="P49" s="329">
        <f>IFERROR(__xludf.DUMMYFUNCTION("""COMPUTED_VALUE"""),2928.0)</f>
        <v>2928</v>
      </c>
      <c r="Q49" s="329">
        <f>IFERROR(__xludf.DUMMYFUNCTION("""COMPUTED_VALUE"""),15.0)</f>
        <v>15</v>
      </c>
      <c r="R49" s="329">
        <f>IFERROR(__xludf.DUMMYFUNCTION("""COMPUTED_VALUE"""),2417.0)</f>
        <v>2417</v>
      </c>
      <c r="S49" s="329">
        <f>IFERROR(__xludf.DUMMYFUNCTION("""COMPUTED_VALUE"""),2.0)</f>
        <v>2</v>
      </c>
      <c r="T49" s="329">
        <f>IFERROR(__xludf.DUMMYFUNCTION("""COMPUTED_VALUE"""),376.0)</f>
        <v>376</v>
      </c>
      <c r="U49" s="329">
        <f>IFERROR(__xludf.DUMMYFUNCTION("""COMPUTED_VALUE"""),135.0)</f>
        <v>135</v>
      </c>
      <c r="V49" s="329">
        <f>IFERROR(__xludf.DUMMYFUNCTION("""COMPUTED_VALUE"""),133.0)</f>
        <v>133</v>
      </c>
      <c r="W49" s="329">
        <f>IFERROR(__xludf.DUMMYFUNCTION("""COMPUTED_VALUE"""),14.0)</f>
        <v>14</v>
      </c>
      <c r="X49" s="329">
        <f>IFERROR(__xludf.DUMMYFUNCTION("""COMPUTED_VALUE"""),5.0)</f>
        <v>5</v>
      </c>
      <c r="Y49" s="329">
        <f>IFERROR(__xludf.DUMMYFUNCTION("""COMPUTED_VALUE"""),5.0)</f>
        <v>5</v>
      </c>
      <c r="Z49" s="329">
        <f>IFERROR(__xludf.DUMMYFUNCTION("""COMPUTED_VALUE"""),1159.0)</f>
        <v>1159</v>
      </c>
      <c r="AA49" s="257" t="str">
        <f>IFERROR(__xludf.DUMMYFUNCTION("""COMPUTED_VALUE"""),"--")</f>
        <v>--</v>
      </c>
      <c r="AB49" s="257" t="str">
        <f>IFERROR(__xludf.DUMMYFUNCTION("""COMPUTED_VALUE"""),"--")</f>
        <v>--</v>
      </c>
      <c r="AC49" s="257" t="str">
        <f>IFERROR(__xludf.DUMMYFUNCTION("""COMPUTED_VALUE"""),"--")</f>
        <v>--</v>
      </c>
      <c r="AD49" s="257" t="str">
        <f>IFERROR(__xludf.DUMMYFUNCTION("""COMPUTED_VALUE"""),"--")</f>
        <v>--</v>
      </c>
      <c r="AE49" s="257" t="str">
        <f>IFERROR(__xludf.DUMMYFUNCTION("""COMPUTED_VALUE"""),"--")</f>
        <v>--</v>
      </c>
      <c r="AF49" s="257" t="str">
        <f>IFERROR(__xludf.DUMMYFUNCTION("""COMPUTED_VALUE"""),"--")</f>
        <v>--</v>
      </c>
      <c r="AG49" s="257" t="str">
        <f>IFERROR(__xludf.DUMMYFUNCTION("""COMPUTED_VALUE"""),"--")</f>
        <v>--</v>
      </c>
      <c r="AH49" s="257" t="str">
        <f>IFERROR(__xludf.DUMMYFUNCTION("""COMPUTED_VALUE"""),"--")</f>
        <v>--</v>
      </c>
    </row>
    <row r="50">
      <c r="A50" s="328">
        <f>IFERROR(__xludf.DUMMYFUNCTION("""COMPUTED_VALUE"""),44117.0)</f>
        <v>44117</v>
      </c>
      <c r="B50" s="329">
        <f>IFERROR(__xludf.DUMMYFUNCTION("""COMPUTED_VALUE"""),230.0)</f>
        <v>230</v>
      </c>
      <c r="C50" s="329">
        <f>IFERROR(__xludf.DUMMYFUNCTION("""COMPUTED_VALUE"""),167.0)</f>
        <v>167</v>
      </c>
      <c r="D50" s="329">
        <f>IFERROR(__xludf.DUMMYFUNCTION("""COMPUTED_VALUE"""),37455.0)</f>
        <v>37455</v>
      </c>
      <c r="E50" s="329">
        <f>IFERROR(__xludf.DUMMYFUNCTION("""COMPUTED_VALUE"""),8518.0)</f>
        <v>8518</v>
      </c>
      <c r="F50" s="257">
        <f>IFERROR(__xludf.DUMMYFUNCTION("""COMPUTED_VALUE"""),880520.0)</f>
        <v>880520</v>
      </c>
      <c r="G50" s="257">
        <f>IFERROR(__xludf.DUMMYFUNCTION("""COMPUTED_VALUE"""),8748.0)</f>
        <v>8748</v>
      </c>
      <c r="H50" s="257">
        <f>IFERROR(__xludf.DUMMYFUNCTION("""COMPUTED_VALUE"""),917975.0)</f>
        <v>917975</v>
      </c>
      <c r="I50" s="329">
        <f>IFERROR(__xludf.DUMMYFUNCTION("""COMPUTED_VALUE"""),213.0)</f>
        <v>213</v>
      </c>
      <c r="J50" s="329">
        <f>IFERROR(__xludf.DUMMYFUNCTION("""COMPUTED_VALUE"""),153.0)</f>
        <v>153</v>
      </c>
      <c r="K50" s="329">
        <f>IFERROR(__xludf.DUMMYFUNCTION("""COMPUTED_VALUE"""),27258.0)</f>
        <v>27258</v>
      </c>
      <c r="L50" s="329">
        <f>IFERROR(__xludf.DUMMYFUNCTION("""COMPUTED_VALUE"""),2149.0)</f>
        <v>2149</v>
      </c>
      <c r="M50" s="329">
        <f>IFERROR(__xludf.DUMMYFUNCTION("""COMPUTED_VALUE"""),320393.0)</f>
        <v>320393</v>
      </c>
      <c r="N50" s="329">
        <f>IFERROR(__xludf.DUMMYFUNCTION("""COMPUTED_VALUE"""),347651.0)</f>
        <v>347651</v>
      </c>
      <c r="O50" s="329">
        <f>IFERROR(__xludf.DUMMYFUNCTION("""COMPUTED_VALUE"""),16.0)</f>
        <v>16</v>
      </c>
      <c r="P50" s="329">
        <f>IFERROR(__xludf.DUMMYFUNCTION("""COMPUTED_VALUE"""),2944.0)</f>
        <v>2944</v>
      </c>
      <c r="Q50" s="329">
        <f>IFERROR(__xludf.DUMMYFUNCTION("""COMPUTED_VALUE"""),13.0)</f>
        <v>13</v>
      </c>
      <c r="R50" s="329">
        <f>IFERROR(__xludf.DUMMYFUNCTION("""COMPUTED_VALUE"""),2430.0)</f>
        <v>2430</v>
      </c>
      <c r="S50" s="329">
        <f>IFERROR(__xludf.DUMMYFUNCTION("""COMPUTED_VALUE"""),4.0)</f>
        <v>4</v>
      </c>
      <c r="T50" s="329">
        <f>IFERROR(__xludf.DUMMYFUNCTION("""COMPUTED_VALUE"""),380.0)</f>
        <v>380</v>
      </c>
      <c r="U50" s="329">
        <f>IFERROR(__xludf.DUMMYFUNCTION("""COMPUTED_VALUE"""),134.0)</f>
        <v>134</v>
      </c>
      <c r="V50" s="329">
        <f>IFERROR(__xludf.DUMMYFUNCTION("""COMPUTED_VALUE"""),134.0)</f>
        <v>134</v>
      </c>
      <c r="W50" s="329">
        <f>IFERROR(__xludf.DUMMYFUNCTION("""COMPUTED_VALUE"""),13.0)</f>
        <v>13</v>
      </c>
      <c r="X50" s="329">
        <f>IFERROR(__xludf.DUMMYFUNCTION("""COMPUTED_VALUE"""),5.0)</f>
        <v>5</v>
      </c>
      <c r="Y50" s="329">
        <f>IFERROR(__xludf.DUMMYFUNCTION("""COMPUTED_VALUE"""),7.0)</f>
        <v>7</v>
      </c>
      <c r="Z50" s="329">
        <f>IFERROR(__xludf.DUMMYFUNCTION("""COMPUTED_VALUE"""),1166.0)</f>
        <v>1166</v>
      </c>
      <c r="AA50" s="257" t="str">
        <f>IFERROR(__xludf.DUMMYFUNCTION("""COMPUTED_VALUE"""),"--")</f>
        <v>--</v>
      </c>
      <c r="AB50" s="257" t="str">
        <f>IFERROR(__xludf.DUMMYFUNCTION("""COMPUTED_VALUE"""),"--")</f>
        <v>--</v>
      </c>
      <c r="AC50" s="257" t="str">
        <f>IFERROR(__xludf.DUMMYFUNCTION("""COMPUTED_VALUE"""),"--")</f>
        <v>--</v>
      </c>
      <c r="AD50" s="257" t="str">
        <f>IFERROR(__xludf.DUMMYFUNCTION("""COMPUTED_VALUE"""),"--")</f>
        <v>--</v>
      </c>
      <c r="AE50" s="257" t="str">
        <f>IFERROR(__xludf.DUMMYFUNCTION("""COMPUTED_VALUE"""),"--")</f>
        <v>--</v>
      </c>
      <c r="AF50" s="257" t="str">
        <f>IFERROR(__xludf.DUMMYFUNCTION("""COMPUTED_VALUE"""),"--")</f>
        <v>--</v>
      </c>
      <c r="AG50" s="257" t="str">
        <f>IFERROR(__xludf.DUMMYFUNCTION("""COMPUTED_VALUE"""),"--")</f>
        <v>--</v>
      </c>
      <c r="AH50" s="257" t="str">
        <f>IFERROR(__xludf.DUMMYFUNCTION("""COMPUTED_VALUE"""),"--")</f>
        <v>--</v>
      </c>
    </row>
    <row r="51">
      <c r="A51" s="328">
        <f>IFERROR(__xludf.DUMMYFUNCTION("""COMPUTED_VALUE"""),44118.0)</f>
        <v>44118</v>
      </c>
      <c r="B51" s="329">
        <f>IFERROR(__xludf.DUMMYFUNCTION("""COMPUTED_VALUE"""),351.0)</f>
        <v>351</v>
      </c>
      <c r="C51" s="329">
        <f>IFERROR(__xludf.DUMMYFUNCTION("""COMPUTED_VALUE"""),250.0)</f>
        <v>250</v>
      </c>
      <c r="D51" s="329">
        <f>IFERROR(__xludf.DUMMYFUNCTION("""COMPUTED_VALUE"""),37806.0)</f>
        <v>37806</v>
      </c>
      <c r="E51" s="329">
        <f>IFERROR(__xludf.DUMMYFUNCTION("""COMPUTED_VALUE"""),15033.0)</f>
        <v>15033</v>
      </c>
      <c r="F51" s="257">
        <f>IFERROR(__xludf.DUMMYFUNCTION("""COMPUTED_VALUE"""),895553.0)</f>
        <v>895553</v>
      </c>
      <c r="G51" s="257">
        <f>IFERROR(__xludf.DUMMYFUNCTION("""COMPUTED_VALUE"""),15384.0)</f>
        <v>15384</v>
      </c>
      <c r="H51" s="257">
        <f>IFERROR(__xludf.DUMMYFUNCTION("""COMPUTED_VALUE"""),933359.0)</f>
        <v>933359</v>
      </c>
      <c r="I51" s="329">
        <f>IFERROR(__xludf.DUMMYFUNCTION("""COMPUTED_VALUE"""),305.0)</f>
        <v>305</v>
      </c>
      <c r="J51" s="329">
        <f>IFERROR(__xludf.DUMMYFUNCTION("""COMPUTED_VALUE"""),225.0)</f>
        <v>225</v>
      </c>
      <c r="K51" s="329">
        <f>IFERROR(__xludf.DUMMYFUNCTION("""COMPUTED_VALUE"""),27563.0)</f>
        <v>27563</v>
      </c>
      <c r="L51" s="329">
        <f>IFERROR(__xludf.DUMMYFUNCTION("""COMPUTED_VALUE"""),3707.0)</f>
        <v>3707</v>
      </c>
      <c r="M51" s="329">
        <f>IFERROR(__xludf.DUMMYFUNCTION("""COMPUTED_VALUE"""),324100.0)</f>
        <v>324100</v>
      </c>
      <c r="N51" s="329">
        <f>IFERROR(__xludf.DUMMYFUNCTION("""COMPUTED_VALUE"""),351663.0)</f>
        <v>351663</v>
      </c>
      <c r="O51" s="329">
        <f>IFERROR(__xludf.DUMMYFUNCTION("""COMPUTED_VALUE"""),17.0)</f>
        <v>17</v>
      </c>
      <c r="P51" s="329">
        <f>IFERROR(__xludf.DUMMYFUNCTION("""COMPUTED_VALUE"""),2961.0)</f>
        <v>2961</v>
      </c>
      <c r="Q51" s="329">
        <f>IFERROR(__xludf.DUMMYFUNCTION("""COMPUTED_VALUE"""),7.0)</f>
        <v>7</v>
      </c>
      <c r="R51" s="329">
        <f>IFERROR(__xludf.DUMMYFUNCTION("""COMPUTED_VALUE"""),2437.0)</f>
        <v>2437</v>
      </c>
      <c r="S51" s="329">
        <f>IFERROR(__xludf.DUMMYFUNCTION("""COMPUTED_VALUE"""),0.0)</f>
        <v>0</v>
      </c>
      <c r="T51" s="329">
        <f>IFERROR(__xludf.DUMMYFUNCTION("""COMPUTED_VALUE"""),380.0)</f>
        <v>380</v>
      </c>
      <c r="U51" s="329">
        <f>IFERROR(__xludf.DUMMYFUNCTION("""COMPUTED_VALUE"""),144.0)</f>
        <v>144</v>
      </c>
      <c r="V51" s="329">
        <f>IFERROR(__xludf.DUMMYFUNCTION("""COMPUTED_VALUE"""),138.0)</f>
        <v>138</v>
      </c>
      <c r="W51" s="329">
        <f>IFERROR(__xludf.DUMMYFUNCTION("""COMPUTED_VALUE"""),15.0)</f>
        <v>15</v>
      </c>
      <c r="X51" s="329">
        <f>IFERROR(__xludf.DUMMYFUNCTION("""COMPUTED_VALUE"""),5.0)</f>
        <v>5</v>
      </c>
      <c r="Y51" s="329">
        <f>IFERROR(__xludf.DUMMYFUNCTION("""COMPUTED_VALUE"""),2.0)</f>
        <v>2</v>
      </c>
      <c r="Z51" s="329">
        <f>IFERROR(__xludf.DUMMYFUNCTION("""COMPUTED_VALUE"""),1168.0)</f>
        <v>1168</v>
      </c>
      <c r="AA51" s="257" t="str">
        <f>IFERROR(__xludf.DUMMYFUNCTION("""COMPUTED_VALUE"""),"--")</f>
        <v>--</v>
      </c>
      <c r="AB51" s="257" t="str">
        <f>IFERROR(__xludf.DUMMYFUNCTION("""COMPUTED_VALUE"""),"--")</f>
        <v>--</v>
      </c>
      <c r="AC51" s="257" t="str">
        <f>IFERROR(__xludf.DUMMYFUNCTION("""COMPUTED_VALUE"""),"--")</f>
        <v>--</v>
      </c>
      <c r="AD51" s="257" t="str">
        <f>IFERROR(__xludf.DUMMYFUNCTION("""COMPUTED_VALUE"""),"--")</f>
        <v>--</v>
      </c>
      <c r="AE51" s="257" t="str">
        <f>IFERROR(__xludf.DUMMYFUNCTION("""COMPUTED_VALUE"""),"--")</f>
        <v>--</v>
      </c>
      <c r="AF51" s="257" t="str">
        <f>IFERROR(__xludf.DUMMYFUNCTION("""COMPUTED_VALUE"""),"--")</f>
        <v>--</v>
      </c>
      <c r="AG51" s="257" t="str">
        <f>IFERROR(__xludf.DUMMYFUNCTION("""COMPUTED_VALUE"""),"--")</f>
        <v>--</v>
      </c>
      <c r="AH51" s="257" t="str">
        <f>IFERROR(__xludf.DUMMYFUNCTION("""COMPUTED_VALUE"""),"--")</f>
        <v>--</v>
      </c>
    </row>
    <row r="52">
      <c r="A52" s="328">
        <f>IFERROR(__xludf.DUMMYFUNCTION("""COMPUTED_VALUE"""),44119.0)</f>
        <v>44119</v>
      </c>
      <c r="B52" s="329">
        <f>IFERROR(__xludf.DUMMYFUNCTION("""COMPUTED_VALUE"""),276.0)</f>
        <v>276</v>
      </c>
      <c r="C52" s="329">
        <f>IFERROR(__xludf.DUMMYFUNCTION("""COMPUTED_VALUE"""),286.0)</f>
        <v>286</v>
      </c>
      <c r="D52" s="329">
        <f>IFERROR(__xludf.DUMMYFUNCTION("""COMPUTED_VALUE"""),38082.0)</f>
        <v>38082</v>
      </c>
      <c r="E52" s="329">
        <f>IFERROR(__xludf.DUMMYFUNCTION("""COMPUTED_VALUE"""),14627.0)</f>
        <v>14627</v>
      </c>
      <c r="F52" s="257">
        <f>IFERROR(__xludf.DUMMYFUNCTION("""COMPUTED_VALUE"""),910180.0)</f>
        <v>910180</v>
      </c>
      <c r="G52" s="257">
        <f>IFERROR(__xludf.DUMMYFUNCTION("""COMPUTED_VALUE"""),14903.0)</f>
        <v>14903</v>
      </c>
      <c r="H52" s="257">
        <f>IFERROR(__xludf.DUMMYFUNCTION("""COMPUTED_VALUE"""),948262.0)</f>
        <v>948262</v>
      </c>
      <c r="I52" s="329">
        <f>IFERROR(__xludf.DUMMYFUNCTION("""COMPUTED_VALUE"""),252.0)</f>
        <v>252</v>
      </c>
      <c r="J52" s="329">
        <f>IFERROR(__xludf.DUMMYFUNCTION("""COMPUTED_VALUE"""),257.0)</f>
        <v>257</v>
      </c>
      <c r="K52" s="329">
        <f>IFERROR(__xludf.DUMMYFUNCTION("""COMPUTED_VALUE"""),27815.0)</f>
        <v>27815</v>
      </c>
      <c r="L52" s="329">
        <f>IFERROR(__xludf.DUMMYFUNCTION("""COMPUTED_VALUE"""),3299.0)</f>
        <v>3299</v>
      </c>
      <c r="M52" s="329">
        <f>IFERROR(__xludf.DUMMYFUNCTION("""COMPUTED_VALUE"""),327399.0)</f>
        <v>327399</v>
      </c>
      <c r="N52" s="329">
        <f>IFERROR(__xludf.DUMMYFUNCTION("""COMPUTED_VALUE"""),355214.0)</f>
        <v>355214</v>
      </c>
      <c r="O52" s="329">
        <f>IFERROR(__xludf.DUMMYFUNCTION("""COMPUTED_VALUE"""),11.0)</f>
        <v>11</v>
      </c>
      <c r="P52" s="329">
        <f>IFERROR(__xludf.DUMMYFUNCTION("""COMPUTED_VALUE"""),2972.0)</f>
        <v>2972</v>
      </c>
      <c r="Q52" s="329">
        <f>IFERROR(__xludf.DUMMYFUNCTION("""COMPUTED_VALUE"""),15.0)</f>
        <v>15</v>
      </c>
      <c r="R52" s="329">
        <f>IFERROR(__xludf.DUMMYFUNCTION("""COMPUTED_VALUE"""),2452.0)</f>
        <v>2452</v>
      </c>
      <c r="S52" s="329">
        <f>IFERROR(__xludf.DUMMYFUNCTION("""COMPUTED_VALUE"""),1.0)</f>
        <v>1</v>
      </c>
      <c r="T52" s="329">
        <f>IFERROR(__xludf.DUMMYFUNCTION("""COMPUTED_VALUE"""),381.0)</f>
        <v>381</v>
      </c>
      <c r="U52" s="329">
        <f>IFERROR(__xludf.DUMMYFUNCTION("""COMPUTED_VALUE"""),139.0)</f>
        <v>139</v>
      </c>
      <c r="V52" s="329">
        <f>IFERROR(__xludf.DUMMYFUNCTION("""COMPUTED_VALUE"""),139.0)</f>
        <v>139</v>
      </c>
      <c r="W52" s="329">
        <f>IFERROR(__xludf.DUMMYFUNCTION("""COMPUTED_VALUE"""),13.0)</f>
        <v>13</v>
      </c>
      <c r="X52" s="329">
        <f>IFERROR(__xludf.DUMMYFUNCTION("""COMPUTED_VALUE"""),5.0)</f>
        <v>5</v>
      </c>
      <c r="Y52" s="329">
        <f>IFERROR(__xludf.DUMMYFUNCTION("""COMPUTED_VALUE"""),2.0)</f>
        <v>2</v>
      </c>
      <c r="Z52" s="329">
        <f>IFERROR(__xludf.DUMMYFUNCTION("""COMPUTED_VALUE"""),1170.0)</f>
        <v>1170</v>
      </c>
      <c r="AA52" s="257" t="str">
        <f>IFERROR(__xludf.DUMMYFUNCTION("""COMPUTED_VALUE"""),"--")</f>
        <v>--</v>
      </c>
      <c r="AB52" s="257" t="str">
        <f>IFERROR(__xludf.DUMMYFUNCTION("""COMPUTED_VALUE"""),"--")</f>
        <v>--</v>
      </c>
      <c r="AC52" s="257" t="str">
        <f>IFERROR(__xludf.DUMMYFUNCTION("""COMPUTED_VALUE"""),"--")</f>
        <v>--</v>
      </c>
      <c r="AD52" s="257" t="str">
        <f>IFERROR(__xludf.DUMMYFUNCTION("""COMPUTED_VALUE"""),"--")</f>
        <v>--</v>
      </c>
      <c r="AE52" s="257" t="str">
        <f>IFERROR(__xludf.DUMMYFUNCTION("""COMPUTED_VALUE"""),"--")</f>
        <v>--</v>
      </c>
      <c r="AF52" s="257" t="str">
        <f>IFERROR(__xludf.DUMMYFUNCTION("""COMPUTED_VALUE"""),"--")</f>
        <v>--</v>
      </c>
      <c r="AG52" s="257" t="str">
        <f>IFERROR(__xludf.DUMMYFUNCTION("""COMPUTED_VALUE"""),"--")</f>
        <v>--</v>
      </c>
      <c r="AH52" s="257" t="str">
        <f>IFERROR(__xludf.DUMMYFUNCTION("""COMPUTED_VALUE"""),"--")</f>
        <v>--</v>
      </c>
    </row>
    <row r="53">
      <c r="A53" s="328">
        <f>IFERROR(__xludf.DUMMYFUNCTION("""COMPUTED_VALUE"""),44120.0)</f>
        <v>44120</v>
      </c>
      <c r="B53" s="329">
        <f>IFERROR(__xludf.DUMMYFUNCTION("""COMPUTED_VALUE"""),291.0)</f>
        <v>291</v>
      </c>
      <c r="C53" s="329">
        <f>IFERROR(__xludf.DUMMYFUNCTION("""COMPUTED_VALUE"""),306.0)</f>
        <v>306</v>
      </c>
      <c r="D53" s="329">
        <f>IFERROR(__xludf.DUMMYFUNCTION("""COMPUTED_VALUE"""),38373.0)</f>
        <v>38373</v>
      </c>
      <c r="E53" s="329">
        <f>IFERROR(__xludf.DUMMYFUNCTION("""COMPUTED_VALUE"""),15008.0)</f>
        <v>15008</v>
      </c>
      <c r="F53" s="257">
        <f>IFERROR(__xludf.DUMMYFUNCTION("""COMPUTED_VALUE"""),925188.0)</f>
        <v>925188</v>
      </c>
      <c r="G53" s="257">
        <f>IFERROR(__xludf.DUMMYFUNCTION("""COMPUTED_VALUE"""),15299.0)</f>
        <v>15299</v>
      </c>
      <c r="H53" s="257">
        <f>IFERROR(__xludf.DUMMYFUNCTION("""COMPUTED_VALUE"""),963561.0)</f>
        <v>963561</v>
      </c>
      <c r="I53" s="329">
        <f>IFERROR(__xludf.DUMMYFUNCTION("""COMPUTED_VALUE"""),276.0)</f>
        <v>276</v>
      </c>
      <c r="J53" s="329">
        <f>IFERROR(__xludf.DUMMYFUNCTION("""COMPUTED_VALUE"""),278.0)</f>
        <v>278</v>
      </c>
      <c r="K53" s="329">
        <f>IFERROR(__xludf.DUMMYFUNCTION("""COMPUTED_VALUE"""),28091.0)</f>
        <v>28091</v>
      </c>
      <c r="L53" s="329">
        <f>IFERROR(__xludf.DUMMYFUNCTION("""COMPUTED_VALUE"""),3098.0)</f>
        <v>3098</v>
      </c>
      <c r="M53" s="329">
        <f>IFERROR(__xludf.DUMMYFUNCTION("""COMPUTED_VALUE"""),330497.0)</f>
        <v>330497</v>
      </c>
      <c r="N53" s="329">
        <f>IFERROR(__xludf.DUMMYFUNCTION("""COMPUTED_VALUE"""),358588.0)</f>
        <v>358588</v>
      </c>
      <c r="O53" s="329">
        <f>IFERROR(__xludf.DUMMYFUNCTION("""COMPUTED_VALUE"""),13.0)</f>
        <v>13</v>
      </c>
      <c r="P53" s="329">
        <f>IFERROR(__xludf.DUMMYFUNCTION("""COMPUTED_VALUE"""),2985.0)</f>
        <v>2985</v>
      </c>
      <c r="Q53" s="329">
        <f>IFERROR(__xludf.DUMMYFUNCTION("""COMPUTED_VALUE"""),18.0)</f>
        <v>18</v>
      </c>
      <c r="R53" s="329">
        <f>IFERROR(__xludf.DUMMYFUNCTION("""COMPUTED_VALUE"""),2470.0)</f>
        <v>2470</v>
      </c>
      <c r="S53" s="329">
        <f>IFERROR(__xludf.DUMMYFUNCTION("""COMPUTED_VALUE"""),1.0)</f>
        <v>1</v>
      </c>
      <c r="T53" s="329">
        <f>IFERROR(__xludf.DUMMYFUNCTION("""COMPUTED_VALUE"""),382.0)</f>
        <v>382</v>
      </c>
      <c r="U53" s="329">
        <f>IFERROR(__xludf.DUMMYFUNCTION("""COMPUTED_VALUE"""),133.0)</f>
        <v>133</v>
      </c>
      <c r="V53" s="329">
        <f>IFERROR(__xludf.DUMMYFUNCTION("""COMPUTED_VALUE"""),139.0)</f>
        <v>139</v>
      </c>
      <c r="W53" s="329">
        <f>IFERROR(__xludf.DUMMYFUNCTION("""COMPUTED_VALUE"""),13.0)</f>
        <v>13</v>
      </c>
      <c r="X53" s="329">
        <f>IFERROR(__xludf.DUMMYFUNCTION("""COMPUTED_VALUE"""),4.0)</f>
        <v>4</v>
      </c>
      <c r="Y53" s="329">
        <f>IFERROR(__xludf.DUMMYFUNCTION("""COMPUTED_VALUE"""),2.0)</f>
        <v>2</v>
      </c>
      <c r="Z53" s="329">
        <f>IFERROR(__xludf.DUMMYFUNCTION("""COMPUTED_VALUE"""),1172.0)</f>
        <v>1172</v>
      </c>
      <c r="AA53" s="257" t="str">
        <f>IFERROR(__xludf.DUMMYFUNCTION("""COMPUTED_VALUE"""),"--")</f>
        <v>--</v>
      </c>
      <c r="AB53" s="257" t="str">
        <f>IFERROR(__xludf.DUMMYFUNCTION("""COMPUTED_VALUE"""),"--")</f>
        <v>--</v>
      </c>
      <c r="AC53" s="257" t="str">
        <f>IFERROR(__xludf.DUMMYFUNCTION("""COMPUTED_VALUE"""),"--")</f>
        <v>--</v>
      </c>
      <c r="AD53" s="257" t="str">
        <f>IFERROR(__xludf.DUMMYFUNCTION("""COMPUTED_VALUE"""),"--")</f>
        <v>--</v>
      </c>
      <c r="AE53" s="257" t="str">
        <f>IFERROR(__xludf.DUMMYFUNCTION("""COMPUTED_VALUE"""),"--")</f>
        <v>--</v>
      </c>
      <c r="AF53" s="257" t="str">
        <f>IFERROR(__xludf.DUMMYFUNCTION("""COMPUTED_VALUE"""),"--")</f>
        <v>--</v>
      </c>
      <c r="AG53" s="257" t="str">
        <f>IFERROR(__xludf.DUMMYFUNCTION("""COMPUTED_VALUE"""),"--")</f>
        <v>--</v>
      </c>
      <c r="AH53" s="257" t="str">
        <f>IFERROR(__xludf.DUMMYFUNCTION("""COMPUTED_VALUE"""),"--")</f>
        <v>--</v>
      </c>
    </row>
    <row r="54">
      <c r="A54" s="328">
        <f>IFERROR(__xludf.DUMMYFUNCTION("""COMPUTED_VALUE"""),44121.0)</f>
        <v>44121</v>
      </c>
      <c r="B54" s="329">
        <f>IFERROR(__xludf.DUMMYFUNCTION("""COMPUTED_VALUE"""),363.0)</f>
        <v>363</v>
      </c>
      <c r="C54" s="329">
        <f>IFERROR(__xludf.DUMMYFUNCTION("""COMPUTED_VALUE"""),310.0)</f>
        <v>310</v>
      </c>
      <c r="D54" s="329">
        <f>IFERROR(__xludf.DUMMYFUNCTION("""COMPUTED_VALUE"""),38736.0)</f>
        <v>38736</v>
      </c>
      <c r="E54" s="329">
        <f>IFERROR(__xludf.DUMMYFUNCTION("""COMPUTED_VALUE"""),14062.0)</f>
        <v>14062</v>
      </c>
      <c r="F54" s="257">
        <f>IFERROR(__xludf.DUMMYFUNCTION("""COMPUTED_VALUE"""),939250.0)</f>
        <v>939250</v>
      </c>
      <c r="G54" s="257">
        <f>IFERROR(__xludf.DUMMYFUNCTION("""COMPUTED_VALUE"""),14425.0)</f>
        <v>14425</v>
      </c>
      <c r="H54" s="257">
        <f>IFERROR(__xludf.DUMMYFUNCTION("""COMPUTED_VALUE"""),977986.0)</f>
        <v>977986</v>
      </c>
      <c r="I54" s="329">
        <f>IFERROR(__xludf.DUMMYFUNCTION("""COMPUTED_VALUE"""),308.0)</f>
        <v>308</v>
      </c>
      <c r="J54" s="329">
        <f>IFERROR(__xludf.DUMMYFUNCTION("""COMPUTED_VALUE"""),279.0)</f>
        <v>279</v>
      </c>
      <c r="K54" s="329">
        <f>IFERROR(__xludf.DUMMYFUNCTION("""COMPUTED_VALUE"""),28399.0)</f>
        <v>28399</v>
      </c>
      <c r="L54" s="329">
        <f>IFERROR(__xludf.DUMMYFUNCTION("""COMPUTED_VALUE"""),2983.0)</f>
        <v>2983</v>
      </c>
      <c r="M54" s="329">
        <f>IFERROR(__xludf.DUMMYFUNCTION("""COMPUTED_VALUE"""),333480.0)</f>
        <v>333480</v>
      </c>
      <c r="N54" s="329">
        <f>IFERROR(__xludf.DUMMYFUNCTION("""COMPUTED_VALUE"""),361879.0)</f>
        <v>361879</v>
      </c>
      <c r="O54" s="329">
        <f>IFERROR(__xludf.DUMMYFUNCTION("""COMPUTED_VALUE"""),19.0)</f>
        <v>19</v>
      </c>
      <c r="P54" s="329">
        <f>IFERROR(__xludf.DUMMYFUNCTION("""COMPUTED_VALUE"""),3004.0)</f>
        <v>3004</v>
      </c>
      <c r="Q54" s="329">
        <f>IFERROR(__xludf.DUMMYFUNCTION("""COMPUTED_VALUE"""),11.0)</f>
        <v>11</v>
      </c>
      <c r="R54" s="329">
        <f>IFERROR(__xludf.DUMMYFUNCTION("""COMPUTED_VALUE"""),2481.0)</f>
        <v>2481</v>
      </c>
      <c r="S54" s="329">
        <f>IFERROR(__xludf.DUMMYFUNCTION("""COMPUTED_VALUE"""),1.0)</f>
        <v>1</v>
      </c>
      <c r="T54" s="329">
        <f>IFERROR(__xludf.DUMMYFUNCTION("""COMPUTED_VALUE"""),383.0)</f>
        <v>383</v>
      </c>
      <c r="U54" s="329">
        <f>IFERROR(__xludf.DUMMYFUNCTION("""COMPUTED_VALUE"""),140.0)</f>
        <v>140</v>
      </c>
      <c r="V54" s="329">
        <f>IFERROR(__xludf.DUMMYFUNCTION("""COMPUTED_VALUE"""),137.0)</f>
        <v>137</v>
      </c>
      <c r="W54" s="329">
        <f>IFERROR(__xludf.DUMMYFUNCTION("""COMPUTED_VALUE"""),17.0)</f>
        <v>17</v>
      </c>
      <c r="X54" s="329">
        <f>IFERROR(__xludf.DUMMYFUNCTION("""COMPUTED_VALUE"""),4.0)</f>
        <v>4</v>
      </c>
      <c r="Y54" s="329">
        <f>IFERROR(__xludf.DUMMYFUNCTION("""COMPUTED_VALUE"""),2.0)</f>
        <v>2</v>
      </c>
      <c r="Z54" s="329">
        <f>IFERROR(__xludf.DUMMYFUNCTION("""COMPUTED_VALUE"""),1174.0)</f>
        <v>1174</v>
      </c>
      <c r="AA54" s="257" t="str">
        <f>IFERROR(__xludf.DUMMYFUNCTION("""COMPUTED_VALUE"""),"--")</f>
        <v>--</v>
      </c>
      <c r="AB54" s="257" t="str">
        <f>IFERROR(__xludf.DUMMYFUNCTION("""COMPUTED_VALUE"""),"--")</f>
        <v>--</v>
      </c>
      <c r="AC54" s="257" t="str">
        <f>IFERROR(__xludf.DUMMYFUNCTION("""COMPUTED_VALUE"""),"--")</f>
        <v>--</v>
      </c>
      <c r="AD54" s="257" t="str">
        <f>IFERROR(__xludf.DUMMYFUNCTION("""COMPUTED_VALUE"""),"--")</f>
        <v>--</v>
      </c>
      <c r="AE54" s="257" t="str">
        <f>IFERROR(__xludf.DUMMYFUNCTION("""COMPUTED_VALUE"""),"--")</f>
        <v>--</v>
      </c>
      <c r="AF54" s="257" t="str">
        <f>IFERROR(__xludf.DUMMYFUNCTION("""COMPUTED_VALUE"""),"--")</f>
        <v>--</v>
      </c>
      <c r="AG54" s="257" t="str">
        <f>IFERROR(__xludf.DUMMYFUNCTION("""COMPUTED_VALUE"""),"--")</f>
        <v>--</v>
      </c>
      <c r="AH54" s="257" t="str">
        <f>IFERROR(__xludf.DUMMYFUNCTION("""COMPUTED_VALUE"""),"--")</f>
        <v>--</v>
      </c>
    </row>
    <row r="55">
      <c r="A55" s="328">
        <f>IFERROR(__xludf.DUMMYFUNCTION("""COMPUTED_VALUE"""),44122.0)</f>
        <v>44122</v>
      </c>
      <c r="B55" s="329">
        <f>IFERROR(__xludf.DUMMYFUNCTION("""COMPUTED_VALUE"""),155.0)</f>
        <v>155</v>
      </c>
      <c r="C55" s="329">
        <f>IFERROR(__xludf.DUMMYFUNCTION("""COMPUTED_VALUE"""),270.0)</f>
        <v>270</v>
      </c>
      <c r="D55" s="329">
        <f>IFERROR(__xludf.DUMMYFUNCTION("""COMPUTED_VALUE"""),38891.0)</f>
        <v>38891</v>
      </c>
      <c r="E55" s="329">
        <f>IFERROR(__xludf.DUMMYFUNCTION("""COMPUTED_VALUE"""),4039.0)</f>
        <v>4039</v>
      </c>
      <c r="F55" s="257">
        <f>IFERROR(__xludf.DUMMYFUNCTION("""COMPUTED_VALUE"""),943289.0)</f>
        <v>943289</v>
      </c>
      <c r="G55" s="257">
        <f>IFERROR(__xludf.DUMMYFUNCTION("""COMPUTED_VALUE"""),4194.0)</f>
        <v>4194</v>
      </c>
      <c r="H55" s="257">
        <f>IFERROR(__xludf.DUMMYFUNCTION("""COMPUTED_VALUE"""),982180.0)</f>
        <v>982180</v>
      </c>
      <c r="I55" s="329">
        <f>IFERROR(__xludf.DUMMYFUNCTION("""COMPUTED_VALUE"""),125.0)</f>
        <v>125</v>
      </c>
      <c r="J55" s="329">
        <f>IFERROR(__xludf.DUMMYFUNCTION("""COMPUTED_VALUE"""),236.0)</f>
        <v>236</v>
      </c>
      <c r="K55" s="329">
        <f>IFERROR(__xludf.DUMMYFUNCTION("""COMPUTED_VALUE"""),28524.0)</f>
        <v>28524</v>
      </c>
      <c r="L55" s="329">
        <f>IFERROR(__xludf.DUMMYFUNCTION("""COMPUTED_VALUE"""),1205.0)</f>
        <v>1205</v>
      </c>
      <c r="M55" s="329">
        <f>IFERROR(__xludf.DUMMYFUNCTION("""COMPUTED_VALUE"""),334685.0)</f>
        <v>334685</v>
      </c>
      <c r="N55" s="329">
        <f>IFERROR(__xludf.DUMMYFUNCTION("""COMPUTED_VALUE"""),363209.0)</f>
        <v>363209</v>
      </c>
      <c r="O55" s="329">
        <f>IFERROR(__xludf.DUMMYFUNCTION("""COMPUTED_VALUE"""),18.0)</f>
        <v>18</v>
      </c>
      <c r="P55" s="329">
        <f>IFERROR(__xludf.DUMMYFUNCTION("""COMPUTED_VALUE"""),3022.0)</f>
        <v>3022</v>
      </c>
      <c r="Q55" s="329">
        <f>IFERROR(__xludf.DUMMYFUNCTION("""COMPUTED_VALUE"""),11.0)</f>
        <v>11</v>
      </c>
      <c r="R55" s="329">
        <f>IFERROR(__xludf.DUMMYFUNCTION("""COMPUTED_VALUE"""),2492.0)</f>
        <v>2492</v>
      </c>
      <c r="S55" s="329">
        <f>IFERROR(__xludf.DUMMYFUNCTION("""COMPUTED_VALUE"""),0.0)</f>
        <v>0</v>
      </c>
      <c r="T55" s="329">
        <f>IFERROR(__xludf.DUMMYFUNCTION("""COMPUTED_VALUE"""),383.0)</f>
        <v>383</v>
      </c>
      <c r="U55" s="329">
        <f>IFERROR(__xludf.DUMMYFUNCTION("""COMPUTED_VALUE"""),147.0)</f>
        <v>147</v>
      </c>
      <c r="V55" s="329">
        <f>IFERROR(__xludf.DUMMYFUNCTION("""COMPUTED_VALUE"""),140.0)</f>
        <v>140</v>
      </c>
      <c r="W55" s="329">
        <f>IFERROR(__xludf.DUMMYFUNCTION("""COMPUTED_VALUE"""),17.0)</f>
        <v>17</v>
      </c>
      <c r="X55" s="329">
        <f>IFERROR(__xludf.DUMMYFUNCTION("""COMPUTED_VALUE"""),6.0)</f>
        <v>6</v>
      </c>
      <c r="Y55" s="329">
        <f>IFERROR(__xludf.DUMMYFUNCTION("""COMPUTED_VALUE"""),2.0)</f>
        <v>2</v>
      </c>
      <c r="Z55" s="329">
        <f>IFERROR(__xludf.DUMMYFUNCTION("""COMPUTED_VALUE"""),1176.0)</f>
        <v>1176</v>
      </c>
      <c r="AA55" s="257" t="str">
        <f>IFERROR(__xludf.DUMMYFUNCTION("""COMPUTED_VALUE"""),"--")</f>
        <v>--</v>
      </c>
      <c r="AB55" s="257" t="str">
        <f>IFERROR(__xludf.DUMMYFUNCTION("""COMPUTED_VALUE"""),"--")</f>
        <v>--</v>
      </c>
      <c r="AC55" s="257" t="str">
        <f>IFERROR(__xludf.DUMMYFUNCTION("""COMPUTED_VALUE"""),"--")</f>
        <v>--</v>
      </c>
      <c r="AD55" s="257" t="str">
        <f>IFERROR(__xludf.DUMMYFUNCTION("""COMPUTED_VALUE"""),"--")</f>
        <v>--</v>
      </c>
      <c r="AE55" s="257" t="str">
        <f>IFERROR(__xludf.DUMMYFUNCTION("""COMPUTED_VALUE"""),"--")</f>
        <v>--</v>
      </c>
      <c r="AF55" s="257" t="str">
        <f>IFERROR(__xludf.DUMMYFUNCTION("""COMPUTED_VALUE"""),"--")</f>
        <v>--</v>
      </c>
      <c r="AG55" s="257" t="str">
        <f>IFERROR(__xludf.DUMMYFUNCTION("""COMPUTED_VALUE"""),"--")</f>
        <v>--</v>
      </c>
      <c r="AH55" s="257" t="str">
        <f>IFERROR(__xludf.DUMMYFUNCTION("""COMPUTED_VALUE"""),"--")</f>
        <v>--</v>
      </c>
    </row>
    <row r="56">
      <c r="A56" s="328">
        <f>IFERROR(__xludf.DUMMYFUNCTION("""COMPUTED_VALUE"""),44123.0)</f>
        <v>44123</v>
      </c>
      <c r="B56" s="329">
        <f>IFERROR(__xludf.DUMMYFUNCTION("""COMPUTED_VALUE"""),388.0)</f>
        <v>388</v>
      </c>
      <c r="C56" s="329">
        <f>IFERROR(__xludf.DUMMYFUNCTION("""COMPUTED_VALUE"""),302.0)</f>
        <v>302</v>
      </c>
      <c r="D56" s="329">
        <f>IFERROR(__xludf.DUMMYFUNCTION("""COMPUTED_VALUE"""),39279.0)</f>
        <v>39279</v>
      </c>
      <c r="E56" s="329">
        <f>IFERROR(__xludf.DUMMYFUNCTION("""COMPUTED_VALUE"""),8493.0)</f>
        <v>8493</v>
      </c>
      <c r="F56" s="257">
        <f>IFERROR(__xludf.DUMMYFUNCTION("""COMPUTED_VALUE"""),951782.0)</f>
        <v>951782</v>
      </c>
      <c r="G56" s="257">
        <f>IFERROR(__xludf.DUMMYFUNCTION("""COMPUTED_VALUE"""),8881.0)</f>
        <v>8881</v>
      </c>
      <c r="H56" s="257">
        <f>IFERROR(__xludf.DUMMYFUNCTION("""COMPUTED_VALUE"""),991061.0)</f>
        <v>991061</v>
      </c>
      <c r="I56" s="329">
        <f>IFERROR(__xludf.DUMMYFUNCTION("""COMPUTED_VALUE"""),318.0)</f>
        <v>318</v>
      </c>
      <c r="J56" s="329">
        <f>IFERROR(__xludf.DUMMYFUNCTION("""COMPUTED_VALUE"""),250.0)</f>
        <v>250</v>
      </c>
      <c r="K56" s="329">
        <f>IFERROR(__xludf.DUMMYFUNCTION("""COMPUTED_VALUE"""),28842.0)</f>
        <v>28842</v>
      </c>
      <c r="L56" s="329">
        <f>IFERROR(__xludf.DUMMYFUNCTION("""COMPUTED_VALUE"""),2387.0)</f>
        <v>2387</v>
      </c>
      <c r="M56" s="329">
        <f>IFERROR(__xludf.DUMMYFUNCTION("""COMPUTED_VALUE"""),337072.0)</f>
        <v>337072</v>
      </c>
      <c r="N56" s="329">
        <f>IFERROR(__xludf.DUMMYFUNCTION("""COMPUTED_VALUE"""),365914.0)</f>
        <v>365914</v>
      </c>
      <c r="O56" s="329">
        <f>IFERROR(__xludf.DUMMYFUNCTION("""COMPUTED_VALUE"""),20.0)</f>
        <v>20</v>
      </c>
      <c r="P56" s="329">
        <f>IFERROR(__xludf.DUMMYFUNCTION("""COMPUTED_VALUE"""),3042.0)</f>
        <v>3042</v>
      </c>
      <c r="Q56" s="329">
        <f>IFERROR(__xludf.DUMMYFUNCTION("""COMPUTED_VALUE"""),21.0)</f>
        <v>21</v>
      </c>
      <c r="R56" s="329">
        <f>IFERROR(__xludf.DUMMYFUNCTION("""COMPUTED_VALUE"""),2513.0)</f>
        <v>2513</v>
      </c>
      <c r="S56" s="329">
        <f>IFERROR(__xludf.DUMMYFUNCTION("""COMPUTED_VALUE"""),2.0)</f>
        <v>2</v>
      </c>
      <c r="T56" s="329">
        <f>IFERROR(__xludf.DUMMYFUNCTION("""COMPUTED_VALUE"""),385.0)</f>
        <v>385</v>
      </c>
      <c r="U56" s="329">
        <f>IFERROR(__xludf.DUMMYFUNCTION("""COMPUTED_VALUE"""),144.0)</f>
        <v>144</v>
      </c>
      <c r="V56" s="329">
        <f>IFERROR(__xludf.DUMMYFUNCTION("""COMPUTED_VALUE"""),144.0)</f>
        <v>144</v>
      </c>
      <c r="W56" s="329">
        <f>IFERROR(__xludf.DUMMYFUNCTION("""COMPUTED_VALUE"""),15.0)</f>
        <v>15</v>
      </c>
      <c r="X56" s="329">
        <f>IFERROR(__xludf.DUMMYFUNCTION("""COMPUTED_VALUE"""),6.0)</f>
        <v>6</v>
      </c>
      <c r="Y56" s="329">
        <f>IFERROR(__xludf.DUMMYFUNCTION("""COMPUTED_VALUE"""),1.0)</f>
        <v>1</v>
      </c>
      <c r="Z56" s="329">
        <f>IFERROR(__xludf.DUMMYFUNCTION("""COMPUTED_VALUE"""),1177.0)</f>
        <v>1177</v>
      </c>
      <c r="AA56" s="257" t="str">
        <f>IFERROR(__xludf.DUMMYFUNCTION("""COMPUTED_VALUE"""),"--")</f>
        <v>--</v>
      </c>
      <c r="AB56" s="257" t="str">
        <f>IFERROR(__xludf.DUMMYFUNCTION("""COMPUTED_VALUE"""),"--")</f>
        <v>--</v>
      </c>
      <c r="AC56" s="257" t="str">
        <f>IFERROR(__xludf.DUMMYFUNCTION("""COMPUTED_VALUE"""),"--")</f>
        <v>--</v>
      </c>
      <c r="AD56" s="257" t="str">
        <f>IFERROR(__xludf.DUMMYFUNCTION("""COMPUTED_VALUE"""),"--")</f>
        <v>--</v>
      </c>
      <c r="AE56" s="257" t="str">
        <f>IFERROR(__xludf.DUMMYFUNCTION("""COMPUTED_VALUE"""),"--")</f>
        <v>--</v>
      </c>
      <c r="AF56" s="257" t="str">
        <f>IFERROR(__xludf.DUMMYFUNCTION("""COMPUTED_VALUE"""),"--")</f>
        <v>--</v>
      </c>
      <c r="AG56" s="257" t="str">
        <f>IFERROR(__xludf.DUMMYFUNCTION("""COMPUTED_VALUE"""),"--")</f>
        <v>--</v>
      </c>
      <c r="AH56" s="257" t="str">
        <f>IFERROR(__xludf.DUMMYFUNCTION("""COMPUTED_VALUE"""),"--")</f>
        <v>--</v>
      </c>
    </row>
    <row r="57">
      <c r="A57" s="328">
        <f>IFERROR(__xludf.DUMMYFUNCTION("""COMPUTED_VALUE"""),44124.0)</f>
        <v>44124</v>
      </c>
      <c r="B57" s="329">
        <f>IFERROR(__xludf.DUMMYFUNCTION("""COMPUTED_VALUE"""),440.0)</f>
        <v>440</v>
      </c>
      <c r="C57" s="329">
        <f>IFERROR(__xludf.DUMMYFUNCTION("""COMPUTED_VALUE"""),328.0)</f>
        <v>328</v>
      </c>
      <c r="D57" s="329">
        <f>IFERROR(__xludf.DUMMYFUNCTION("""COMPUTED_VALUE"""),39719.0)</f>
        <v>39719</v>
      </c>
      <c r="E57" s="329">
        <f>IFERROR(__xludf.DUMMYFUNCTION("""COMPUTED_VALUE"""),13246.0)</f>
        <v>13246</v>
      </c>
      <c r="F57" s="257">
        <f>IFERROR(__xludf.DUMMYFUNCTION("""COMPUTED_VALUE"""),965028.0)</f>
        <v>965028</v>
      </c>
      <c r="G57" s="257">
        <f>IFERROR(__xludf.DUMMYFUNCTION("""COMPUTED_VALUE"""),13686.0)</f>
        <v>13686</v>
      </c>
      <c r="H57" s="257">
        <f>IFERROR(__xludf.DUMMYFUNCTION("""COMPUTED_VALUE"""),1004747.0)</f>
        <v>1004747</v>
      </c>
      <c r="I57" s="329">
        <f>IFERROR(__xludf.DUMMYFUNCTION("""COMPUTED_VALUE"""),383.0)</f>
        <v>383</v>
      </c>
      <c r="J57" s="329">
        <f>IFERROR(__xludf.DUMMYFUNCTION("""COMPUTED_VALUE"""),275.0)</f>
        <v>275</v>
      </c>
      <c r="K57" s="329">
        <f>IFERROR(__xludf.DUMMYFUNCTION("""COMPUTED_VALUE"""),29225.0)</f>
        <v>29225</v>
      </c>
      <c r="L57" s="329">
        <f>IFERROR(__xludf.DUMMYFUNCTION("""COMPUTED_VALUE"""),2783.0)</f>
        <v>2783</v>
      </c>
      <c r="M57" s="329">
        <f>IFERROR(__xludf.DUMMYFUNCTION("""COMPUTED_VALUE"""),339855.0)</f>
        <v>339855</v>
      </c>
      <c r="N57" s="329">
        <f>IFERROR(__xludf.DUMMYFUNCTION("""COMPUTED_VALUE"""),369080.0)</f>
        <v>369080</v>
      </c>
      <c r="O57" s="329">
        <f>IFERROR(__xludf.DUMMYFUNCTION("""COMPUTED_VALUE"""),22.0)</f>
        <v>22</v>
      </c>
      <c r="P57" s="329">
        <f>IFERROR(__xludf.DUMMYFUNCTION("""COMPUTED_VALUE"""),3064.0)</f>
        <v>3064</v>
      </c>
      <c r="Q57" s="329">
        <f>IFERROR(__xludf.DUMMYFUNCTION("""COMPUTED_VALUE"""),16.0)</f>
        <v>16</v>
      </c>
      <c r="R57" s="329">
        <f>IFERROR(__xludf.DUMMYFUNCTION("""COMPUTED_VALUE"""),2529.0)</f>
        <v>2529</v>
      </c>
      <c r="S57" s="329">
        <f>IFERROR(__xludf.DUMMYFUNCTION("""COMPUTED_VALUE"""),0.0)</f>
        <v>0</v>
      </c>
      <c r="T57" s="329">
        <f>IFERROR(__xludf.DUMMYFUNCTION("""COMPUTED_VALUE"""),385.0)</f>
        <v>385</v>
      </c>
      <c r="U57" s="329">
        <f>IFERROR(__xludf.DUMMYFUNCTION("""COMPUTED_VALUE"""),150.0)</f>
        <v>150</v>
      </c>
      <c r="V57" s="329">
        <f>IFERROR(__xludf.DUMMYFUNCTION("""COMPUTED_VALUE"""),147.0)</f>
        <v>147</v>
      </c>
      <c r="W57" s="329">
        <f>IFERROR(__xludf.DUMMYFUNCTION("""COMPUTED_VALUE"""),14.0)</f>
        <v>14</v>
      </c>
      <c r="X57" s="329">
        <f>IFERROR(__xludf.DUMMYFUNCTION("""COMPUTED_VALUE"""),8.0)</f>
        <v>8</v>
      </c>
      <c r="Y57" s="329">
        <f>IFERROR(__xludf.DUMMYFUNCTION("""COMPUTED_VALUE"""),4.0)</f>
        <v>4</v>
      </c>
      <c r="Z57" s="329">
        <f>IFERROR(__xludf.DUMMYFUNCTION("""COMPUTED_VALUE"""),1181.0)</f>
        <v>1181</v>
      </c>
      <c r="AA57" s="257" t="str">
        <f>IFERROR(__xludf.DUMMYFUNCTION("""COMPUTED_VALUE"""),"--")</f>
        <v>--</v>
      </c>
      <c r="AB57" s="257" t="str">
        <f>IFERROR(__xludf.DUMMYFUNCTION("""COMPUTED_VALUE"""),"--")</f>
        <v>--</v>
      </c>
      <c r="AC57" s="257" t="str">
        <f>IFERROR(__xludf.DUMMYFUNCTION("""COMPUTED_VALUE"""),"--")</f>
        <v>--</v>
      </c>
      <c r="AD57" s="257" t="str">
        <f>IFERROR(__xludf.DUMMYFUNCTION("""COMPUTED_VALUE"""),"--")</f>
        <v>--</v>
      </c>
      <c r="AE57" s="257" t="str">
        <f>IFERROR(__xludf.DUMMYFUNCTION("""COMPUTED_VALUE"""),"--")</f>
        <v>--</v>
      </c>
      <c r="AF57" s="257" t="str">
        <f>IFERROR(__xludf.DUMMYFUNCTION("""COMPUTED_VALUE"""),"--")</f>
        <v>--</v>
      </c>
      <c r="AG57" s="257" t="str">
        <f>IFERROR(__xludf.DUMMYFUNCTION("""COMPUTED_VALUE"""),"--")</f>
        <v>--</v>
      </c>
      <c r="AH57" s="257" t="str">
        <f>IFERROR(__xludf.DUMMYFUNCTION("""COMPUTED_VALUE"""),"--")</f>
        <v>--</v>
      </c>
    </row>
    <row r="58">
      <c r="A58" s="328">
        <f>IFERROR(__xludf.DUMMYFUNCTION("""COMPUTED_VALUE"""),44125.0)</f>
        <v>44125</v>
      </c>
      <c r="B58" s="329">
        <f>IFERROR(__xludf.DUMMYFUNCTION("""COMPUTED_VALUE"""),552.0)</f>
        <v>552</v>
      </c>
      <c r="C58" s="329">
        <f>IFERROR(__xludf.DUMMYFUNCTION("""COMPUTED_VALUE"""),460.0)</f>
        <v>460</v>
      </c>
      <c r="D58" s="329">
        <f>IFERROR(__xludf.DUMMYFUNCTION("""COMPUTED_VALUE"""),40271.0)</f>
        <v>40271</v>
      </c>
      <c r="E58" s="329">
        <f>IFERROR(__xludf.DUMMYFUNCTION("""COMPUTED_VALUE"""),17462.0)</f>
        <v>17462</v>
      </c>
      <c r="F58" s="257">
        <f>IFERROR(__xludf.DUMMYFUNCTION("""COMPUTED_VALUE"""),982490.0)</f>
        <v>982490</v>
      </c>
      <c r="G58" s="257">
        <f>IFERROR(__xludf.DUMMYFUNCTION("""COMPUTED_VALUE"""),18014.0)</f>
        <v>18014</v>
      </c>
      <c r="H58" s="257">
        <f>IFERROR(__xludf.DUMMYFUNCTION("""COMPUTED_VALUE"""),1022761.0)</f>
        <v>1022761</v>
      </c>
      <c r="I58" s="329">
        <f>IFERROR(__xludf.DUMMYFUNCTION("""COMPUTED_VALUE"""),469.0)</f>
        <v>469</v>
      </c>
      <c r="J58" s="329">
        <f>IFERROR(__xludf.DUMMYFUNCTION("""COMPUTED_VALUE"""),390.0)</f>
        <v>390</v>
      </c>
      <c r="K58" s="329">
        <f>IFERROR(__xludf.DUMMYFUNCTION("""COMPUTED_VALUE"""),29694.0)</f>
        <v>29694</v>
      </c>
      <c r="L58" s="329">
        <f>IFERROR(__xludf.DUMMYFUNCTION("""COMPUTED_VALUE"""),3211.0)</f>
        <v>3211</v>
      </c>
      <c r="M58" s="329">
        <f>IFERROR(__xludf.DUMMYFUNCTION("""COMPUTED_VALUE"""),343066.0)</f>
        <v>343066</v>
      </c>
      <c r="N58" s="329">
        <f>IFERROR(__xludf.DUMMYFUNCTION("""COMPUTED_VALUE"""),372760.0)</f>
        <v>372760</v>
      </c>
      <c r="O58" s="329">
        <f>IFERROR(__xludf.DUMMYFUNCTION("""COMPUTED_VALUE"""),23.0)</f>
        <v>23</v>
      </c>
      <c r="P58" s="329">
        <f>IFERROR(__xludf.DUMMYFUNCTION("""COMPUTED_VALUE"""),3087.0)</f>
        <v>3087</v>
      </c>
      <c r="Q58" s="329">
        <f>IFERROR(__xludf.DUMMYFUNCTION("""COMPUTED_VALUE"""),8.0)</f>
        <v>8</v>
      </c>
      <c r="R58" s="329">
        <f>IFERROR(__xludf.DUMMYFUNCTION("""COMPUTED_VALUE"""),2537.0)</f>
        <v>2537</v>
      </c>
      <c r="S58" s="329">
        <f>IFERROR(__xludf.DUMMYFUNCTION("""COMPUTED_VALUE"""),2.0)</f>
        <v>2</v>
      </c>
      <c r="T58" s="329">
        <f>IFERROR(__xludf.DUMMYFUNCTION("""COMPUTED_VALUE"""),387.0)</f>
        <v>387</v>
      </c>
      <c r="U58" s="329">
        <f>IFERROR(__xludf.DUMMYFUNCTION("""COMPUTED_VALUE"""),163.0)</f>
        <v>163</v>
      </c>
      <c r="V58" s="329">
        <f>IFERROR(__xludf.DUMMYFUNCTION("""COMPUTED_VALUE"""),152.0)</f>
        <v>152</v>
      </c>
      <c r="W58" s="329">
        <f>IFERROR(__xludf.DUMMYFUNCTION("""COMPUTED_VALUE"""),15.0)</f>
        <v>15</v>
      </c>
      <c r="X58" s="329">
        <f>IFERROR(__xludf.DUMMYFUNCTION("""COMPUTED_VALUE"""),9.0)</f>
        <v>9</v>
      </c>
      <c r="Y58" s="329">
        <f>IFERROR(__xludf.DUMMYFUNCTION("""COMPUTED_VALUE"""),3.0)</f>
        <v>3</v>
      </c>
      <c r="Z58" s="329">
        <f>IFERROR(__xludf.DUMMYFUNCTION("""COMPUTED_VALUE"""),1184.0)</f>
        <v>1184</v>
      </c>
      <c r="AA58" s="257" t="str">
        <f>IFERROR(__xludf.DUMMYFUNCTION("""COMPUTED_VALUE"""),"--")</f>
        <v>--</v>
      </c>
      <c r="AB58" s="257" t="str">
        <f>IFERROR(__xludf.DUMMYFUNCTION("""COMPUTED_VALUE"""),"--")</f>
        <v>--</v>
      </c>
      <c r="AC58" s="257" t="str">
        <f>IFERROR(__xludf.DUMMYFUNCTION("""COMPUTED_VALUE"""),"--")</f>
        <v>--</v>
      </c>
      <c r="AD58" s="257" t="str">
        <f>IFERROR(__xludf.DUMMYFUNCTION("""COMPUTED_VALUE"""),"--")</f>
        <v>--</v>
      </c>
      <c r="AE58" s="257" t="str">
        <f>IFERROR(__xludf.DUMMYFUNCTION("""COMPUTED_VALUE"""),"--")</f>
        <v>--</v>
      </c>
      <c r="AF58" s="257" t="str">
        <f>IFERROR(__xludf.DUMMYFUNCTION("""COMPUTED_VALUE"""),"--")</f>
        <v>--</v>
      </c>
      <c r="AG58" s="257" t="str">
        <f>IFERROR(__xludf.DUMMYFUNCTION("""COMPUTED_VALUE"""),"--")</f>
        <v>--</v>
      </c>
      <c r="AH58" s="257" t="str">
        <f>IFERROR(__xludf.DUMMYFUNCTION("""COMPUTED_VALUE"""),"--")</f>
        <v>--</v>
      </c>
    </row>
    <row r="59">
      <c r="A59" s="328">
        <f>IFERROR(__xludf.DUMMYFUNCTION("""COMPUTED_VALUE"""),44126.0)</f>
        <v>44126</v>
      </c>
      <c r="B59" s="329">
        <f>IFERROR(__xludf.DUMMYFUNCTION("""COMPUTED_VALUE"""),542.0)</f>
        <v>542</v>
      </c>
      <c r="C59" s="329">
        <f>IFERROR(__xludf.DUMMYFUNCTION("""COMPUTED_VALUE"""),511.0)</f>
        <v>511</v>
      </c>
      <c r="D59" s="329">
        <f>IFERROR(__xludf.DUMMYFUNCTION("""COMPUTED_VALUE"""),40813.0)</f>
        <v>40813</v>
      </c>
      <c r="E59" s="329">
        <f>IFERROR(__xludf.DUMMYFUNCTION("""COMPUTED_VALUE"""),15867.0)</f>
        <v>15867</v>
      </c>
      <c r="F59" s="257">
        <f>IFERROR(__xludf.DUMMYFUNCTION("""COMPUTED_VALUE"""),998357.0)</f>
        <v>998357</v>
      </c>
      <c r="G59" s="257">
        <f>IFERROR(__xludf.DUMMYFUNCTION("""COMPUTED_VALUE"""),16409.0)</f>
        <v>16409</v>
      </c>
      <c r="H59" s="257">
        <f>IFERROR(__xludf.DUMMYFUNCTION("""COMPUTED_VALUE"""),1039170.0)</f>
        <v>1039170</v>
      </c>
      <c r="I59" s="329">
        <f>IFERROR(__xludf.DUMMYFUNCTION("""COMPUTED_VALUE"""),485.0)</f>
        <v>485</v>
      </c>
      <c r="J59" s="329">
        <f>IFERROR(__xludf.DUMMYFUNCTION("""COMPUTED_VALUE"""),446.0)</f>
        <v>446</v>
      </c>
      <c r="K59" s="329">
        <f>IFERROR(__xludf.DUMMYFUNCTION("""COMPUTED_VALUE"""),30179.0)</f>
        <v>30179</v>
      </c>
      <c r="L59" s="329">
        <f>IFERROR(__xludf.DUMMYFUNCTION("""COMPUTED_VALUE"""),2946.0)</f>
        <v>2946</v>
      </c>
      <c r="M59" s="329">
        <f>IFERROR(__xludf.DUMMYFUNCTION("""COMPUTED_VALUE"""),346012.0)</f>
        <v>346012</v>
      </c>
      <c r="N59" s="329">
        <f>IFERROR(__xludf.DUMMYFUNCTION("""COMPUTED_VALUE"""),376191.0)</f>
        <v>376191</v>
      </c>
      <c r="O59" s="329">
        <f>IFERROR(__xludf.DUMMYFUNCTION("""COMPUTED_VALUE"""),24.0)</f>
        <v>24</v>
      </c>
      <c r="P59" s="329">
        <f>IFERROR(__xludf.DUMMYFUNCTION("""COMPUTED_VALUE"""),3111.0)</f>
        <v>3111</v>
      </c>
      <c r="Q59" s="329">
        <f>IFERROR(__xludf.DUMMYFUNCTION("""COMPUTED_VALUE"""),20.0)</f>
        <v>20</v>
      </c>
      <c r="R59" s="329">
        <f>IFERROR(__xludf.DUMMYFUNCTION("""COMPUTED_VALUE"""),2557.0)</f>
        <v>2557</v>
      </c>
      <c r="S59" s="329">
        <f>IFERROR(__xludf.DUMMYFUNCTION("""COMPUTED_VALUE"""),3.0)</f>
        <v>3</v>
      </c>
      <c r="T59" s="329">
        <f>IFERROR(__xludf.DUMMYFUNCTION("""COMPUTED_VALUE"""),390.0)</f>
        <v>390</v>
      </c>
      <c r="U59" s="329">
        <f>IFERROR(__xludf.DUMMYFUNCTION("""COMPUTED_VALUE"""),164.0)</f>
        <v>164</v>
      </c>
      <c r="V59" s="329">
        <f>IFERROR(__xludf.DUMMYFUNCTION("""COMPUTED_VALUE"""),159.0)</f>
        <v>159</v>
      </c>
      <c r="W59" s="329">
        <f>IFERROR(__xludf.DUMMYFUNCTION("""COMPUTED_VALUE"""),14.0)</f>
        <v>14</v>
      </c>
      <c r="X59" s="329">
        <f>IFERROR(__xludf.DUMMYFUNCTION("""COMPUTED_VALUE"""),9.0)</f>
        <v>9</v>
      </c>
      <c r="Y59" s="329">
        <f>IFERROR(__xludf.DUMMYFUNCTION("""COMPUTED_VALUE"""),3.0)</f>
        <v>3</v>
      </c>
      <c r="Z59" s="329">
        <f>IFERROR(__xludf.DUMMYFUNCTION("""COMPUTED_VALUE"""),1187.0)</f>
        <v>1187</v>
      </c>
      <c r="AA59" s="257" t="str">
        <f>IFERROR(__xludf.DUMMYFUNCTION("""COMPUTED_VALUE"""),"--")</f>
        <v>--</v>
      </c>
      <c r="AB59" s="257" t="str">
        <f>IFERROR(__xludf.DUMMYFUNCTION("""COMPUTED_VALUE"""),"--")</f>
        <v>--</v>
      </c>
      <c r="AC59" s="257" t="str">
        <f>IFERROR(__xludf.DUMMYFUNCTION("""COMPUTED_VALUE"""),"--")</f>
        <v>--</v>
      </c>
      <c r="AD59" s="257" t="str">
        <f>IFERROR(__xludf.DUMMYFUNCTION("""COMPUTED_VALUE"""),"--")</f>
        <v>--</v>
      </c>
      <c r="AE59" s="257" t="str">
        <f>IFERROR(__xludf.DUMMYFUNCTION("""COMPUTED_VALUE"""),"--")</f>
        <v>--</v>
      </c>
      <c r="AF59" s="257" t="str">
        <f>IFERROR(__xludf.DUMMYFUNCTION("""COMPUTED_VALUE"""),"--")</f>
        <v>--</v>
      </c>
      <c r="AG59" s="257" t="str">
        <f>IFERROR(__xludf.DUMMYFUNCTION("""COMPUTED_VALUE"""),"--")</f>
        <v>--</v>
      </c>
      <c r="AH59" s="257" t="str">
        <f>IFERROR(__xludf.DUMMYFUNCTION("""COMPUTED_VALUE"""),"--")</f>
        <v>--</v>
      </c>
    </row>
    <row r="60">
      <c r="A60" s="328">
        <f>IFERROR(__xludf.DUMMYFUNCTION("""COMPUTED_VALUE"""),44127.0)</f>
        <v>44127</v>
      </c>
      <c r="B60" s="329">
        <f>IFERROR(__xludf.DUMMYFUNCTION("""COMPUTED_VALUE"""),517.0)</f>
        <v>517</v>
      </c>
      <c r="C60" s="329">
        <f>IFERROR(__xludf.DUMMYFUNCTION("""COMPUTED_VALUE"""),537.0)</f>
        <v>537</v>
      </c>
      <c r="D60" s="329">
        <f>IFERROR(__xludf.DUMMYFUNCTION("""COMPUTED_VALUE"""),41330.0)</f>
        <v>41330</v>
      </c>
      <c r="E60" s="329">
        <f>IFERROR(__xludf.DUMMYFUNCTION("""COMPUTED_VALUE"""),16638.0)</f>
        <v>16638</v>
      </c>
      <c r="F60" s="257">
        <f>IFERROR(__xludf.DUMMYFUNCTION("""COMPUTED_VALUE"""),1014995.0)</f>
        <v>1014995</v>
      </c>
      <c r="G60" s="257">
        <f>IFERROR(__xludf.DUMMYFUNCTION("""COMPUTED_VALUE"""),17155.0)</f>
        <v>17155</v>
      </c>
      <c r="H60" s="257">
        <f>IFERROR(__xludf.DUMMYFUNCTION("""COMPUTED_VALUE"""),1056325.0)</f>
        <v>1056325</v>
      </c>
      <c r="I60" s="329">
        <f>IFERROR(__xludf.DUMMYFUNCTION("""COMPUTED_VALUE"""),460.0)</f>
        <v>460</v>
      </c>
      <c r="J60" s="329">
        <f>IFERROR(__xludf.DUMMYFUNCTION("""COMPUTED_VALUE"""),471.0)</f>
        <v>471</v>
      </c>
      <c r="K60" s="329">
        <f>IFERROR(__xludf.DUMMYFUNCTION("""COMPUTED_VALUE"""),30639.0)</f>
        <v>30639</v>
      </c>
      <c r="L60" s="329">
        <f>IFERROR(__xludf.DUMMYFUNCTION("""COMPUTED_VALUE"""),2623.0)</f>
        <v>2623</v>
      </c>
      <c r="M60" s="329">
        <f>IFERROR(__xludf.DUMMYFUNCTION("""COMPUTED_VALUE"""),348635.0)</f>
        <v>348635</v>
      </c>
      <c r="N60" s="329">
        <f>IFERROR(__xludf.DUMMYFUNCTION("""COMPUTED_VALUE"""),379274.0)</f>
        <v>379274</v>
      </c>
      <c r="O60" s="329">
        <f>IFERROR(__xludf.DUMMYFUNCTION("""COMPUTED_VALUE"""),22.0)</f>
        <v>22</v>
      </c>
      <c r="P60" s="329">
        <f>IFERROR(__xludf.DUMMYFUNCTION("""COMPUTED_VALUE"""),3133.0)</f>
        <v>3133</v>
      </c>
      <c r="Q60" s="329">
        <f>IFERROR(__xludf.DUMMYFUNCTION("""COMPUTED_VALUE"""),22.0)</f>
        <v>22</v>
      </c>
      <c r="R60" s="329">
        <f>IFERROR(__xludf.DUMMYFUNCTION("""COMPUTED_VALUE"""),2579.0)</f>
        <v>2579</v>
      </c>
      <c r="S60" s="329">
        <f>IFERROR(__xludf.DUMMYFUNCTION("""COMPUTED_VALUE"""),1.0)</f>
        <v>1</v>
      </c>
      <c r="T60" s="329">
        <f>IFERROR(__xludf.DUMMYFUNCTION("""COMPUTED_VALUE"""),391.0)</f>
        <v>391</v>
      </c>
      <c r="U60" s="329">
        <f>IFERROR(__xludf.DUMMYFUNCTION("""COMPUTED_VALUE"""),163.0)</f>
        <v>163</v>
      </c>
      <c r="V60" s="329">
        <f>IFERROR(__xludf.DUMMYFUNCTION("""COMPUTED_VALUE"""),163.0)</f>
        <v>163</v>
      </c>
      <c r="W60" s="329">
        <f>IFERROR(__xludf.DUMMYFUNCTION("""COMPUTED_VALUE"""),15.0)</f>
        <v>15</v>
      </c>
      <c r="X60" s="329">
        <f>IFERROR(__xludf.DUMMYFUNCTION("""COMPUTED_VALUE"""),9.0)</f>
        <v>9</v>
      </c>
      <c r="Y60" s="329">
        <f>IFERROR(__xludf.DUMMYFUNCTION("""COMPUTED_VALUE"""),3.0)</f>
        <v>3</v>
      </c>
      <c r="Z60" s="329">
        <f>IFERROR(__xludf.DUMMYFUNCTION("""COMPUTED_VALUE"""),1190.0)</f>
        <v>1190</v>
      </c>
      <c r="AA60" s="257" t="str">
        <f>IFERROR(__xludf.DUMMYFUNCTION("""COMPUTED_VALUE"""),"--")</f>
        <v>--</v>
      </c>
      <c r="AB60" s="257" t="str">
        <f>IFERROR(__xludf.DUMMYFUNCTION("""COMPUTED_VALUE"""),"--")</f>
        <v>--</v>
      </c>
      <c r="AC60" s="257" t="str">
        <f>IFERROR(__xludf.DUMMYFUNCTION("""COMPUTED_VALUE"""),"--")</f>
        <v>--</v>
      </c>
      <c r="AD60" s="257" t="str">
        <f>IFERROR(__xludf.DUMMYFUNCTION("""COMPUTED_VALUE"""),"--")</f>
        <v>--</v>
      </c>
      <c r="AE60" s="257" t="str">
        <f>IFERROR(__xludf.DUMMYFUNCTION("""COMPUTED_VALUE"""),"--")</f>
        <v>--</v>
      </c>
      <c r="AF60" s="257" t="str">
        <f>IFERROR(__xludf.DUMMYFUNCTION("""COMPUTED_VALUE"""),"--")</f>
        <v>--</v>
      </c>
      <c r="AG60" s="257" t="str">
        <f>IFERROR(__xludf.DUMMYFUNCTION("""COMPUTED_VALUE"""),"--")</f>
        <v>--</v>
      </c>
      <c r="AH60" s="257" t="str">
        <f>IFERROR(__xludf.DUMMYFUNCTION("""COMPUTED_VALUE"""),"--")</f>
        <v>--</v>
      </c>
    </row>
    <row r="61">
      <c r="A61" s="328">
        <f>IFERROR(__xludf.DUMMYFUNCTION("""COMPUTED_VALUE"""),44128.0)</f>
        <v>44128</v>
      </c>
      <c r="B61" s="329">
        <f>IFERROR(__xludf.DUMMYFUNCTION("""COMPUTED_VALUE"""),361.0)</f>
        <v>361</v>
      </c>
      <c r="C61" s="329">
        <f>IFERROR(__xludf.DUMMYFUNCTION("""COMPUTED_VALUE"""),473.0)</f>
        <v>473</v>
      </c>
      <c r="D61" s="329">
        <f>IFERROR(__xludf.DUMMYFUNCTION("""COMPUTED_VALUE"""),41691.0)</f>
        <v>41691</v>
      </c>
      <c r="E61" s="329">
        <f>IFERROR(__xludf.DUMMYFUNCTION("""COMPUTED_VALUE"""),10254.0)</f>
        <v>10254</v>
      </c>
      <c r="F61" s="257">
        <f>IFERROR(__xludf.DUMMYFUNCTION("""COMPUTED_VALUE"""),1025249.0)</f>
        <v>1025249</v>
      </c>
      <c r="G61" s="257">
        <f>IFERROR(__xludf.DUMMYFUNCTION("""COMPUTED_VALUE"""),10615.0)</f>
        <v>10615</v>
      </c>
      <c r="H61" s="257">
        <f>IFERROR(__xludf.DUMMYFUNCTION("""COMPUTED_VALUE"""),1066940.0)</f>
        <v>1066940</v>
      </c>
      <c r="I61" s="329">
        <f>IFERROR(__xludf.DUMMYFUNCTION("""COMPUTED_VALUE"""),336.0)</f>
        <v>336</v>
      </c>
      <c r="J61" s="329">
        <f>IFERROR(__xludf.DUMMYFUNCTION("""COMPUTED_VALUE"""),427.0)</f>
        <v>427</v>
      </c>
      <c r="K61" s="329">
        <f>IFERROR(__xludf.DUMMYFUNCTION("""COMPUTED_VALUE"""),30975.0)</f>
        <v>30975</v>
      </c>
      <c r="L61" s="329">
        <f>IFERROR(__xludf.DUMMYFUNCTION("""COMPUTED_VALUE"""),2088.0)</f>
        <v>2088</v>
      </c>
      <c r="M61" s="329">
        <f>IFERROR(__xludf.DUMMYFUNCTION("""COMPUTED_VALUE"""),350723.0)</f>
        <v>350723</v>
      </c>
      <c r="N61" s="329">
        <f>IFERROR(__xludf.DUMMYFUNCTION("""COMPUTED_VALUE"""),381698.0)</f>
        <v>381698</v>
      </c>
      <c r="O61" s="329">
        <f>IFERROR(__xludf.DUMMYFUNCTION("""COMPUTED_VALUE"""),17.0)</f>
        <v>17</v>
      </c>
      <c r="P61" s="329">
        <f>IFERROR(__xludf.DUMMYFUNCTION("""COMPUTED_VALUE"""),3150.0)</f>
        <v>3150</v>
      </c>
      <c r="Q61" s="329">
        <f>IFERROR(__xludf.DUMMYFUNCTION("""COMPUTED_VALUE"""),11.0)</f>
        <v>11</v>
      </c>
      <c r="R61" s="329">
        <f>IFERROR(__xludf.DUMMYFUNCTION("""COMPUTED_VALUE"""),2590.0)</f>
        <v>2590</v>
      </c>
      <c r="S61" s="329">
        <f>IFERROR(__xludf.DUMMYFUNCTION("""COMPUTED_VALUE"""),0.0)</f>
        <v>0</v>
      </c>
      <c r="T61" s="329">
        <f>IFERROR(__xludf.DUMMYFUNCTION("""COMPUTED_VALUE"""),391.0)</f>
        <v>391</v>
      </c>
      <c r="U61" s="329">
        <f>IFERROR(__xludf.DUMMYFUNCTION("""COMPUTED_VALUE"""),169.0)</f>
        <v>169</v>
      </c>
      <c r="V61" s="329">
        <f>IFERROR(__xludf.DUMMYFUNCTION("""COMPUTED_VALUE"""),165.0)</f>
        <v>165</v>
      </c>
      <c r="W61" s="329">
        <f>IFERROR(__xludf.DUMMYFUNCTION("""COMPUTED_VALUE"""),14.0)</f>
        <v>14</v>
      </c>
      <c r="X61" s="329">
        <f>IFERROR(__xludf.DUMMYFUNCTION("""COMPUTED_VALUE"""),8.0)</f>
        <v>8</v>
      </c>
      <c r="Y61" s="329">
        <f>IFERROR(__xludf.DUMMYFUNCTION("""COMPUTED_VALUE"""),1.0)</f>
        <v>1</v>
      </c>
      <c r="Z61" s="329">
        <f>IFERROR(__xludf.DUMMYFUNCTION("""COMPUTED_VALUE"""),1191.0)</f>
        <v>1191</v>
      </c>
      <c r="AA61" s="257" t="str">
        <f>IFERROR(__xludf.DUMMYFUNCTION("""COMPUTED_VALUE"""),"--")</f>
        <v>--</v>
      </c>
      <c r="AB61" s="257" t="str">
        <f>IFERROR(__xludf.DUMMYFUNCTION("""COMPUTED_VALUE"""),"--")</f>
        <v>--</v>
      </c>
      <c r="AC61" s="257" t="str">
        <f>IFERROR(__xludf.DUMMYFUNCTION("""COMPUTED_VALUE"""),"--")</f>
        <v>--</v>
      </c>
      <c r="AD61" s="257" t="str">
        <f>IFERROR(__xludf.DUMMYFUNCTION("""COMPUTED_VALUE"""),"--")</f>
        <v>--</v>
      </c>
      <c r="AE61" s="257" t="str">
        <f>IFERROR(__xludf.DUMMYFUNCTION("""COMPUTED_VALUE"""),"--")</f>
        <v>--</v>
      </c>
      <c r="AF61" s="257" t="str">
        <f>IFERROR(__xludf.DUMMYFUNCTION("""COMPUTED_VALUE"""),"--")</f>
        <v>--</v>
      </c>
      <c r="AG61" s="257" t="str">
        <f>IFERROR(__xludf.DUMMYFUNCTION("""COMPUTED_VALUE"""),"--")</f>
        <v>--</v>
      </c>
      <c r="AH61" s="257" t="str">
        <f>IFERROR(__xludf.DUMMYFUNCTION("""COMPUTED_VALUE"""),"--")</f>
        <v>--</v>
      </c>
    </row>
    <row r="62">
      <c r="A62" s="328">
        <f>IFERROR(__xludf.DUMMYFUNCTION("""COMPUTED_VALUE"""),44129.0)</f>
        <v>44129</v>
      </c>
      <c r="B62" s="329">
        <f>IFERROR(__xludf.DUMMYFUNCTION("""COMPUTED_VALUE"""),236.0)</f>
        <v>236</v>
      </c>
      <c r="C62" s="329">
        <f>IFERROR(__xludf.DUMMYFUNCTION("""COMPUTED_VALUE"""),371.0)</f>
        <v>371</v>
      </c>
      <c r="D62" s="329">
        <f>IFERROR(__xludf.DUMMYFUNCTION("""COMPUTED_VALUE"""),41927.0)</f>
        <v>41927</v>
      </c>
      <c r="E62" s="329">
        <f>IFERROR(__xludf.DUMMYFUNCTION("""COMPUTED_VALUE"""),4765.0)</f>
        <v>4765</v>
      </c>
      <c r="F62" s="257">
        <f>IFERROR(__xludf.DUMMYFUNCTION("""COMPUTED_VALUE"""),1030014.0)</f>
        <v>1030014</v>
      </c>
      <c r="G62" s="257">
        <f>IFERROR(__xludf.DUMMYFUNCTION("""COMPUTED_VALUE"""),5001.0)</f>
        <v>5001</v>
      </c>
      <c r="H62" s="257">
        <f>IFERROR(__xludf.DUMMYFUNCTION("""COMPUTED_VALUE"""),1071941.0)</f>
        <v>1071941</v>
      </c>
      <c r="I62" s="329">
        <f>IFERROR(__xludf.DUMMYFUNCTION("""COMPUTED_VALUE"""),211.0)</f>
        <v>211</v>
      </c>
      <c r="J62" s="329">
        <f>IFERROR(__xludf.DUMMYFUNCTION("""COMPUTED_VALUE"""),336.0)</f>
        <v>336</v>
      </c>
      <c r="K62" s="329">
        <f>IFERROR(__xludf.DUMMYFUNCTION("""COMPUTED_VALUE"""),31186.0)</f>
        <v>31186</v>
      </c>
      <c r="L62" s="329">
        <f>IFERROR(__xludf.DUMMYFUNCTION("""COMPUTED_VALUE"""),1341.0)</f>
        <v>1341</v>
      </c>
      <c r="M62" s="329">
        <f>IFERROR(__xludf.DUMMYFUNCTION("""COMPUTED_VALUE"""),352064.0)</f>
        <v>352064</v>
      </c>
      <c r="N62" s="329">
        <f>IFERROR(__xludf.DUMMYFUNCTION("""COMPUTED_VALUE"""),383250.0)</f>
        <v>383250</v>
      </c>
      <c r="O62" s="329">
        <f>IFERROR(__xludf.DUMMYFUNCTION("""COMPUTED_VALUE"""),16.0)</f>
        <v>16</v>
      </c>
      <c r="P62" s="329">
        <f>IFERROR(__xludf.DUMMYFUNCTION("""COMPUTED_VALUE"""),3166.0)</f>
        <v>3166</v>
      </c>
      <c r="Q62" s="329">
        <f>IFERROR(__xludf.DUMMYFUNCTION("""COMPUTED_VALUE"""),15.0)</f>
        <v>15</v>
      </c>
      <c r="R62" s="329">
        <f>IFERROR(__xludf.DUMMYFUNCTION("""COMPUTED_VALUE"""),2605.0)</f>
        <v>2605</v>
      </c>
      <c r="S62" s="329">
        <f>IFERROR(__xludf.DUMMYFUNCTION("""COMPUTED_VALUE"""),1.0)</f>
        <v>1</v>
      </c>
      <c r="T62" s="329">
        <f>IFERROR(__xludf.DUMMYFUNCTION("""COMPUTED_VALUE"""),392.0)</f>
        <v>392</v>
      </c>
      <c r="U62" s="329">
        <f>IFERROR(__xludf.DUMMYFUNCTION("""COMPUTED_VALUE"""),169.0)</f>
        <v>169</v>
      </c>
      <c r="V62" s="329">
        <f>IFERROR(__xludf.DUMMYFUNCTION("""COMPUTED_VALUE"""),167.0)</f>
        <v>167</v>
      </c>
      <c r="W62" s="329">
        <f>IFERROR(__xludf.DUMMYFUNCTION("""COMPUTED_VALUE"""),15.0)</f>
        <v>15</v>
      </c>
      <c r="X62" s="329">
        <f>IFERROR(__xludf.DUMMYFUNCTION("""COMPUTED_VALUE"""),8.0)</f>
        <v>8</v>
      </c>
      <c r="Y62" s="329">
        <f>IFERROR(__xludf.DUMMYFUNCTION("""COMPUTED_VALUE"""),2.0)</f>
        <v>2</v>
      </c>
      <c r="Z62" s="329">
        <f>IFERROR(__xludf.DUMMYFUNCTION("""COMPUTED_VALUE"""),1193.0)</f>
        <v>1193</v>
      </c>
      <c r="AA62" s="257" t="str">
        <f>IFERROR(__xludf.DUMMYFUNCTION("""COMPUTED_VALUE"""),"--")</f>
        <v>--</v>
      </c>
      <c r="AB62" s="257" t="str">
        <f>IFERROR(__xludf.DUMMYFUNCTION("""COMPUTED_VALUE"""),"--")</f>
        <v>--</v>
      </c>
      <c r="AC62" s="257" t="str">
        <f>IFERROR(__xludf.DUMMYFUNCTION("""COMPUTED_VALUE"""),"--")</f>
        <v>--</v>
      </c>
      <c r="AD62" s="257" t="str">
        <f>IFERROR(__xludf.DUMMYFUNCTION("""COMPUTED_VALUE"""),"--")</f>
        <v>--</v>
      </c>
      <c r="AE62" s="257" t="str">
        <f>IFERROR(__xludf.DUMMYFUNCTION("""COMPUTED_VALUE"""),"--")</f>
        <v>--</v>
      </c>
      <c r="AF62" s="257" t="str">
        <f>IFERROR(__xludf.DUMMYFUNCTION("""COMPUTED_VALUE"""),"--")</f>
        <v>--</v>
      </c>
      <c r="AG62" s="257" t="str">
        <f>IFERROR(__xludf.DUMMYFUNCTION("""COMPUTED_VALUE"""),"--")</f>
        <v>--</v>
      </c>
      <c r="AH62" s="257" t="str">
        <f>IFERROR(__xludf.DUMMYFUNCTION("""COMPUTED_VALUE"""),"--")</f>
        <v>--</v>
      </c>
    </row>
    <row r="63">
      <c r="A63" s="328">
        <f>IFERROR(__xludf.DUMMYFUNCTION("""COMPUTED_VALUE"""),44130.0)</f>
        <v>44130</v>
      </c>
      <c r="B63" s="329">
        <f>IFERROR(__xludf.DUMMYFUNCTION("""COMPUTED_VALUE"""),456.0)</f>
        <v>456</v>
      </c>
      <c r="C63" s="329">
        <f>IFERROR(__xludf.DUMMYFUNCTION("""COMPUTED_VALUE"""),351.0)</f>
        <v>351</v>
      </c>
      <c r="D63" s="329">
        <f>IFERROR(__xludf.DUMMYFUNCTION("""COMPUTED_VALUE"""),42383.0)</f>
        <v>42383</v>
      </c>
      <c r="E63" s="329">
        <f>IFERROR(__xludf.DUMMYFUNCTION("""COMPUTED_VALUE"""),9173.0)</f>
        <v>9173</v>
      </c>
      <c r="F63" s="257">
        <f>IFERROR(__xludf.DUMMYFUNCTION("""COMPUTED_VALUE"""),1039187.0)</f>
        <v>1039187</v>
      </c>
      <c r="G63" s="257">
        <f>IFERROR(__xludf.DUMMYFUNCTION("""COMPUTED_VALUE"""),9629.0)</f>
        <v>9629</v>
      </c>
      <c r="H63" s="257">
        <f>IFERROR(__xludf.DUMMYFUNCTION("""COMPUTED_VALUE"""),1081570.0)</f>
        <v>1081570</v>
      </c>
      <c r="I63" s="329">
        <f>IFERROR(__xludf.DUMMYFUNCTION("""COMPUTED_VALUE"""),401.0)</f>
        <v>401</v>
      </c>
      <c r="J63" s="329">
        <f>IFERROR(__xludf.DUMMYFUNCTION("""COMPUTED_VALUE"""),316.0)</f>
        <v>316</v>
      </c>
      <c r="K63" s="329">
        <f>IFERROR(__xludf.DUMMYFUNCTION("""COMPUTED_VALUE"""),31587.0)</f>
        <v>31587</v>
      </c>
      <c r="L63" s="329">
        <f>IFERROR(__xludf.DUMMYFUNCTION("""COMPUTED_VALUE"""),2758.0)</f>
        <v>2758</v>
      </c>
      <c r="M63" s="329">
        <f>IFERROR(__xludf.DUMMYFUNCTION("""COMPUTED_VALUE"""),354822.0)</f>
        <v>354822</v>
      </c>
      <c r="N63" s="329">
        <f>IFERROR(__xludf.DUMMYFUNCTION("""COMPUTED_VALUE"""),386409.0)</f>
        <v>386409</v>
      </c>
      <c r="O63" s="329">
        <f>IFERROR(__xludf.DUMMYFUNCTION("""COMPUTED_VALUE"""),28.0)</f>
        <v>28</v>
      </c>
      <c r="P63" s="329">
        <f>IFERROR(__xludf.DUMMYFUNCTION("""COMPUTED_VALUE"""),3194.0)</f>
        <v>3194</v>
      </c>
      <c r="Q63" s="329">
        <f>IFERROR(__xludf.DUMMYFUNCTION("""COMPUTED_VALUE"""),15.0)</f>
        <v>15</v>
      </c>
      <c r="R63" s="329">
        <f>IFERROR(__xludf.DUMMYFUNCTION("""COMPUTED_VALUE"""),2620.0)</f>
        <v>2620</v>
      </c>
      <c r="S63" s="329">
        <f>IFERROR(__xludf.DUMMYFUNCTION("""COMPUTED_VALUE"""),2.0)</f>
        <v>2</v>
      </c>
      <c r="T63" s="329">
        <f>IFERROR(__xludf.DUMMYFUNCTION("""COMPUTED_VALUE"""),394.0)</f>
        <v>394</v>
      </c>
      <c r="U63" s="329">
        <f>IFERROR(__xludf.DUMMYFUNCTION("""COMPUTED_VALUE"""),180.0)</f>
        <v>180</v>
      </c>
      <c r="V63" s="329">
        <f>IFERROR(__xludf.DUMMYFUNCTION("""COMPUTED_VALUE"""),173.0)</f>
        <v>173</v>
      </c>
      <c r="W63" s="329">
        <f>IFERROR(__xludf.DUMMYFUNCTION("""COMPUTED_VALUE"""),18.0)</f>
        <v>18</v>
      </c>
      <c r="X63" s="329">
        <f>IFERROR(__xludf.DUMMYFUNCTION("""COMPUTED_VALUE"""),8.0)</f>
        <v>8</v>
      </c>
      <c r="Y63" s="329">
        <f>IFERROR(__xludf.DUMMYFUNCTION("""COMPUTED_VALUE"""),3.0)</f>
        <v>3</v>
      </c>
      <c r="Z63" s="329">
        <f>IFERROR(__xludf.DUMMYFUNCTION("""COMPUTED_VALUE"""),1196.0)</f>
        <v>1196</v>
      </c>
      <c r="AA63" s="257" t="str">
        <f>IFERROR(__xludf.DUMMYFUNCTION("""COMPUTED_VALUE"""),"--")</f>
        <v>--</v>
      </c>
      <c r="AB63" s="257" t="str">
        <f>IFERROR(__xludf.DUMMYFUNCTION("""COMPUTED_VALUE"""),"--")</f>
        <v>--</v>
      </c>
      <c r="AC63" s="257" t="str">
        <f>IFERROR(__xludf.DUMMYFUNCTION("""COMPUTED_VALUE"""),"--")</f>
        <v>--</v>
      </c>
      <c r="AD63" s="257" t="str">
        <f>IFERROR(__xludf.DUMMYFUNCTION("""COMPUTED_VALUE"""),"--")</f>
        <v>--</v>
      </c>
      <c r="AE63" s="257" t="str">
        <f>IFERROR(__xludf.DUMMYFUNCTION("""COMPUTED_VALUE"""),"--")</f>
        <v>--</v>
      </c>
      <c r="AF63" s="257" t="str">
        <f>IFERROR(__xludf.DUMMYFUNCTION("""COMPUTED_VALUE"""),"--")</f>
        <v>--</v>
      </c>
      <c r="AG63" s="257" t="str">
        <f>IFERROR(__xludf.DUMMYFUNCTION("""COMPUTED_VALUE"""),"--")</f>
        <v>--</v>
      </c>
      <c r="AH63" s="257" t="str">
        <f>IFERROR(__xludf.DUMMYFUNCTION("""COMPUTED_VALUE"""),"--")</f>
        <v>--</v>
      </c>
    </row>
    <row r="64">
      <c r="A64" s="328">
        <f>IFERROR(__xludf.DUMMYFUNCTION("""COMPUTED_VALUE"""),44131.0)</f>
        <v>44131</v>
      </c>
      <c r="B64" s="329">
        <f>IFERROR(__xludf.DUMMYFUNCTION("""COMPUTED_VALUE"""),522.0)</f>
        <v>522</v>
      </c>
      <c r="C64" s="329">
        <f>IFERROR(__xludf.DUMMYFUNCTION("""COMPUTED_VALUE"""),405.0)</f>
        <v>405</v>
      </c>
      <c r="D64" s="329">
        <f>IFERROR(__xludf.DUMMYFUNCTION("""COMPUTED_VALUE"""),42905.0)</f>
        <v>42905</v>
      </c>
      <c r="E64" s="329">
        <f>IFERROR(__xludf.DUMMYFUNCTION("""COMPUTED_VALUE"""),13996.0)</f>
        <v>13996</v>
      </c>
      <c r="F64" s="257">
        <f>IFERROR(__xludf.DUMMYFUNCTION("""COMPUTED_VALUE"""),1053183.0)</f>
        <v>1053183</v>
      </c>
      <c r="G64" s="257">
        <f>IFERROR(__xludf.DUMMYFUNCTION("""COMPUTED_VALUE"""),14518.0)</f>
        <v>14518</v>
      </c>
      <c r="H64" s="257">
        <f>IFERROR(__xludf.DUMMYFUNCTION("""COMPUTED_VALUE"""),1096088.0)</f>
        <v>1096088</v>
      </c>
      <c r="I64" s="329">
        <f>IFERROR(__xludf.DUMMYFUNCTION("""COMPUTED_VALUE"""),455.0)</f>
        <v>455</v>
      </c>
      <c r="J64" s="329">
        <f>IFERROR(__xludf.DUMMYFUNCTION("""COMPUTED_VALUE"""),356.0)</f>
        <v>356</v>
      </c>
      <c r="K64" s="329">
        <f>IFERROR(__xludf.DUMMYFUNCTION("""COMPUTED_VALUE"""),32042.0)</f>
        <v>32042</v>
      </c>
      <c r="L64" s="329">
        <f>IFERROR(__xludf.DUMMYFUNCTION("""COMPUTED_VALUE"""),2220.0)</f>
        <v>2220</v>
      </c>
      <c r="M64" s="329">
        <f>IFERROR(__xludf.DUMMYFUNCTION("""COMPUTED_VALUE"""),357042.0)</f>
        <v>357042</v>
      </c>
      <c r="N64" s="329">
        <f>IFERROR(__xludf.DUMMYFUNCTION("""COMPUTED_VALUE"""),389084.0)</f>
        <v>389084</v>
      </c>
      <c r="O64" s="329">
        <f>IFERROR(__xludf.DUMMYFUNCTION("""COMPUTED_VALUE"""),28.0)</f>
        <v>28</v>
      </c>
      <c r="P64" s="329">
        <f>IFERROR(__xludf.DUMMYFUNCTION("""COMPUTED_VALUE"""),3222.0)</f>
        <v>3222</v>
      </c>
      <c r="Q64" s="329">
        <f>IFERROR(__xludf.DUMMYFUNCTION("""COMPUTED_VALUE"""),14.0)</f>
        <v>14</v>
      </c>
      <c r="R64" s="329">
        <f>IFERROR(__xludf.DUMMYFUNCTION("""COMPUTED_VALUE"""),2634.0)</f>
        <v>2634</v>
      </c>
      <c r="S64" s="329">
        <f>IFERROR(__xludf.DUMMYFUNCTION("""COMPUTED_VALUE"""),2.0)</f>
        <v>2</v>
      </c>
      <c r="T64" s="329">
        <f>IFERROR(__xludf.DUMMYFUNCTION("""COMPUTED_VALUE"""),396.0)</f>
        <v>396</v>
      </c>
      <c r="U64" s="329">
        <f>IFERROR(__xludf.DUMMYFUNCTION("""COMPUTED_VALUE"""),192.0)</f>
        <v>192</v>
      </c>
      <c r="V64" s="329">
        <f>IFERROR(__xludf.DUMMYFUNCTION("""COMPUTED_VALUE"""),180.0)</f>
        <v>180</v>
      </c>
      <c r="W64" s="329">
        <f>IFERROR(__xludf.DUMMYFUNCTION("""COMPUTED_VALUE"""),18.0)</f>
        <v>18</v>
      </c>
      <c r="X64" s="329">
        <f>IFERROR(__xludf.DUMMYFUNCTION("""COMPUTED_VALUE"""),9.0)</f>
        <v>9</v>
      </c>
      <c r="Y64" s="329">
        <f>IFERROR(__xludf.DUMMYFUNCTION("""COMPUTED_VALUE"""),5.0)</f>
        <v>5</v>
      </c>
      <c r="Z64" s="329">
        <f>IFERROR(__xludf.DUMMYFUNCTION("""COMPUTED_VALUE"""),1201.0)</f>
        <v>1201</v>
      </c>
      <c r="AA64" s="257" t="str">
        <f>IFERROR(__xludf.DUMMYFUNCTION("""COMPUTED_VALUE"""),"--")</f>
        <v>--</v>
      </c>
      <c r="AB64" s="257" t="str">
        <f>IFERROR(__xludf.DUMMYFUNCTION("""COMPUTED_VALUE"""),"--")</f>
        <v>--</v>
      </c>
      <c r="AC64" s="257" t="str">
        <f>IFERROR(__xludf.DUMMYFUNCTION("""COMPUTED_VALUE"""),"--")</f>
        <v>--</v>
      </c>
      <c r="AD64" s="257" t="str">
        <f>IFERROR(__xludf.DUMMYFUNCTION("""COMPUTED_VALUE"""),"--")</f>
        <v>--</v>
      </c>
      <c r="AE64" s="257" t="str">
        <f>IFERROR(__xludf.DUMMYFUNCTION("""COMPUTED_VALUE"""),"--")</f>
        <v>--</v>
      </c>
      <c r="AF64" s="257" t="str">
        <f>IFERROR(__xludf.DUMMYFUNCTION("""COMPUTED_VALUE"""),"--")</f>
        <v>--</v>
      </c>
      <c r="AG64" s="257" t="str">
        <f>IFERROR(__xludf.DUMMYFUNCTION("""COMPUTED_VALUE"""),"--")</f>
        <v>--</v>
      </c>
      <c r="AH64" s="257" t="str">
        <f>IFERROR(__xludf.DUMMYFUNCTION("""COMPUTED_VALUE"""),"--")</f>
        <v>--</v>
      </c>
    </row>
    <row r="65">
      <c r="A65" s="328">
        <f>IFERROR(__xludf.DUMMYFUNCTION("""COMPUTED_VALUE"""),44132.0)</f>
        <v>44132</v>
      </c>
      <c r="B65" s="329">
        <f>IFERROR(__xludf.DUMMYFUNCTION("""COMPUTED_VALUE"""),469.0)</f>
        <v>469</v>
      </c>
      <c r="C65" s="329">
        <f>IFERROR(__xludf.DUMMYFUNCTION("""COMPUTED_VALUE"""),482.0)</f>
        <v>482</v>
      </c>
      <c r="D65" s="329">
        <f>IFERROR(__xludf.DUMMYFUNCTION("""COMPUTED_VALUE"""),43374.0)</f>
        <v>43374</v>
      </c>
      <c r="E65" s="329">
        <f>IFERROR(__xludf.DUMMYFUNCTION("""COMPUTED_VALUE"""),15228.0)</f>
        <v>15228</v>
      </c>
      <c r="F65" s="257">
        <f>IFERROR(__xludf.DUMMYFUNCTION("""COMPUTED_VALUE"""),1068411.0)</f>
        <v>1068411</v>
      </c>
      <c r="G65" s="257">
        <f>IFERROR(__xludf.DUMMYFUNCTION("""COMPUTED_VALUE"""),15697.0)</f>
        <v>15697</v>
      </c>
      <c r="H65" s="257">
        <f>IFERROR(__xludf.DUMMYFUNCTION("""COMPUTED_VALUE"""),1111785.0)</f>
        <v>1111785</v>
      </c>
      <c r="I65" s="329">
        <f>IFERROR(__xludf.DUMMYFUNCTION("""COMPUTED_VALUE"""),410.0)</f>
        <v>410</v>
      </c>
      <c r="J65" s="329">
        <f>IFERROR(__xludf.DUMMYFUNCTION("""COMPUTED_VALUE"""),422.0)</f>
        <v>422</v>
      </c>
      <c r="K65" s="329">
        <f>IFERROR(__xludf.DUMMYFUNCTION("""COMPUTED_VALUE"""),32452.0)</f>
        <v>32452</v>
      </c>
      <c r="L65" s="329">
        <f>IFERROR(__xludf.DUMMYFUNCTION("""COMPUTED_VALUE"""),2494.0)</f>
        <v>2494</v>
      </c>
      <c r="M65" s="329">
        <f>IFERROR(__xludf.DUMMYFUNCTION("""COMPUTED_VALUE"""),359536.0)</f>
        <v>359536</v>
      </c>
      <c r="N65" s="329">
        <f>IFERROR(__xludf.DUMMYFUNCTION("""COMPUTED_VALUE"""),391988.0)</f>
        <v>391988</v>
      </c>
      <c r="O65" s="329">
        <f>IFERROR(__xludf.DUMMYFUNCTION("""COMPUTED_VALUE"""),24.0)</f>
        <v>24</v>
      </c>
      <c r="P65" s="329">
        <f>IFERROR(__xludf.DUMMYFUNCTION("""COMPUTED_VALUE"""),3246.0)</f>
        <v>3246</v>
      </c>
      <c r="Q65" s="329">
        <f>IFERROR(__xludf.DUMMYFUNCTION("""COMPUTED_VALUE"""),25.0)</f>
        <v>25</v>
      </c>
      <c r="R65" s="329">
        <f>IFERROR(__xludf.DUMMYFUNCTION("""COMPUTED_VALUE"""),2659.0)</f>
        <v>2659</v>
      </c>
      <c r="S65" s="329">
        <f>IFERROR(__xludf.DUMMYFUNCTION("""COMPUTED_VALUE"""),1.0)</f>
        <v>1</v>
      </c>
      <c r="T65" s="329">
        <f>IFERROR(__xludf.DUMMYFUNCTION("""COMPUTED_VALUE"""),397.0)</f>
        <v>397</v>
      </c>
      <c r="U65" s="329">
        <f>IFERROR(__xludf.DUMMYFUNCTION("""COMPUTED_VALUE"""),190.0)</f>
        <v>190</v>
      </c>
      <c r="V65" s="329">
        <f>IFERROR(__xludf.DUMMYFUNCTION("""COMPUTED_VALUE"""),187.0)</f>
        <v>187</v>
      </c>
      <c r="W65" s="329">
        <f>IFERROR(__xludf.DUMMYFUNCTION("""COMPUTED_VALUE"""),17.0)</f>
        <v>17</v>
      </c>
      <c r="X65" s="329">
        <f>IFERROR(__xludf.DUMMYFUNCTION("""COMPUTED_VALUE"""),9.0)</f>
        <v>9</v>
      </c>
      <c r="Y65" s="329">
        <f>IFERROR(__xludf.DUMMYFUNCTION("""COMPUTED_VALUE"""),3.0)</f>
        <v>3</v>
      </c>
      <c r="Z65" s="329">
        <f>IFERROR(__xludf.DUMMYFUNCTION("""COMPUTED_VALUE"""),1204.0)</f>
        <v>1204</v>
      </c>
      <c r="AA65" s="257" t="str">
        <f>IFERROR(__xludf.DUMMYFUNCTION("""COMPUTED_VALUE"""),"--")</f>
        <v>--</v>
      </c>
      <c r="AB65" s="257" t="str">
        <f>IFERROR(__xludf.DUMMYFUNCTION("""COMPUTED_VALUE"""),"--")</f>
        <v>--</v>
      </c>
      <c r="AC65" s="257" t="str">
        <f>IFERROR(__xludf.DUMMYFUNCTION("""COMPUTED_VALUE"""),"--")</f>
        <v>--</v>
      </c>
      <c r="AD65" s="257" t="str">
        <f>IFERROR(__xludf.DUMMYFUNCTION("""COMPUTED_VALUE"""),"--")</f>
        <v>--</v>
      </c>
      <c r="AE65" s="257" t="str">
        <f>IFERROR(__xludf.DUMMYFUNCTION("""COMPUTED_VALUE"""),"--")</f>
        <v>--</v>
      </c>
      <c r="AF65" s="257" t="str">
        <f>IFERROR(__xludf.DUMMYFUNCTION("""COMPUTED_VALUE"""),"--")</f>
        <v>--</v>
      </c>
      <c r="AG65" s="257" t="str">
        <f>IFERROR(__xludf.DUMMYFUNCTION("""COMPUTED_VALUE"""),"--")</f>
        <v>--</v>
      </c>
      <c r="AH65" s="257" t="str">
        <f>IFERROR(__xludf.DUMMYFUNCTION("""COMPUTED_VALUE"""),"--")</f>
        <v>--</v>
      </c>
    </row>
    <row r="66">
      <c r="A66" s="328">
        <f>IFERROR(__xludf.DUMMYFUNCTION("""COMPUTED_VALUE"""),44133.0)</f>
        <v>44133</v>
      </c>
      <c r="B66" s="329">
        <f>IFERROR(__xludf.DUMMYFUNCTION("""COMPUTED_VALUE"""),612.0)</f>
        <v>612</v>
      </c>
      <c r="C66" s="329">
        <f>IFERROR(__xludf.DUMMYFUNCTION("""COMPUTED_VALUE"""),534.0)</f>
        <v>534</v>
      </c>
      <c r="D66" s="329">
        <f>IFERROR(__xludf.DUMMYFUNCTION("""COMPUTED_VALUE"""),43986.0)</f>
        <v>43986</v>
      </c>
      <c r="E66" s="329">
        <f>IFERROR(__xludf.DUMMYFUNCTION("""COMPUTED_VALUE"""),16262.0)</f>
        <v>16262</v>
      </c>
      <c r="F66" s="257">
        <f>IFERROR(__xludf.DUMMYFUNCTION("""COMPUTED_VALUE"""),1084673.0)</f>
        <v>1084673</v>
      </c>
      <c r="G66" s="257">
        <f>IFERROR(__xludf.DUMMYFUNCTION("""COMPUTED_VALUE"""),16874.0)</f>
        <v>16874</v>
      </c>
      <c r="H66" s="257">
        <f>IFERROR(__xludf.DUMMYFUNCTION("""COMPUTED_VALUE"""),1128659.0)</f>
        <v>1128659</v>
      </c>
      <c r="I66" s="329">
        <f>IFERROR(__xludf.DUMMYFUNCTION("""COMPUTED_VALUE"""),527.0)</f>
        <v>527</v>
      </c>
      <c r="J66" s="329">
        <f>IFERROR(__xludf.DUMMYFUNCTION("""COMPUTED_VALUE"""),464.0)</f>
        <v>464</v>
      </c>
      <c r="K66" s="329">
        <f>IFERROR(__xludf.DUMMYFUNCTION("""COMPUTED_VALUE"""),32979.0)</f>
        <v>32979</v>
      </c>
      <c r="L66" s="329">
        <f>IFERROR(__xludf.DUMMYFUNCTION("""COMPUTED_VALUE"""),2926.0)</f>
        <v>2926</v>
      </c>
      <c r="M66" s="329">
        <f>IFERROR(__xludf.DUMMYFUNCTION("""COMPUTED_VALUE"""),362462.0)</f>
        <v>362462</v>
      </c>
      <c r="N66" s="329">
        <f>IFERROR(__xludf.DUMMYFUNCTION("""COMPUTED_VALUE"""),395441.0)</f>
        <v>395441</v>
      </c>
      <c r="O66" s="329">
        <f>IFERROR(__xludf.DUMMYFUNCTION("""COMPUTED_VALUE"""),20.0)</f>
        <v>20</v>
      </c>
      <c r="P66" s="329">
        <f>IFERROR(__xludf.DUMMYFUNCTION("""COMPUTED_VALUE"""),3266.0)</f>
        <v>3266</v>
      </c>
      <c r="Q66" s="329">
        <f>IFERROR(__xludf.DUMMYFUNCTION("""COMPUTED_VALUE"""),22.0)</f>
        <v>22</v>
      </c>
      <c r="R66" s="329">
        <f>IFERROR(__xludf.DUMMYFUNCTION("""COMPUTED_VALUE"""),2681.0)</f>
        <v>2681</v>
      </c>
      <c r="S66" s="329">
        <f>IFERROR(__xludf.DUMMYFUNCTION("""COMPUTED_VALUE"""),3.0)</f>
        <v>3</v>
      </c>
      <c r="T66" s="329">
        <f>IFERROR(__xludf.DUMMYFUNCTION("""COMPUTED_VALUE"""),400.0)</f>
        <v>400</v>
      </c>
      <c r="U66" s="329">
        <f>IFERROR(__xludf.DUMMYFUNCTION("""COMPUTED_VALUE"""),185.0)</f>
        <v>185</v>
      </c>
      <c r="V66" s="329">
        <f>IFERROR(__xludf.DUMMYFUNCTION("""COMPUTED_VALUE"""),189.0)</f>
        <v>189</v>
      </c>
      <c r="W66" s="329">
        <f>IFERROR(__xludf.DUMMYFUNCTION("""COMPUTED_VALUE"""),19.0)</f>
        <v>19</v>
      </c>
      <c r="X66" s="329">
        <f>IFERROR(__xludf.DUMMYFUNCTION("""COMPUTED_VALUE"""),11.0)</f>
        <v>11</v>
      </c>
      <c r="Y66" s="329">
        <f>IFERROR(__xludf.DUMMYFUNCTION("""COMPUTED_VALUE"""),4.0)</f>
        <v>4</v>
      </c>
      <c r="Z66" s="329">
        <f>IFERROR(__xludf.DUMMYFUNCTION("""COMPUTED_VALUE"""),1208.0)</f>
        <v>1208</v>
      </c>
      <c r="AA66" s="257" t="str">
        <f>IFERROR(__xludf.DUMMYFUNCTION("""COMPUTED_VALUE"""),"--")</f>
        <v>--</v>
      </c>
      <c r="AB66" s="257" t="str">
        <f>IFERROR(__xludf.DUMMYFUNCTION("""COMPUTED_VALUE"""),"--")</f>
        <v>--</v>
      </c>
      <c r="AC66" s="257" t="str">
        <f>IFERROR(__xludf.DUMMYFUNCTION("""COMPUTED_VALUE"""),"--")</f>
        <v>--</v>
      </c>
      <c r="AD66" s="257" t="str">
        <f>IFERROR(__xludf.DUMMYFUNCTION("""COMPUTED_VALUE"""),"--")</f>
        <v>--</v>
      </c>
      <c r="AE66" s="257" t="str">
        <f>IFERROR(__xludf.DUMMYFUNCTION("""COMPUTED_VALUE"""),"--")</f>
        <v>--</v>
      </c>
      <c r="AF66" s="257" t="str">
        <f>IFERROR(__xludf.DUMMYFUNCTION("""COMPUTED_VALUE"""),"--")</f>
        <v>--</v>
      </c>
      <c r="AG66" s="257" t="str">
        <f>IFERROR(__xludf.DUMMYFUNCTION("""COMPUTED_VALUE"""),"--")</f>
        <v>--</v>
      </c>
      <c r="AH66" s="257" t="str">
        <f>IFERROR(__xludf.DUMMYFUNCTION("""COMPUTED_VALUE"""),"--")</f>
        <v>--</v>
      </c>
    </row>
    <row r="67">
      <c r="A67" s="328">
        <f>IFERROR(__xludf.DUMMYFUNCTION("""COMPUTED_VALUE"""),44134.0)</f>
        <v>44134</v>
      </c>
      <c r="B67" s="329">
        <f>IFERROR(__xludf.DUMMYFUNCTION("""COMPUTED_VALUE"""),565.0)</f>
        <v>565</v>
      </c>
      <c r="C67" s="329">
        <f>IFERROR(__xludf.DUMMYFUNCTION("""COMPUTED_VALUE"""),549.0)</f>
        <v>549</v>
      </c>
      <c r="D67" s="329">
        <f>IFERROR(__xludf.DUMMYFUNCTION("""COMPUTED_VALUE"""),44551.0)</f>
        <v>44551</v>
      </c>
      <c r="E67" s="329">
        <f>IFERROR(__xludf.DUMMYFUNCTION("""COMPUTED_VALUE"""),14866.0)</f>
        <v>14866</v>
      </c>
      <c r="F67" s="257">
        <f>IFERROR(__xludf.DUMMYFUNCTION("""COMPUTED_VALUE"""),1099539.0)</f>
        <v>1099539</v>
      </c>
      <c r="G67" s="257">
        <f>IFERROR(__xludf.DUMMYFUNCTION("""COMPUTED_VALUE"""),15431.0)</f>
        <v>15431</v>
      </c>
      <c r="H67" s="257">
        <f>IFERROR(__xludf.DUMMYFUNCTION("""COMPUTED_VALUE"""),1144090.0)</f>
        <v>1144090</v>
      </c>
      <c r="I67" s="329">
        <f>IFERROR(__xludf.DUMMYFUNCTION("""COMPUTED_VALUE"""),471.0)</f>
        <v>471</v>
      </c>
      <c r="J67" s="329">
        <f>IFERROR(__xludf.DUMMYFUNCTION("""COMPUTED_VALUE"""),469.0)</f>
        <v>469</v>
      </c>
      <c r="K67" s="329">
        <f>IFERROR(__xludf.DUMMYFUNCTION("""COMPUTED_VALUE"""),33450.0)</f>
        <v>33450</v>
      </c>
      <c r="L67" s="329">
        <f>IFERROR(__xludf.DUMMYFUNCTION("""COMPUTED_VALUE"""),2740.0)</f>
        <v>2740</v>
      </c>
      <c r="M67" s="329">
        <f>IFERROR(__xludf.DUMMYFUNCTION("""COMPUTED_VALUE"""),365202.0)</f>
        <v>365202</v>
      </c>
      <c r="N67" s="329">
        <f>IFERROR(__xludf.DUMMYFUNCTION("""COMPUTED_VALUE"""),398652.0)</f>
        <v>398652</v>
      </c>
      <c r="O67" s="329">
        <f>IFERROR(__xludf.DUMMYFUNCTION("""COMPUTED_VALUE"""),21.0)</f>
        <v>21</v>
      </c>
      <c r="P67" s="329">
        <f>IFERROR(__xludf.DUMMYFUNCTION("""COMPUTED_VALUE"""),3287.0)</f>
        <v>3287</v>
      </c>
      <c r="Q67" s="329">
        <f>IFERROR(__xludf.DUMMYFUNCTION("""COMPUTED_VALUE"""),21.0)</f>
        <v>21</v>
      </c>
      <c r="R67" s="329">
        <f>IFERROR(__xludf.DUMMYFUNCTION("""COMPUTED_VALUE"""),2702.0)</f>
        <v>2702</v>
      </c>
      <c r="S67" s="329">
        <f>IFERROR(__xludf.DUMMYFUNCTION("""COMPUTED_VALUE"""),5.0)</f>
        <v>5</v>
      </c>
      <c r="T67" s="329">
        <f>IFERROR(__xludf.DUMMYFUNCTION("""COMPUTED_VALUE"""),405.0)</f>
        <v>405</v>
      </c>
      <c r="U67" s="329">
        <f>IFERROR(__xludf.DUMMYFUNCTION("""COMPUTED_VALUE"""),180.0)</f>
        <v>180</v>
      </c>
      <c r="V67" s="329">
        <f>IFERROR(__xludf.DUMMYFUNCTION("""COMPUTED_VALUE"""),185.0)</f>
        <v>185</v>
      </c>
      <c r="W67" s="329">
        <f>IFERROR(__xludf.DUMMYFUNCTION("""COMPUTED_VALUE"""),19.0)</f>
        <v>19</v>
      </c>
      <c r="X67" s="329">
        <f>IFERROR(__xludf.DUMMYFUNCTION("""COMPUTED_VALUE"""),9.0)</f>
        <v>9</v>
      </c>
      <c r="Y67" s="329">
        <f>IFERROR(__xludf.DUMMYFUNCTION("""COMPUTED_VALUE"""),5.0)</f>
        <v>5</v>
      </c>
      <c r="Z67" s="329">
        <f>IFERROR(__xludf.DUMMYFUNCTION("""COMPUTED_VALUE"""),1213.0)</f>
        <v>1213</v>
      </c>
      <c r="AA67" s="257" t="str">
        <f>IFERROR(__xludf.DUMMYFUNCTION("""COMPUTED_VALUE"""),"--")</f>
        <v>--</v>
      </c>
      <c r="AB67" s="257" t="str">
        <f>IFERROR(__xludf.DUMMYFUNCTION("""COMPUTED_VALUE"""),"--")</f>
        <v>--</v>
      </c>
      <c r="AC67" s="257" t="str">
        <f>IFERROR(__xludf.DUMMYFUNCTION("""COMPUTED_VALUE"""),"--")</f>
        <v>--</v>
      </c>
      <c r="AD67" s="257" t="str">
        <f>IFERROR(__xludf.DUMMYFUNCTION("""COMPUTED_VALUE"""),"--")</f>
        <v>--</v>
      </c>
      <c r="AE67" s="257" t="str">
        <f>IFERROR(__xludf.DUMMYFUNCTION("""COMPUTED_VALUE"""),"--")</f>
        <v>--</v>
      </c>
      <c r="AF67" s="257" t="str">
        <f>IFERROR(__xludf.DUMMYFUNCTION("""COMPUTED_VALUE"""),"--")</f>
        <v>--</v>
      </c>
      <c r="AG67" s="257" t="str">
        <f>IFERROR(__xludf.DUMMYFUNCTION("""COMPUTED_VALUE"""),"--")</f>
        <v>--</v>
      </c>
      <c r="AH67" s="257" t="str">
        <f>IFERROR(__xludf.DUMMYFUNCTION("""COMPUTED_VALUE"""),"--")</f>
        <v>--</v>
      </c>
    </row>
    <row r="68">
      <c r="A68" s="328">
        <f>IFERROR(__xludf.DUMMYFUNCTION("""COMPUTED_VALUE"""),44135.0)</f>
        <v>44135</v>
      </c>
      <c r="B68" s="329">
        <f>IFERROR(__xludf.DUMMYFUNCTION("""COMPUTED_VALUE"""),602.0)</f>
        <v>602</v>
      </c>
      <c r="C68" s="329">
        <f>IFERROR(__xludf.DUMMYFUNCTION("""COMPUTED_VALUE"""),593.0)</f>
        <v>593</v>
      </c>
      <c r="D68" s="329">
        <f>IFERROR(__xludf.DUMMYFUNCTION("""COMPUTED_VALUE"""),45153.0)</f>
        <v>45153</v>
      </c>
      <c r="E68" s="329">
        <f>IFERROR(__xludf.DUMMYFUNCTION("""COMPUTED_VALUE"""),11821.0)</f>
        <v>11821</v>
      </c>
      <c r="F68" s="257">
        <f>IFERROR(__xludf.DUMMYFUNCTION("""COMPUTED_VALUE"""),1111360.0)</f>
        <v>1111360</v>
      </c>
      <c r="G68" s="257">
        <f>IFERROR(__xludf.DUMMYFUNCTION("""COMPUTED_VALUE"""),12423.0)</f>
        <v>12423</v>
      </c>
      <c r="H68" s="257">
        <f>IFERROR(__xludf.DUMMYFUNCTION("""COMPUTED_VALUE"""),1156513.0)</f>
        <v>1156513</v>
      </c>
      <c r="I68" s="329">
        <f>IFERROR(__xludf.DUMMYFUNCTION("""COMPUTED_VALUE"""),486.0)</f>
        <v>486</v>
      </c>
      <c r="J68" s="329">
        <f>IFERROR(__xludf.DUMMYFUNCTION("""COMPUTED_VALUE"""),495.0)</f>
        <v>495</v>
      </c>
      <c r="K68" s="329">
        <f>IFERROR(__xludf.DUMMYFUNCTION("""COMPUTED_VALUE"""),33936.0)</f>
        <v>33936</v>
      </c>
      <c r="L68" s="329">
        <f>IFERROR(__xludf.DUMMYFUNCTION("""COMPUTED_VALUE"""),2255.0)</f>
        <v>2255</v>
      </c>
      <c r="M68" s="329">
        <f>IFERROR(__xludf.DUMMYFUNCTION("""COMPUTED_VALUE"""),367457.0)</f>
        <v>367457</v>
      </c>
      <c r="N68" s="329">
        <f>IFERROR(__xludf.DUMMYFUNCTION("""COMPUTED_VALUE"""),401393.0)</f>
        <v>401393</v>
      </c>
      <c r="O68" s="329">
        <f>IFERROR(__xludf.DUMMYFUNCTION("""COMPUTED_VALUE"""),32.0)</f>
        <v>32</v>
      </c>
      <c r="P68" s="329">
        <f>IFERROR(__xludf.DUMMYFUNCTION("""COMPUTED_VALUE"""),3319.0)</f>
        <v>3319</v>
      </c>
      <c r="Q68" s="329">
        <f>IFERROR(__xludf.DUMMYFUNCTION("""COMPUTED_VALUE"""),13.0)</f>
        <v>13</v>
      </c>
      <c r="R68" s="329">
        <f>IFERROR(__xludf.DUMMYFUNCTION("""COMPUTED_VALUE"""),2715.0)</f>
        <v>2715</v>
      </c>
      <c r="S68" s="329">
        <f>IFERROR(__xludf.DUMMYFUNCTION("""COMPUTED_VALUE"""),1.0)</f>
        <v>1</v>
      </c>
      <c r="T68" s="329">
        <f>IFERROR(__xludf.DUMMYFUNCTION("""COMPUTED_VALUE"""),406.0)</f>
        <v>406</v>
      </c>
      <c r="U68" s="329">
        <f>IFERROR(__xludf.DUMMYFUNCTION("""COMPUTED_VALUE"""),198.0)</f>
        <v>198</v>
      </c>
      <c r="V68" s="329">
        <f>IFERROR(__xludf.DUMMYFUNCTION("""COMPUTED_VALUE"""),188.0)</f>
        <v>188</v>
      </c>
      <c r="W68" s="329">
        <f>IFERROR(__xludf.DUMMYFUNCTION("""COMPUTED_VALUE"""),23.0)</f>
        <v>23</v>
      </c>
      <c r="X68" s="329">
        <f>IFERROR(__xludf.DUMMYFUNCTION("""COMPUTED_VALUE"""),10.0)</f>
        <v>10</v>
      </c>
      <c r="Y68" s="329">
        <f>IFERROR(__xludf.DUMMYFUNCTION("""COMPUTED_VALUE"""),3.0)</f>
        <v>3</v>
      </c>
      <c r="Z68" s="329">
        <f>IFERROR(__xludf.DUMMYFUNCTION("""COMPUTED_VALUE"""),1216.0)</f>
        <v>1216</v>
      </c>
      <c r="AA68" s="257" t="str">
        <f>IFERROR(__xludf.DUMMYFUNCTION("""COMPUTED_VALUE"""),"--")</f>
        <v>--</v>
      </c>
      <c r="AB68" s="257" t="str">
        <f>IFERROR(__xludf.DUMMYFUNCTION("""COMPUTED_VALUE"""),"--")</f>
        <v>--</v>
      </c>
      <c r="AC68" s="257" t="str">
        <f>IFERROR(__xludf.DUMMYFUNCTION("""COMPUTED_VALUE"""),"--")</f>
        <v>--</v>
      </c>
      <c r="AD68" s="257" t="str">
        <f>IFERROR(__xludf.DUMMYFUNCTION("""COMPUTED_VALUE"""),"--")</f>
        <v>--</v>
      </c>
      <c r="AE68" s="257" t="str">
        <f>IFERROR(__xludf.DUMMYFUNCTION("""COMPUTED_VALUE"""),"--")</f>
        <v>--</v>
      </c>
      <c r="AF68" s="257" t="str">
        <f>IFERROR(__xludf.DUMMYFUNCTION("""COMPUTED_VALUE"""),"--")</f>
        <v>--</v>
      </c>
      <c r="AG68" s="257" t="str">
        <f>IFERROR(__xludf.DUMMYFUNCTION("""COMPUTED_VALUE"""),"--")</f>
        <v>--</v>
      </c>
      <c r="AH68" s="257" t="str">
        <f>IFERROR(__xludf.DUMMYFUNCTION("""COMPUTED_VALUE"""),"--")</f>
        <v>--</v>
      </c>
    </row>
    <row r="69">
      <c r="A69" s="328">
        <f>IFERROR(__xludf.DUMMYFUNCTION("""COMPUTED_VALUE"""),44136.0)</f>
        <v>44136</v>
      </c>
      <c r="B69" s="329">
        <f>IFERROR(__xludf.DUMMYFUNCTION("""COMPUTED_VALUE"""),330.0)</f>
        <v>330</v>
      </c>
      <c r="C69" s="329">
        <f>IFERROR(__xludf.DUMMYFUNCTION("""COMPUTED_VALUE"""),499.0)</f>
        <v>499</v>
      </c>
      <c r="D69" s="329">
        <f>IFERROR(__xludf.DUMMYFUNCTION("""COMPUTED_VALUE"""),45483.0)</f>
        <v>45483</v>
      </c>
      <c r="E69" s="329">
        <f>IFERROR(__xludf.DUMMYFUNCTION("""COMPUTED_VALUE"""),5092.0)</f>
        <v>5092</v>
      </c>
      <c r="F69" s="257">
        <f>IFERROR(__xludf.DUMMYFUNCTION("""COMPUTED_VALUE"""),1116452.0)</f>
        <v>1116452</v>
      </c>
      <c r="G69" s="257">
        <f>IFERROR(__xludf.DUMMYFUNCTION("""COMPUTED_VALUE"""),5422.0)</f>
        <v>5422</v>
      </c>
      <c r="H69" s="257">
        <f>IFERROR(__xludf.DUMMYFUNCTION("""COMPUTED_VALUE"""),1161935.0)</f>
        <v>1161935</v>
      </c>
      <c r="I69" s="329">
        <f>IFERROR(__xludf.DUMMYFUNCTION("""COMPUTED_VALUE"""),275.0)</f>
        <v>275</v>
      </c>
      <c r="J69" s="329">
        <f>IFERROR(__xludf.DUMMYFUNCTION("""COMPUTED_VALUE"""),411.0)</f>
        <v>411</v>
      </c>
      <c r="K69" s="329">
        <f>IFERROR(__xludf.DUMMYFUNCTION("""COMPUTED_VALUE"""),34211.0)</f>
        <v>34211</v>
      </c>
      <c r="L69" s="329">
        <f>IFERROR(__xludf.DUMMYFUNCTION("""COMPUTED_VALUE"""),1167.0)</f>
        <v>1167</v>
      </c>
      <c r="M69" s="329">
        <f>IFERROR(__xludf.DUMMYFUNCTION("""COMPUTED_VALUE"""),368624.0)</f>
        <v>368624</v>
      </c>
      <c r="N69" s="329">
        <f>IFERROR(__xludf.DUMMYFUNCTION("""COMPUTED_VALUE"""),402835.0)</f>
        <v>402835</v>
      </c>
      <c r="O69" s="329">
        <f>IFERROR(__xludf.DUMMYFUNCTION("""COMPUTED_VALUE"""),22.0)</f>
        <v>22</v>
      </c>
      <c r="P69" s="329">
        <f>IFERROR(__xludf.DUMMYFUNCTION("""COMPUTED_VALUE"""),3341.0)</f>
        <v>3341</v>
      </c>
      <c r="Q69" s="329">
        <f>IFERROR(__xludf.DUMMYFUNCTION("""COMPUTED_VALUE"""),15.0)</f>
        <v>15</v>
      </c>
      <c r="R69" s="329">
        <f>IFERROR(__xludf.DUMMYFUNCTION("""COMPUTED_VALUE"""),2730.0)</f>
        <v>2730</v>
      </c>
      <c r="S69" s="329">
        <f>IFERROR(__xludf.DUMMYFUNCTION("""COMPUTED_VALUE"""),1.0)</f>
        <v>1</v>
      </c>
      <c r="T69" s="329">
        <f>IFERROR(__xludf.DUMMYFUNCTION("""COMPUTED_VALUE"""),407.0)</f>
        <v>407</v>
      </c>
      <c r="U69" s="329">
        <f>IFERROR(__xludf.DUMMYFUNCTION("""COMPUTED_VALUE"""),204.0)</f>
        <v>204</v>
      </c>
      <c r="V69" s="329">
        <f>IFERROR(__xludf.DUMMYFUNCTION("""COMPUTED_VALUE"""),194.0)</f>
        <v>194</v>
      </c>
      <c r="W69" s="329">
        <f>IFERROR(__xludf.DUMMYFUNCTION("""COMPUTED_VALUE"""),27.0)</f>
        <v>27</v>
      </c>
      <c r="X69" s="329">
        <f>IFERROR(__xludf.DUMMYFUNCTION("""COMPUTED_VALUE"""),13.0)</f>
        <v>13</v>
      </c>
      <c r="Y69" s="329">
        <f>IFERROR(__xludf.DUMMYFUNCTION("""COMPUTED_VALUE"""),4.0)</f>
        <v>4</v>
      </c>
      <c r="Z69" s="329">
        <f>IFERROR(__xludf.DUMMYFUNCTION("""COMPUTED_VALUE"""),1220.0)</f>
        <v>1220</v>
      </c>
      <c r="AA69" s="257" t="str">
        <f>IFERROR(__xludf.DUMMYFUNCTION("""COMPUTED_VALUE"""),"--")</f>
        <v>--</v>
      </c>
      <c r="AB69" s="257" t="str">
        <f>IFERROR(__xludf.DUMMYFUNCTION("""COMPUTED_VALUE"""),"--")</f>
        <v>--</v>
      </c>
      <c r="AC69" s="257" t="str">
        <f>IFERROR(__xludf.DUMMYFUNCTION("""COMPUTED_VALUE"""),"--")</f>
        <v>--</v>
      </c>
      <c r="AD69" s="257" t="str">
        <f>IFERROR(__xludf.DUMMYFUNCTION("""COMPUTED_VALUE"""),"--")</f>
        <v>--</v>
      </c>
      <c r="AE69" s="257" t="str">
        <f>IFERROR(__xludf.DUMMYFUNCTION("""COMPUTED_VALUE"""),"--")</f>
        <v>--</v>
      </c>
      <c r="AF69" s="257" t="str">
        <f>IFERROR(__xludf.DUMMYFUNCTION("""COMPUTED_VALUE"""),"--")</f>
        <v>--</v>
      </c>
      <c r="AG69" s="257" t="str">
        <f>IFERROR(__xludf.DUMMYFUNCTION("""COMPUTED_VALUE"""),"--")</f>
        <v>--</v>
      </c>
      <c r="AH69" s="257" t="str">
        <f>IFERROR(__xludf.DUMMYFUNCTION("""COMPUTED_VALUE"""),"--")</f>
        <v>--</v>
      </c>
    </row>
    <row r="70">
      <c r="A70" s="328">
        <f>IFERROR(__xludf.DUMMYFUNCTION("""COMPUTED_VALUE"""),44137.0)</f>
        <v>44137</v>
      </c>
      <c r="B70" s="329">
        <f>IFERROR(__xludf.DUMMYFUNCTION("""COMPUTED_VALUE"""),525.0)</f>
        <v>525</v>
      </c>
      <c r="C70" s="329">
        <f>IFERROR(__xludf.DUMMYFUNCTION("""COMPUTED_VALUE"""),486.0)</f>
        <v>486</v>
      </c>
      <c r="D70" s="329">
        <f>IFERROR(__xludf.DUMMYFUNCTION("""COMPUTED_VALUE"""),46008.0)</f>
        <v>46008</v>
      </c>
      <c r="E70" s="329">
        <f>IFERROR(__xludf.DUMMYFUNCTION("""COMPUTED_VALUE"""),9935.0)</f>
        <v>9935</v>
      </c>
      <c r="F70" s="257">
        <f>IFERROR(__xludf.DUMMYFUNCTION("""COMPUTED_VALUE"""),1126387.0)</f>
        <v>1126387</v>
      </c>
      <c r="G70" s="257">
        <f>IFERROR(__xludf.DUMMYFUNCTION("""COMPUTED_VALUE"""),10460.0)</f>
        <v>10460</v>
      </c>
      <c r="H70" s="257">
        <f>IFERROR(__xludf.DUMMYFUNCTION("""COMPUTED_VALUE"""),1172395.0)</f>
        <v>1172395</v>
      </c>
      <c r="I70" s="329">
        <f>IFERROR(__xludf.DUMMYFUNCTION("""COMPUTED_VALUE"""),456.0)</f>
        <v>456</v>
      </c>
      <c r="J70" s="329">
        <f>IFERROR(__xludf.DUMMYFUNCTION("""COMPUTED_VALUE"""),406.0)</f>
        <v>406</v>
      </c>
      <c r="K70" s="329">
        <f>IFERROR(__xludf.DUMMYFUNCTION("""COMPUTED_VALUE"""),34667.0)</f>
        <v>34667</v>
      </c>
      <c r="L70" s="329">
        <f>IFERROR(__xludf.DUMMYFUNCTION("""COMPUTED_VALUE"""),2744.0)</f>
        <v>2744</v>
      </c>
      <c r="M70" s="329">
        <f>IFERROR(__xludf.DUMMYFUNCTION("""COMPUTED_VALUE"""),371368.0)</f>
        <v>371368</v>
      </c>
      <c r="N70" s="329">
        <f>IFERROR(__xludf.DUMMYFUNCTION("""COMPUTED_VALUE"""),406035.0)</f>
        <v>406035</v>
      </c>
      <c r="O70" s="329">
        <f>IFERROR(__xludf.DUMMYFUNCTION("""COMPUTED_VALUE"""),38.0)</f>
        <v>38</v>
      </c>
      <c r="P70" s="329">
        <f>IFERROR(__xludf.DUMMYFUNCTION("""COMPUTED_VALUE"""),3379.0)</f>
        <v>3379</v>
      </c>
      <c r="Q70" s="329">
        <f>IFERROR(__xludf.DUMMYFUNCTION("""COMPUTED_VALUE"""),27.0)</f>
        <v>27</v>
      </c>
      <c r="R70" s="329">
        <f>IFERROR(__xludf.DUMMYFUNCTION("""COMPUTED_VALUE"""),2757.0)</f>
        <v>2757</v>
      </c>
      <c r="S70" s="329">
        <f>IFERROR(__xludf.DUMMYFUNCTION("""COMPUTED_VALUE"""),3.0)</f>
        <v>3</v>
      </c>
      <c r="T70" s="329">
        <f>IFERROR(__xludf.DUMMYFUNCTION("""COMPUTED_VALUE"""),410.0)</f>
        <v>410</v>
      </c>
      <c r="U70" s="329">
        <f>IFERROR(__xludf.DUMMYFUNCTION("""COMPUTED_VALUE"""),212.0)</f>
        <v>212</v>
      </c>
      <c r="V70" s="329">
        <f>IFERROR(__xludf.DUMMYFUNCTION("""COMPUTED_VALUE"""),205.0)</f>
        <v>205</v>
      </c>
      <c r="W70" s="329">
        <f>IFERROR(__xludf.DUMMYFUNCTION("""COMPUTED_VALUE"""),25.0)</f>
        <v>25</v>
      </c>
      <c r="X70" s="329">
        <f>IFERROR(__xludf.DUMMYFUNCTION("""COMPUTED_VALUE"""),13.0)</f>
        <v>13</v>
      </c>
      <c r="Y70" s="329">
        <f>IFERROR(__xludf.DUMMYFUNCTION("""COMPUTED_VALUE"""),6.0)</f>
        <v>6</v>
      </c>
      <c r="Z70" s="329">
        <f>IFERROR(__xludf.DUMMYFUNCTION("""COMPUTED_VALUE"""),1226.0)</f>
        <v>1226</v>
      </c>
      <c r="AA70" s="257" t="str">
        <f>IFERROR(__xludf.DUMMYFUNCTION("""COMPUTED_VALUE"""),"--")</f>
        <v>--</v>
      </c>
      <c r="AB70" s="257" t="str">
        <f>IFERROR(__xludf.DUMMYFUNCTION("""COMPUTED_VALUE"""),"--")</f>
        <v>--</v>
      </c>
      <c r="AC70" s="257" t="str">
        <f>IFERROR(__xludf.DUMMYFUNCTION("""COMPUTED_VALUE"""),"--")</f>
        <v>--</v>
      </c>
      <c r="AD70" s="257" t="str">
        <f>IFERROR(__xludf.DUMMYFUNCTION("""COMPUTED_VALUE"""),"--")</f>
        <v>--</v>
      </c>
      <c r="AE70" s="257" t="str">
        <f>IFERROR(__xludf.DUMMYFUNCTION("""COMPUTED_VALUE"""),"--")</f>
        <v>--</v>
      </c>
      <c r="AF70" s="257" t="str">
        <f>IFERROR(__xludf.DUMMYFUNCTION("""COMPUTED_VALUE"""),"--")</f>
        <v>--</v>
      </c>
      <c r="AG70" s="257" t="str">
        <f>IFERROR(__xludf.DUMMYFUNCTION("""COMPUTED_VALUE"""),"--")</f>
        <v>--</v>
      </c>
      <c r="AH70" s="257" t="str">
        <f>IFERROR(__xludf.DUMMYFUNCTION("""COMPUTED_VALUE"""),"--")</f>
        <v>--</v>
      </c>
    </row>
    <row r="71">
      <c r="A71" s="328">
        <f>IFERROR(__xludf.DUMMYFUNCTION("""COMPUTED_VALUE"""),44138.0)</f>
        <v>44138</v>
      </c>
      <c r="B71" s="329">
        <f>IFERROR(__xludf.DUMMYFUNCTION("""COMPUTED_VALUE"""),601.0)</f>
        <v>601</v>
      </c>
      <c r="C71" s="329">
        <f>IFERROR(__xludf.DUMMYFUNCTION("""COMPUTED_VALUE"""),485.0)</f>
        <v>485</v>
      </c>
      <c r="D71" s="329">
        <f>IFERROR(__xludf.DUMMYFUNCTION("""COMPUTED_VALUE"""),46609.0)</f>
        <v>46609</v>
      </c>
      <c r="E71" s="329">
        <f>IFERROR(__xludf.DUMMYFUNCTION("""COMPUTED_VALUE"""),13041.0)</f>
        <v>13041</v>
      </c>
      <c r="F71" s="257">
        <f>IFERROR(__xludf.DUMMYFUNCTION("""COMPUTED_VALUE"""),1139428.0)</f>
        <v>1139428</v>
      </c>
      <c r="G71" s="257">
        <f>IFERROR(__xludf.DUMMYFUNCTION("""COMPUTED_VALUE"""),13642.0)</f>
        <v>13642</v>
      </c>
      <c r="H71" s="257">
        <f>IFERROR(__xludf.DUMMYFUNCTION("""COMPUTED_VALUE"""),1186037.0)</f>
        <v>1186037</v>
      </c>
      <c r="I71" s="329">
        <f>IFERROR(__xludf.DUMMYFUNCTION("""COMPUTED_VALUE"""),529.0)</f>
        <v>529</v>
      </c>
      <c r="J71" s="329">
        <f>IFERROR(__xludf.DUMMYFUNCTION("""COMPUTED_VALUE"""),420.0)</f>
        <v>420</v>
      </c>
      <c r="K71" s="329">
        <f>IFERROR(__xludf.DUMMYFUNCTION("""COMPUTED_VALUE"""),35196.0)</f>
        <v>35196</v>
      </c>
      <c r="L71" s="329">
        <f>IFERROR(__xludf.DUMMYFUNCTION("""COMPUTED_VALUE"""),2323.0)</f>
        <v>2323</v>
      </c>
      <c r="M71" s="329">
        <f>IFERROR(__xludf.DUMMYFUNCTION("""COMPUTED_VALUE"""),373691.0)</f>
        <v>373691</v>
      </c>
      <c r="N71" s="329">
        <f>IFERROR(__xludf.DUMMYFUNCTION("""COMPUTED_VALUE"""),408887.0)</f>
        <v>408887</v>
      </c>
      <c r="O71" s="329">
        <f>IFERROR(__xludf.DUMMYFUNCTION("""COMPUTED_VALUE"""),33.0)</f>
        <v>33</v>
      </c>
      <c r="P71" s="329">
        <f>IFERROR(__xludf.DUMMYFUNCTION("""COMPUTED_VALUE"""),3412.0)</f>
        <v>3412</v>
      </c>
      <c r="Q71" s="329">
        <f>IFERROR(__xludf.DUMMYFUNCTION("""COMPUTED_VALUE"""),25.0)</f>
        <v>25</v>
      </c>
      <c r="R71" s="329">
        <f>IFERROR(__xludf.DUMMYFUNCTION("""COMPUTED_VALUE"""),2782.0)</f>
        <v>2782</v>
      </c>
      <c r="S71" s="329">
        <f>IFERROR(__xludf.DUMMYFUNCTION("""COMPUTED_VALUE"""),1.0)</f>
        <v>1</v>
      </c>
      <c r="T71" s="329">
        <f>IFERROR(__xludf.DUMMYFUNCTION("""COMPUTED_VALUE"""),411.0)</f>
        <v>411</v>
      </c>
      <c r="U71" s="329">
        <f>IFERROR(__xludf.DUMMYFUNCTION("""COMPUTED_VALUE"""),219.0)</f>
        <v>219</v>
      </c>
      <c r="V71" s="329">
        <f>IFERROR(__xludf.DUMMYFUNCTION("""COMPUTED_VALUE"""),212.0)</f>
        <v>212</v>
      </c>
      <c r="W71" s="329">
        <f>IFERROR(__xludf.DUMMYFUNCTION("""COMPUTED_VALUE"""),25.0)</f>
        <v>25</v>
      </c>
      <c r="X71" s="329">
        <f>IFERROR(__xludf.DUMMYFUNCTION("""COMPUTED_VALUE"""),13.0)</f>
        <v>13</v>
      </c>
      <c r="Y71" s="329">
        <f>IFERROR(__xludf.DUMMYFUNCTION("""COMPUTED_VALUE"""),1.0)</f>
        <v>1</v>
      </c>
      <c r="Z71" s="329">
        <f>IFERROR(__xludf.DUMMYFUNCTION("""COMPUTED_VALUE"""),1227.0)</f>
        <v>1227</v>
      </c>
      <c r="AA71" s="257" t="str">
        <f>IFERROR(__xludf.DUMMYFUNCTION("""COMPUTED_VALUE"""),"--")</f>
        <v>--</v>
      </c>
      <c r="AB71" s="257" t="str">
        <f>IFERROR(__xludf.DUMMYFUNCTION("""COMPUTED_VALUE"""),"--")</f>
        <v>--</v>
      </c>
      <c r="AC71" s="257" t="str">
        <f>IFERROR(__xludf.DUMMYFUNCTION("""COMPUTED_VALUE"""),"--")</f>
        <v>--</v>
      </c>
      <c r="AD71" s="257" t="str">
        <f>IFERROR(__xludf.DUMMYFUNCTION("""COMPUTED_VALUE"""),"--")</f>
        <v>--</v>
      </c>
      <c r="AE71" s="257" t="str">
        <f>IFERROR(__xludf.DUMMYFUNCTION("""COMPUTED_VALUE"""),"--")</f>
        <v>--</v>
      </c>
      <c r="AF71" s="257" t="str">
        <f>IFERROR(__xludf.DUMMYFUNCTION("""COMPUTED_VALUE"""),"--")</f>
        <v>--</v>
      </c>
      <c r="AG71" s="257" t="str">
        <f>IFERROR(__xludf.DUMMYFUNCTION("""COMPUTED_VALUE"""),"--")</f>
        <v>--</v>
      </c>
      <c r="AH71" s="257" t="str">
        <f>IFERROR(__xludf.DUMMYFUNCTION("""COMPUTED_VALUE"""),"--")</f>
        <v>--</v>
      </c>
    </row>
    <row r="72">
      <c r="A72" s="328">
        <f>IFERROR(__xludf.DUMMYFUNCTION("""COMPUTED_VALUE"""),44139.0)</f>
        <v>44139</v>
      </c>
      <c r="B72" s="329">
        <f>IFERROR(__xludf.DUMMYFUNCTION("""COMPUTED_VALUE"""),689.0)</f>
        <v>689</v>
      </c>
      <c r="C72" s="329">
        <f>IFERROR(__xludf.DUMMYFUNCTION("""COMPUTED_VALUE"""),605.0)</f>
        <v>605</v>
      </c>
      <c r="D72" s="329">
        <f>IFERROR(__xludf.DUMMYFUNCTION("""COMPUTED_VALUE"""),47298.0)</f>
        <v>47298</v>
      </c>
      <c r="E72" s="329">
        <f>IFERROR(__xludf.DUMMYFUNCTION("""COMPUTED_VALUE"""),16106.0)</f>
        <v>16106</v>
      </c>
      <c r="F72" s="257">
        <f>IFERROR(__xludf.DUMMYFUNCTION("""COMPUTED_VALUE"""),1155534.0)</f>
        <v>1155534</v>
      </c>
      <c r="G72" s="257">
        <f>IFERROR(__xludf.DUMMYFUNCTION("""COMPUTED_VALUE"""),16795.0)</f>
        <v>16795</v>
      </c>
      <c r="H72" s="257">
        <f>IFERROR(__xludf.DUMMYFUNCTION("""COMPUTED_VALUE"""),1202832.0)</f>
        <v>1202832</v>
      </c>
      <c r="I72" s="329">
        <f>IFERROR(__xludf.DUMMYFUNCTION("""COMPUTED_VALUE"""),639.0)</f>
        <v>639</v>
      </c>
      <c r="J72" s="329">
        <f>IFERROR(__xludf.DUMMYFUNCTION("""COMPUTED_VALUE"""),541.0)</f>
        <v>541</v>
      </c>
      <c r="K72" s="329">
        <f>IFERROR(__xludf.DUMMYFUNCTION("""COMPUTED_VALUE"""),35835.0)</f>
        <v>35835</v>
      </c>
      <c r="L72" s="329">
        <f>IFERROR(__xludf.DUMMYFUNCTION("""COMPUTED_VALUE"""),2720.0)</f>
        <v>2720</v>
      </c>
      <c r="M72" s="329">
        <f>IFERROR(__xludf.DUMMYFUNCTION("""COMPUTED_VALUE"""),376411.0)</f>
        <v>376411</v>
      </c>
      <c r="N72" s="329">
        <f>IFERROR(__xludf.DUMMYFUNCTION("""COMPUTED_VALUE"""),412246.0)</f>
        <v>412246</v>
      </c>
      <c r="O72" s="329">
        <f>IFERROR(__xludf.DUMMYFUNCTION("""COMPUTED_VALUE"""),32.0)</f>
        <v>32</v>
      </c>
      <c r="P72" s="329">
        <f>IFERROR(__xludf.DUMMYFUNCTION("""COMPUTED_VALUE"""),3444.0)</f>
        <v>3444</v>
      </c>
      <c r="Q72" s="329">
        <f>IFERROR(__xludf.DUMMYFUNCTION("""COMPUTED_VALUE"""),25.0)</f>
        <v>25</v>
      </c>
      <c r="R72" s="329">
        <f>IFERROR(__xludf.DUMMYFUNCTION("""COMPUTED_VALUE"""),2807.0)</f>
        <v>2807</v>
      </c>
      <c r="S72" s="329">
        <f>IFERROR(__xludf.DUMMYFUNCTION("""COMPUTED_VALUE"""),2.0)</f>
        <v>2</v>
      </c>
      <c r="T72" s="329">
        <f>IFERROR(__xludf.DUMMYFUNCTION("""COMPUTED_VALUE"""),413.0)</f>
        <v>413</v>
      </c>
      <c r="U72" s="329">
        <f>IFERROR(__xludf.DUMMYFUNCTION("""COMPUTED_VALUE"""),224.0)</f>
        <v>224</v>
      </c>
      <c r="V72" s="329">
        <f>IFERROR(__xludf.DUMMYFUNCTION("""COMPUTED_VALUE"""),218.0)</f>
        <v>218</v>
      </c>
      <c r="W72" s="329">
        <f>IFERROR(__xludf.DUMMYFUNCTION("""COMPUTED_VALUE"""),26.0)</f>
        <v>26</v>
      </c>
      <c r="X72" s="329">
        <f>IFERROR(__xludf.DUMMYFUNCTION("""COMPUTED_VALUE"""),12.0)</f>
        <v>12</v>
      </c>
      <c r="Y72" s="329">
        <f>IFERROR(__xludf.DUMMYFUNCTION("""COMPUTED_VALUE"""),4.0)</f>
        <v>4</v>
      </c>
      <c r="Z72" s="329">
        <f>IFERROR(__xludf.DUMMYFUNCTION("""COMPUTED_VALUE"""),1231.0)</f>
        <v>1231</v>
      </c>
      <c r="AA72" s="257" t="str">
        <f>IFERROR(__xludf.DUMMYFUNCTION("""COMPUTED_VALUE"""),"--")</f>
        <v>--</v>
      </c>
      <c r="AB72" s="257" t="str">
        <f>IFERROR(__xludf.DUMMYFUNCTION("""COMPUTED_VALUE"""),"--")</f>
        <v>--</v>
      </c>
      <c r="AC72" s="257" t="str">
        <f>IFERROR(__xludf.DUMMYFUNCTION("""COMPUTED_VALUE"""),"--")</f>
        <v>--</v>
      </c>
      <c r="AD72" s="257" t="str">
        <f>IFERROR(__xludf.DUMMYFUNCTION("""COMPUTED_VALUE"""),"--")</f>
        <v>--</v>
      </c>
      <c r="AE72" s="257" t="str">
        <f>IFERROR(__xludf.DUMMYFUNCTION("""COMPUTED_VALUE"""),"--")</f>
        <v>--</v>
      </c>
      <c r="AF72" s="257" t="str">
        <f>IFERROR(__xludf.DUMMYFUNCTION("""COMPUTED_VALUE"""),"--")</f>
        <v>--</v>
      </c>
      <c r="AG72" s="257" t="str">
        <f>IFERROR(__xludf.DUMMYFUNCTION("""COMPUTED_VALUE"""),"--")</f>
        <v>--</v>
      </c>
      <c r="AH72" s="257" t="str">
        <f>IFERROR(__xludf.DUMMYFUNCTION("""COMPUTED_VALUE"""),"--")</f>
        <v>--</v>
      </c>
    </row>
    <row r="73">
      <c r="A73" s="328">
        <f>IFERROR(__xludf.DUMMYFUNCTION("""COMPUTED_VALUE"""),44140.0)</f>
        <v>44140</v>
      </c>
      <c r="B73" s="329">
        <f>IFERROR(__xludf.DUMMYFUNCTION("""COMPUTED_VALUE"""),768.0)</f>
        <v>768</v>
      </c>
      <c r="C73" s="329">
        <f>IFERROR(__xludf.DUMMYFUNCTION("""COMPUTED_VALUE"""),686.0)</f>
        <v>686</v>
      </c>
      <c r="D73" s="329">
        <f>IFERROR(__xludf.DUMMYFUNCTION("""COMPUTED_VALUE"""),48066.0)</f>
        <v>48066</v>
      </c>
      <c r="E73" s="329">
        <f>IFERROR(__xludf.DUMMYFUNCTION("""COMPUTED_VALUE"""),16597.0)</f>
        <v>16597</v>
      </c>
      <c r="F73" s="257">
        <f>IFERROR(__xludf.DUMMYFUNCTION("""COMPUTED_VALUE"""),1172131.0)</f>
        <v>1172131</v>
      </c>
      <c r="G73" s="257">
        <f>IFERROR(__xludf.DUMMYFUNCTION("""COMPUTED_VALUE"""),17365.0)</f>
        <v>17365</v>
      </c>
      <c r="H73" s="257">
        <f>IFERROR(__xludf.DUMMYFUNCTION("""COMPUTED_VALUE"""),1220197.0)</f>
        <v>1220197</v>
      </c>
      <c r="I73" s="329">
        <f>IFERROR(__xludf.DUMMYFUNCTION("""COMPUTED_VALUE"""),682.0)</f>
        <v>682</v>
      </c>
      <c r="J73" s="329">
        <f>IFERROR(__xludf.DUMMYFUNCTION("""COMPUTED_VALUE"""),617.0)</f>
        <v>617</v>
      </c>
      <c r="K73" s="329">
        <f>IFERROR(__xludf.DUMMYFUNCTION("""COMPUTED_VALUE"""),36517.0)</f>
        <v>36517</v>
      </c>
      <c r="L73" s="329">
        <f>IFERROR(__xludf.DUMMYFUNCTION("""COMPUTED_VALUE"""),2644.0)</f>
        <v>2644</v>
      </c>
      <c r="M73" s="329">
        <f>IFERROR(__xludf.DUMMYFUNCTION("""COMPUTED_VALUE"""),379055.0)</f>
        <v>379055</v>
      </c>
      <c r="N73" s="329">
        <f>IFERROR(__xludf.DUMMYFUNCTION("""COMPUTED_VALUE"""),415572.0)</f>
        <v>415572</v>
      </c>
      <c r="O73" s="329">
        <f>IFERROR(__xludf.DUMMYFUNCTION("""COMPUTED_VALUE"""),46.0)</f>
        <v>46</v>
      </c>
      <c r="P73" s="329">
        <f>IFERROR(__xludf.DUMMYFUNCTION("""COMPUTED_VALUE"""),3490.0)</f>
        <v>3490</v>
      </c>
      <c r="Q73" s="329">
        <f>IFERROR(__xludf.DUMMYFUNCTION("""COMPUTED_VALUE"""),35.0)</f>
        <v>35</v>
      </c>
      <c r="R73" s="329">
        <f>IFERROR(__xludf.DUMMYFUNCTION("""COMPUTED_VALUE"""),2842.0)</f>
        <v>2842</v>
      </c>
      <c r="S73" s="329">
        <f>IFERROR(__xludf.DUMMYFUNCTION("""COMPUTED_VALUE"""),1.0)</f>
        <v>1</v>
      </c>
      <c r="T73" s="329">
        <f>IFERROR(__xludf.DUMMYFUNCTION("""COMPUTED_VALUE"""),414.0)</f>
        <v>414</v>
      </c>
      <c r="U73" s="329">
        <f>IFERROR(__xludf.DUMMYFUNCTION("""COMPUTED_VALUE"""),234.0)</f>
        <v>234</v>
      </c>
      <c r="V73" s="329">
        <f>IFERROR(__xludf.DUMMYFUNCTION("""COMPUTED_VALUE"""),226.0)</f>
        <v>226</v>
      </c>
      <c r="W73" s="329">
        <f>IFERROR(__xludf.DUMMYFUNCTION("""COMPUTED_VALUE"""),25.0)</f>
        <v>25</v>
      </c>
      <c r="X73" s="329">
        <f>IFERROR(__xludf.DUMMYFUNCTION("""COMPUTED_VALUE"""),14.0)</f>
        <v>14</v>
      </c>
      <c r="Y73" s="329">
        <f>IFERROR(__xludf.DUMMYFUNCTION("""COMPUTED_VALUE"""),4.0)</f>
        <v>4</v>
      </c>
      <c r="Z73" s="329">
        <f>IFERROR(__xludf.DUMMYFUNCTION("""COMPUTED_VALUE"""),1235.0)</f>
        <v>1235</v>
      </c>
      <c r="AA73" s="257" t="str">
        <f>IFERROR(__xludf.DUMMYFUNCTION("""COMPUTED_VALUE"""),"--")</f>
        <v>--</v>
      </c>
      <c r="AB73" s="257" t="str">
        <f>IFERROR(__xludf.DUMMYFUNCTION("""COMPUTED_VALUE"""),"--")</f>
        <v>--</v>
      </c>
      <c r="AC73" s="257" t="str">
        <f>IFERROR(__xludf.DUMMYFUNCTION("""COMPUTED_VALUE"""),"--")</f>
        <v>--</v>
      </c>
      <c r="AD73" s="257" t="str">
        <f>IFERROR(__xludf.DUMMYFUNCTION("""COMPUTED_VALUE"""),"--")</f>
        <v>--</v>
      </c>
      <c r="AE73" s="257" t="str">
        <f>IFERROR(__xludf.DUMMYFUNCTION("""COMPUTED_VALUE"""),"--")</f>
        <v>--</v>
      </c>
      <c r="AF73" s="257" t="str">
        <f>IFERROR(__xludf.DUMMYFUNCTION("""COMPUTED_VALUE"""),"--")</f>
        <v>--</v>
      </c>
      <c r="AG73" s="257" t="str">
        <f>IFERROR(__xludf.DUMMYFUNCTION("""COMPUTED_VALUE"""),"--")</f>
        <v>--</v>
      </c>
      <c r="AH73" s="257" t="str">
        <f>IFERROR(__xludf.DUMMYFUNCTION("""COMPUTED_VALUE"""),"--")</f>
        <v>--</v>
      </c>
    </row>
    <row r="74">
      <c r="A74" s="328">
        <f>IFERROR(__xludf.DUMMYFUNCTION("""COMPUTED_VALUE"""),44141.0)</f>
        <v>44141</v>
      </c>
      <c r="B74" s="329">
        <f>IFERROR(__xludf.DUMMYFUNCTION("""COMPUTED_VALUE"""),774.0)</f>
        <v>774</v>
      </c>
      <c r="C74" s="329">
        <f>IFERROR(__xludf.DUMMYFUNCTION("""COMPUTED_VALUE"""),744.0)</f>
        <v>744</v>
      </c>
      <c r="D74" s="329">
        <f>IFERROR(__xludf.DUMMYFUNCTION("""COMPUTED_VALUE"""),48840.0)</f>
        <v>48840</v>
      </c>
      <c r="E74" s="329">
        <f>IFERROR(__xludf.DUMMYFUNCTION("""COMPUTED_VALUE"""),16029.0)</f>
        <v>16029</v>
      </c>
      <c r="F74" s="257">
        <f>IFERROR(__xludf.DUMMYFUNCTION("""COMPUTED_VALUE"""),1188160.0)</f>
        <v>1188160</v>
      </c>
      <c r="G74" s="257">
        <f>IFERROR(__xludf.DUMMYFUNCTION("""COMPUTED_VALUE"""),16803.0)</f>
        <v>16803</v>
      </c>
      <c r="H74" s="257">
        <f>IFERROR(__xludf.DUMMYFUNCTION("""COMPUTED_VALUE"""),1237000.0)</f>
        <v>1237000</v>
      </c>
      <c r="I74" s="329">
        <f>IFERROR(__xludf.DUMMYFUNCTION("""COMPUTED_VALUE"""),692.0)</f>
        <v>692</v>
      </c>
      <c r="J74" s="329">
        <f>IFERROR(__xludf.DUMMYFUNCTION("""COMPUTED_VALUE"""),671.0)</f>
        <v>671</v>
      </c>
      <c r="K74" s="329">
        <f>IFERROR(__xludf.DUMMYFUNCTION("""COMPUTED_VALUE"""),37209.0)</f>
        <v>37209</v>
      </c>
      <c r="L74" s="329">
        <f>IFERROR(__xludf.DUMMYFUNCTION("""COMPUTED_VALUE"""),2829.0)</f>
        <v>2829</v>
      </c>
      <c r="M74" s="329">
        <f>IFERROR(__xludf.DUMMYFUNCTION("""COMPUTED_VALUE"""),381884.0)</f>
        <v>381884</v>
      </c>
      <c r="N74" s="329">
        <f>IFERROR(__xludf.DUMMYFUNCTION("""COMPUTED_VALUE"""),419093.0)</f>
        <v>419093</v>
      </c>
      <c r="O74" s="329">
        <f>IFERROR(__xludf.DUMMYFUNCTION("""COMPUTED_VALUE"""),43.0)</f>
        <v>43</v>
      </c>
      <c r="P74" s="329">
        <f>IFERROR(__xludf.DUMMYFUNCTION("""COMPUTED_VALUE"""),3533.0)</f>
        <v>3533</v>
      </c>
      <c r="Q74" s="329">
        <f>IFERROR(__xludf.DUMMYFUNCTION("""COMPUTED_VALUE"""),31.0)</f>
        <v>31</v>
      </c>
      <c r="R74" s="329">
        <f>IFERROR(__xludf.DUMMYFUNCTION("""COMPUTED_VALUE"""),2873.0)</f>
        <v>2873</v>
      </c>
      <c r="S74" s="329">
        <f>IFERROR(__xludf.DUMMYFUNCTION("""COMPUTED_VALUE"""),1.0)</f>
        <v>1</v>
      </c>
      <c r="T74" s="329">
        <f>IFERROR(__xludf.DUMMYFUNCTION("""COMPUTED_VALUE"""),415.0)</f>
        <v>415</v>
      </c>
      <c r="U74" s="329">
        <f>IFERROR(__xludf.DUMMYFUNCTION("""COMPUTED_VALUE"""),245.0)</f>
        <v>245</v>
      </c>
      <c r="V74" s="329">
        <f>IFERROR(__xludf.DUMMYFUNCTION("""COMPUTED_VALUE"""),234.0)</f>
        <v>234</v>
      </c>
      <c r="W74" s="329">
        <f>IFERROR(__xludf.DUMMYFUNCTION("""COMPUTED_VALUE"""),29.0)</f>
        <v>29</v>
      </c>
      <c r="X74" s="329">
        <f>IFERROR(__xludf.DUMMYFUNCTION("""COMPUTED_VALUE"""),17.0)</f>
        <v>17</v>
      </c>
      <c r="Y74" s="329">
        <f>IFERROR(__xludf.DUMMYFUNCTION("""COMPUTED_VALUE"""),5.0)</f>
        <v>5</v>
      </c>
      <c r="Z74" s="329">
        <f>IFERROR(__xludf.DUMMYFUNCTION("""COMPUTED_VALUE"""),1240.0)</f>
        <v>1240</v>
      </c>
      <c r="AA74" s="257" t="str">
        <f>IFERROR(__xludf.DUMMYFUNCTION("""COMPUTED_VALUE"""),"--")</f>
        <v>--</v>
      </c>
      <c r="AB74" s="257" t="str">
        <f>IFERROR(__xludf.DUMMYFUNCTION("""COMPUTED_VALUE"""),"--")</f>
        <v>--</v>
      </c>
      <c r="AC74" s="257" t="str">
        <f>IFERROR(__xludf.DUMMYFUNCTION("""COMPUTED_VALUE"""),"--")</f>
        <v>--</v>
      </c>
      <c r="AD74" s="257" t="str">
        <f>IFERROR(__xludf.DUMMYFUNCTION("""COMPUTED_VALUE"""),"--")</f>
        <v>--</v>
      </c>
      <c r="AE74" s="257" t="str">
        <f>IFERROR(__xludf.DUMMYFUNCTION("""COMPUTED_VALUE"""),"--")</f>
        <v>--</v>
      </c>
      <c r="AF74" s="257" t="str">
        <f>IFERROR(__xludf.DUMMYFUNCTION("""COMPUTED_VALUE"""),"--")</f>
        <v>--</v>
      </c>
      <c r="AG74" s="257" t="str">
        <f>IFERROR(__xludf.DUMMYFUNCTION("""COMPUTED_VALUE"""),"--")</f>
        <v>--</v>
      </c>
      <c r="AH74" s="257" t="str">
        <f>IFERROR(__xludf.DUMMYFUNCTION("""COMPUTED_VALUE"""),"--")</f>
        <v>--</v>
      </c>
    </row>
    <row r="75">
      <c r="A75" s="328">
        <f>IFERROR(__xludf.DUMMYFUNCTION("""COMPUTED_VALUE"""),44142.0)</f>
        <v>44142</v>
      </c>
      <c r="B75" s="329">
        <f>IFERROR(__xludf.DUMMYFUNCTION("""COMPUTED_VALUE"""),603.0)</f>
        <v>603</v>
      </c>
      <c r="C75" s="329">
        <f>IFERROR(__xludf.DUMMYFUNCTION("""COMPUTED_VALUE"""),715.0)</f>
        <v>715</v>
      </c>
      <c r="D75" s="329">
        <f>IFERROR(__xludf.DUMMYFUNCTION("""COMPUTED_VALUE"""),49443.0)</f>
        <v>49443</v>
      </c>
      <c r="E75" s="329">
        <f>IFERROR(__xludf.DUMMYFUNCTION("""COMPUTED_VALUE"""),13652.0)</f>
        <v>13652</v>
      </c>
      <c r="F75" s="257">
        <f>IFERROR(__xludf.DUMMYFUNCTION("""COMPUTED_VALUE"""),1201812.0)</f>
        <v>1201812</v>
      </c>
      <c r="G75" s="257">
        <f>IFERROR(__xludf.DUMMYFUNCTION("""COMPUTED_VALUE"""),14255.0)</f>
        <v>14255</v>
      </c>
      <c r="H75" s="257">
        <f>IFERROR(__xludf.DUMMYFUNCTION("""COMPUTED_VALUE"""),1251255.0)</f>
        <v>1251255</v>
      </c>
      <c r="I75" s="329">
        <f>IFERROR(__xludf.DUMMYFUNCTION("""COMPUTED_VALUE"""),575.0)</f>
        <v>575</v>
      </c>
      <c r="J75" s="329">
        <f>IFERROR(__xludf.DUMMYFUNCTION("""COMPUTED_VALUE"""),650.0)</f>
        <v>650</v>
      </c>
      <c r="K75" s="329">
        <f>IFERROR(__xludf.DUMMYFUNCTION("""COMPUTED_VALUE"""),37784.0)</f>
        <v>37784</v>
      </c>
      <c r="L75" s="329">
        <f>IFERROR(__xludf.DUMMYFUNCTION("""COMPUTED_VALUE"""),2293.0)</f>
        <v>2293</v>
      </c>
      <c r="M75" s="329">
        <f>IFERROR(__xludf.DUMMYFUNCTION("""COMPUTED_VALUE"""),384177.0)</f>
        <v>384177</v>
      </c>
      <c r="N75" s="329">
        <f>IFERROR(__xludf.DUMMYFUNCTION("""COMPUTED_VALUE"""),421961.0)</f>
        <v>421961</v>
      </c>
      <c r="O75" s="329">
        <f>IFERROR(__xludf.DUMMYFUNCTION("""COMPUTED_VALUE"""),34.0)</f>
        <v>34</v>
      </c>
      <c r="P75" s="329">
        <f>IFERROR(__xludf.DUMMYFUNCTION("""COMPUTED_VALUE"""),3567.0)</f>
        <v>3567</v>
      </c>
      <c r="Q75" s="329">
        <f>IFERROR(__xludf.DUMMYFUNCTION("""COMPUTED_VALUE"""),25.0)</f>
        <v>25</v>
      </c>
      <c r="R75" s="329">
        <f>IFERROR(__xludf.DUMMYFUNCTION("""COMPUTED_VALUE"""),2898.0)</f>
        <v>2898</v>
      </c>
      <c r="S75" s="329">
        <f>IFERROR(__xludf.DUMMYFUNCTION("""COMPUTED_VALUE"""),1.0)</f>
        <v>1</v>
      </c>
      <c r="T75" s="329">
        <f>IFERROR(__xludf.DUMMYFUNCTION("""COMPUTED_VALUE"""),416.0)</f>
        <v>416</v>
      </c>
      <c r="U75" s="329">
        <f>IFERROR(__xludf.DUMMYFUNCTION("""COMPUTED_VALUE"""),253.0)</f>
        <v>253</v>
      </c>
      <c r="V75" s="329">
        <f>IFERROR(__xludf.DUMMYFUNCTION("""COMPUTED_VALUE"""),244.0)</f>
        <v>244</v>
      </c>
      <c r="W75" s="329">
        <f>IFERROR(__xludf.DUMMYFUNCTION("""COMPUTED_VALUE"""),32.0)</f>
        <v>32</v>
      </c>
      <c r="X75" s="329">
        <f>IFERROR(__xludf.DUMMYFUNCTION("""COMPUTED_VALUE"""),18.0)</f>
        <v>18</v>
      </c>
      <c r="Y75" s="329">
        <f>IFERROR(__xludf.DUMMYFUNCTION("""COMPUTED_VALUE"""),1.0)</f>
        <v>1</v>
      </c>
      <c r="Z75" s="329">
        <f>IFERROR(__xludf.DUMMYFUNCTION("""COMPUTED_VALUE"""),1241.0)</f>
        <v>1241</v>
      </c>
      <c r="AA75" s="257" t="str">
        <f>IFERROR(__xludf.DUMMYFUNCTION("""COMPUTED_VALUE"""),"--")</f>
        <v>--</v>
      </c>
      <c r="AB75" s="257" t="str">
        <f>IFERROR(__xludf.DUMMYFUNCTION("""COMPUTED_VALUE"""),"--")</f>
        <v>--</v>
      </c>
      <c r="AC75" s="257" t="str">
        <f>IFERROR(__xludf.DUMMYFUNCTION("""COMPUTED_VALUE"""),"--")</f>
        <v>--</v>
      </c>
      <c r="AD75" s="257" t="str">
        <f>IFERROR(__xludf.DUMMYFUNCTION("""COMPUTED_VALUE"""),"--")</f>
        <v>--</v>
      </c>
      <c r="AE75" s="257" t="str">
        <f>IFERROR(__xludf.DUMMYFUNCTION("""COMPUTED_VALUE"""),"--")</f>
        <v>--</v>
      </c>
      <c r="AF75" s="257" t="str">
        <f>IFERROR(__xludf.DUMMYFUNCTION("""COMPUTED_VALUE"""),"--")</f>
        <v>--</v>
      </c>
      <c r="AG75" s="257" t="str">
        <f>IFERROR(__xludf.DUMMYFUNCTION("""COMPUTED_VALUE"""),"--")</f>
        <v>--</v>
      </c>
      <c r="AH75" s="257" t="str">
        <f>IFERROR(__xludf.DUMMYFUNCTION("""COMPUTED_VALUE"""),"--")</f>
        <v>--</v>
      </c>
    </row>
    <row r="76">
      <c r="A76" s="328">
        <f>IFERROR(__xludf.DUMMYFUNCTION("""COMPUTED_VALUE"""),44143.0)</f>
        <v>44143</v>
      </c>
      <c r="B76" s="329">
        <f>IFERROR(__xludf.DUMMYFUNCTION("""COMPUTED_VALUE"""),337.0)</f>
        <v>337</v>
      </c>
      <c r="C76" s="329">
        <f>IFERROR(__xludf.DUMMYFUNCTION("""COMPUTED_VALUE"""),571.0)</f>
        <v>571</v>
      </c>
      <c r="D76" s="329">
        <f>IFERROR(__xludf.DUMMYFUNCTION("""COMPUTED_VALUE"""),49780.0)</f>
        <v>49780</v>
      </c>
      <c r="E76" s="329">
        <f>IFERROR(__xludf.DUMMYFUNCTION("""COMPUTED_VALUE"""),4168.0)</f>
        <v>4168</v>
      </c>
      <c r="F76" s="257">
        <f>IFERROR(__xludf.DUMMYFUNCTION("""COMPUTED_VALUE"""),1205980.0)</f>
        <v>1205980</v>
      </c>
      <c r="G76" s="257">
        <f>IFERROR(__xludf.DUMMYFUNCTION("""COMPUTED_VALUE"""),4505.0)</f>
        <v>4505</v>
      </c>
      <c r="H76" s="257">
        <f>IFERROR(__xludf.DUMMYFUNCTION("""COMPUTED_VALUE"""),1255760.0)</f>
        <v>1255760</v>
      </c>
      <c r="I76" s="329">
        <f>IFERROR(__xludf.DUMMYFUNCTION("""COMPUTED_VALUE"""),326.0)</f>
        <v>326</v>
      </c>
      <c r="J76" s="329">
        <f>IFERROR(__xludf.DUMMYFUNCTION("""COMPUTED_VALUE"""),531.0)</f>
        <v>531</v>
      </c>
      <c r="K76" s="329">
        <f>IFERROR(__xludf.DUMMYFUNCTION("""COMPUTED_VALUE"""),38110.0)</f>
        <v>38110</v>
      </c>
      <c r="L76" s="329">
        <f>IFERROR(__xludf.DUMMYFUNCTION("""COMPUTED_VALUE"""),1197.0)</f>
        <v>1197</v>
      </c>
      <c r="M76" s="329">
        <f>IFERROR(__xludf.DUMMYFUNCTION("""COMPUTED_VALUE"""),385374.0)</f>
        <v>385374</v>
      </c>
      <c r="N76" s="329">
        <f>IFERROR(__xludf.DUMMYFUNCTION("""COMPUTED_VALUE"""),423484.0)</f>
        <v>423484</v>
      </c>
      <c r="O76" s="329">
        <f>IFERROR(__xludf.DUMMYFUNCTION("""COMPUTED_VALUE"""),33.0)</f>
        <v>33</v>
      </c>
      <c r="P76" s="329">
        <f>IFERROR(__xludf.DUMMYFUNCTION("""COMPUTED_VALUE"""),3600.0)</f>
        <v>3600</v>
      </c>
      <c r="Q76" s="329">
        <f>IFERROR(__xludf.DUMMYFUNCTION("""COMPUTED_VALUE"""),26.0)</f>
        <v>26</v>
      </c>
      <c r="R76" s="329">
        <f>IFERROR(__xludf.DUMMYFUNCTION("""COMPUTED_VALUE"""),2924.0)</f>
        <v>2924</v>
      </c>
      <c r="S76" s="329">
        <f>IFERROR(__xludf.DUMMYFUNCTION("""COMPUTED_VALUE"""),1.0)</f>
        <v>1</v>
      </c>
      <c r="T76" s="329">
        <f>IFERROR(__xludf.DUMMYFUNCTION("""COMPUTED_VALUE"""),417.0)</f>
        <v>417</v>
      </c>
      <c r="U76" s="329">
        <f>IFERROR(__xludf.DUMMYFUNCTION("""COMPUTED_VALUE"""),259.0)</f>
        <v>259</v>
      </c>
      <c r="V76" s="329">
        <f>IFERROR(__xludf.DUMMYFUNCTION("""COMPUTED_VALUE"""),252.0)</f>
        <v>252</v>
      </c>
      <c r="W76" s="329">
        <f>IFERROR(__xludf.DUMMYFUNCTION("""COMPUTED_VALUE"""),31.0)</f>
        <v>31</v>
      </c>
      <c r="X76" s="329">
        <f>IFERROR(__xludf.DUMMYFUNCTION("""COMPUTED_VALUE"""),19.0)</f>
        <v>19</v>
      </c>
      <c r="Y76" s="329">
        <f>IFERROR(__xludf.DUMMYFUNCTION("""COMPUTED_VALUE"""),6.0)</f>
        <v>6</v>
      </c>
      <c r="Z76" s="329">
        <f>IFERROR(__xludf.DUMMYFUNCTION("""COMPUTED_VALUE"""),1247.0)</f>
        <v>1247</v>
      </c>
      <c r="AA76" s="257" t="str">
        <f>IFERROR(__xludf.DUMMYFUNCTION("""COMPUTED_VALUE"""),"--")</f>
        <v>--</v>
      </c>
      <c r="AB76" s="257" t="str">
        <f>IFERROR(__xludf.DUMMYFUNCTION("""COMPUTED_VALUE"""),"--")</f>
        <v>--</v>
      </c>
      <c r="AC76" s="257" t="str">
        <f>IFERROR(__xludf.DUMMYFUNCTION("""COMPUTED_VALUE"""),"--")</f>
        <v>--</v>
      </c>
      <c r="AD76" s="257" t="str">
        <f>IFERROR(__xludf.DUMMYFUNCTION("""COMPUTED_VALUE"""),"--")</f>
        <v>--</v>
      </c>
      <c r="AE76" s="257" t="str">
        <f>IFERROR(__xludf.DUMMYFUNCTION("""COMPUTED_VALUE"""),"--")</f>
        <v>--</v>
      </c>
      <c r="AF76" s="257" t="str">
        <f>IFERROR(__xludf.DUMMYFUNCTION("""COMPUTED_VALUE"""),"--")</f>
        <v>--</v>
      </c>
      <c r="AG76" s="257" t="str">
        <f>IFERROR(__xludf.DUMMYFUNCTION("""COMPUTED_VALUE"""),"--")</f>
        <v>--</v>
      </c>
      <c r="AH76" s="257" t="str">
        <f>IFERROR(__xludf.DUMMYFUNCTION("""COMPUTED_VALUE"""),"--")</f>
        <v>--</v>
      </c>
    </row>
    <row r="77">
      <c r="A77" s="328">
        <f>IFERROR(__xludf.DUMMYFUNCTION("""COMPUTED_VALUE"""),44144.0)</f>
        <v>44144</v>
      </c>
      <c r="B77" s="329">
        <f>IFERROR(__xludf.DUMMYFUNCTION("""COMPUTED_VALUE"""),809.0)</f>
        <v>809</v>
      </c>
      <c r="C77" s="329">
        <f>IFERROR(__xludf.DUMMYFUNCTION("""COMPUTED_VALUE"""),583.0)</f>
        <v>583</v>
      </c>
      <c r="D77" s="329">
        <f>IFERROR(__xludf.DUMMYFUNCTION("""COMPUTED_VALUE"""),50589.0)</f>
        <v>50589</v>
      </c>
      <c r="E77" s="329">
        <f>IFERROR(__xludf.DUMMYFUNCTION("""COMPUTED_VALUE"""),9063.0)</f>
        <v>9063</v>
      </c>
      <c r="F77" s="257">
        <f>IFERROR(__xludf.DUMMYFUNCTION("""COMPUTED_VALUE"""),1215043.0)</f>
        <v>1215043</v>
      </c>
      <c r="G77" s="257">
        <f>IFERROR(__xludf.DUMMYFUNCTION("""COMPUTED_VALUE"""),9872.0)</f>
        <v>9872</v>
      </c>
      <c r="H77" s="257">
        <f>IFERROR(__xludf.DUMMYFUNCTION("""COMPUTED_VALUE"""),1265632.0)</f>
        <v>1265632</v>
      </c>
      <c r="I77" s="329">
        <f>IFERROR(__xludf.DUMMYFUNCTION("""COMPUTED_VALUE"""),763.0)</f>
        <v>763</v>
      </c>
      <c r="J77" s="329">
        <f>IFERROR(__xludf.DUMMYFUNCTION("""COMPUTED_VALUE"""),555.0)</f>
        <v>555</v>
      </c>
      <c r="K77" s="329">
        <f>IFERROR(__xludf.DUMMYFUNCTION("""COMPUTED_VALUE"""),38873.0)</f>
        <v>38873</v>
      </c>
      <c r="L77" s="329">
        <f>IFERROR(__xludf.DUMMYFUNCTION("""COMPUTED_VALUE"""),2161.0)</f>
        <v>2161</v>
      </c>
      <c r="M77" s="329">
        <f>IFERROR(__xludf.DUMMYFUNCTION("""COMPUTED_VALUE"""),387535.0)</f>
        <v>387535</v>
      </c>
      <c r="N77" s="329">
        <f>IFERROR(__xludf.DUMMYFUNCTION("""COMPUTED_VALUE"""),426408.0)</f>
        <v>426408</v>
      </c>
      <c r="O77" s="329">
        <f>IFERROR(__xludf.DUMMYFUNCTION("""COMPUTED_VALUE"""),39.0)</f>
        <v>39</v>
      </c>
      <c r="P77" s="329">
        <f>IFERROR(__xludf.DUMMYFUNCTION("""COMPUTED_VALUE"""),3639.0)</f>
        <v>3639</v>
      </c>
      <c r="Q77" s="329">
        <f>IFERROR(__xludf.DUMMYFUNCTION("""COMPUTED_VALUE"""),33.0)</f>
        <v>33</v>
      </c>
      <c r="R77" s="329">
        <f>IFERROR(__xludf.DUMMYFUNCTION("""COMPUTED_VALUE"""),2957.0)</f>
        <v>2957</v>
      </c>
      <c r="S77" s="329">
        <f>IFERROR(__xludf.DUMMYFUNCTION("""COMPUTED_VALUE"""),2.0)</f>
        <v>2</v>
      </c>
      <c r="T77" s="329">
        <f>IFERROR(__xludf.DUMMYFUNCTION("""COMPUTED_VALUE"""),419.0)</f>
        <v>419</v>
      </c>
      <c r="U77" s="329">
        <f>IFERROR(__xludf.DUMMYFUNCTION("""COMPUTED_VALUE"""),263.0)</f>
        <v>263</v>
      </c>
      <c r="V77" s="329">
        <f>IFERROR(__xludf.DUMMYFUNCTION("""COMPUTED_VALUE"""),258.0)</f>
        <v>258</v>
      </c>
      <c r="W77" s="329">
        <f>IFERROR(__xludf.DUMMYFUNCTION("""COMPUTED_VALUE"""),29.0)</f>
        <v>29</v>
      </c>
      <c r="X77" s="329">
        <f>IFERROR(__xludf.DUMMYFUNCTION("""COMPUTED_VALUE"""),18.0)</f>
        <v>18</v>
      </c>
      <c r="Y77" s="329">
        <f>IFERROR(__xludf.DUMMYFUNCTION("""COMPUTED_VALUE"""),4.0)</f>
        <v>4</v>
      </c>
      <c r="Z77" s="329">
        <f>IFERROR(__xludf.DUMMYFUNCTION("""COMPUTED_VALUE"""),1251.0)</f>
        <v>1251</v>
      </c>
      <c r="AA77" s="257" t="str">
        <f>IFERROR(__xludf.DUMMYFUNCTION("""COMPUTED_VALUE"""),"--")</f>
        <v>--</v>
      </c>
      <c r="AB77" s="257" t="str">
        <f>IFERROR(__xludf.DUMMYFUNCTION("""COMPUTED_VALUE"""),"--")</f>
        <v>--</v>
      </c>
      <c r="AC77" s="257" t="str">
        <f>IFERROR(__xludf.DUMMYFUNCTION("""COMPUTED_VALUE"""),"--")</f>
        <v>--</v>
      </c>
      <c r="AD77" s="257" t="str">
        <f>IFERROR(__xludf.DUMMYFUNCTION("""COMPUTED_VALUE"""),"--")</f>
        <v>--</v>
      </c>
      <c r="AE77" s="257" t="str">
        <f>IFERROR(__xludf.DUMMYFUNCTION("""COMPUTED_VALUE"""),"--")</f>
        <v>--</v>
      </c>
      <c r="AF77" s="257" t="str">
        <f>IFERROR(__xludf.DUMMYFUNCTION("""COMPUTED_VALUE"""),"--")</f>
        <v>--</v>
      </c>
      <c r="AG77" s="257" t="str">
        <f>IFERROR(__xludf.DUMMYFUNCTION("""COMPUTED_VALUE"""),"--")</f>
        <v>--</v>
      </c>
      <c r="AH77" s="257" t="str">
        <f>IFERROR(__xludf.DUMMYFUNCTION("""COMPUTED_VALUE"""),"--")</f>
        <v>--</v>
      </c>
    </row>
    <row r="78">
      <c r="A78" s="328">
        <f>IFERROR(__xludf.DUMMYFUNCTION("""COMPUTED_VALUE"""),44145.0)</f>
        <v>44145</v>
      </c>
      <c r="B78" s="329">
        <f>IFERROR(__xludf.DUMMYFUNCTION("""COMPUTED_VALUE"""),1058.0)</f>
        <v>1058</v>
      </c>
      <c r="C78" s="329">
        <f>IFERROR(__xludf.DUMMYFUNCTION("""COMPUTED_VALUE"""),735.0)</f>
        <v>735</v>
      </c>
      <c r="D78" s="329">
        <f>IFERROR(__xludf.DUMMYFUNCTION("""COMPUTED_VALUE"""),51647.0)</f>
        <v>51647</v>
      </c>
      <c r="E78" s="329">
        <f>IFERROR(__xludf.DUMMYFUNCTION("""COMPUTED_VALUE"""),12983.0)</f>
        <v>12983</v>
      </c>
      <c r="F78" s="257">
        <f>IFERROR(__xludf.DUMMYFUNCTION("""COMPUTED_VALUE"""),1228026.0)</f>
        <v>1228026</v>
      </c>
      <c r="G78" s="257">
        <f>IFERROR(__xludf.DUMMYFUNCTION("""COMPUTED_VALUE"""),14041.0)</f>
        <v>14041</v>
      </c>
      <c r="H78" s="257">
        <f>IFERROR(__xludf.DUMMYFUNCTION("""COMPUTED_VALUE"""),1279673.0)</f>
        <v>1279673</v>
      </c>
      <c r="I78" s="329">
        <f>IFERROR(__xludf.DUMMYFUNCTION("""COMPUTED_VALUE"""),980.0)</f>
        <v>980</v>
      </c>
      <c r="J78" s="329">
        <f>IFERROR(__xludf.DUMMYFUNCTION("""COMPUTED_VALUE"""),690.0)</f>
        <v>690</v>
      </c>
      <c r="K78" s="329">
        <f>IFERROR(__xludf.DUMMYFUNCTION("""COMPUTED_VALUE"""),39853.0)</f>
        <v>39853</v>
      </c>
      <c r="L78" s="329">
        <f>IFERROR(__xludf.DUMMYFUNCTION("""COMPUTED_VALUE"""),2677.0)</f>
        <v>2677</v>
      </c>
      <c r="M78" s="329">
        <f>IFERROR(__xludf.DUMMYFUNCTION("""COMPUTED_VALUE"""),390212.0)</f>
        <v>390212</v>
      </c>
      <c r="N78" s="329">
        <f>IFERROR(__xludf.DUMMYFUNCTION("""COMPUTED_VALUE"""),430065.0)</f>
        <v>430065</v>
      </c>
      <c r="O78" s="329">
        <f>IFERROR(__xludf.DUMMYFUNCTION("""COMPUTED_VALUE"""),44.0)</f>
        <v>44</v>
      </c>
      <c r="P78" s="329">
        <f>IFERROR(__xludf.DUMMYFUNCTION("""COMPUTED_VALUE"""),3683.0)</f>
        <v>3683</v>
      </c>
      <c r="Q78" s="329">
        <f>IFERROR(__xludf.DUMMYFUNCTION("""COMPUTED_VALUE"""),35.0)</f>
        <v>35</v>
      </c>
      <c r="R78" s="329">
        <f>IFERROR(__xludf.DUMMYFUNCTION("""COMPUTED_VALUE"""),2992.0)</f>
        <v>2992</v>
      </c>
      <c r="S78" s="329">
        <f>IFERROR(__xludf.DUMMYFUNCTION("""COMPUTED_VALUE"""),0.0)</f>
        <v>0</v>
      </c>
      <c r="T78" s="329">
        <f>IFERROR(__xludf.DUMMYFUNCTION("""COMPUTED_VALUE"""),419.0)</f>
        <v>419</v>
      </c>
      <c r="U78" s="329">
        <f>IFERROR(__xludf.DUMMYFUNCTION("""COMPUTED_VALUE"""),272.0)</f>
        <v>272</v>
      </c>
      <c r="V78" s="329">
        <f>IFERROR(__xludf.DUMMYFUNCTION("""COMPUTED_VALUE"""),265.0)</f>
        <v>265</v>
      </c>
      <c r="W78" s="329">
        <f>IFERROR(__xludf.DUMMYFUNCTION("""COMPUTED_VALUE"""),32.0)</f>
        <v>32</v>
      </c>
      <c r="X78" s="329">
        <f>IFERROR(__xludf.DUMMYFUNCTION("""COMPUTED_VALUE"""),18.0)</f>
        <v>18</v>
      </c>
      <c r="Y78" s="329">
        <f>IFERROR(__xludf.DUMMYFUNCTION("""COMPUTED_VALUE"""),6.0)</f>
        <v>6</v>
      </c>
      <c r="Z78" s="329">
        <f>IFERROR(__xludf.DUMMYFUNCTION("""COMPUTED_VALUE"""),1257.0)</f>
        <v>1257</v>
      </c>
      <c r="AA78" s="257" t="str">
        <f>IFERROR(__xludf.DUMMYFUNCTION("""COMPUTED_VALUE"""),"--")</f>
        <v>--</v>
      </c>
      <c r="AB78" s="257" t="str">
        <f>IFERROR(__xludf.DUMMYFUNCTION("""COMPUTED_VALUE"""),"--")</f>
        <v>--</v>
      </c>
      <c r="AC78" s="257" t="str">
        <f>IFERROR(__xludf.DUMMYFUNCTION("""COMPUTED_VALUE"""),"--")</f>
        <v>--</v>
      </c>
      <c r="AD78" s="257" t="str">
        <f>IFERROR(__xludf.DUMMYFUNCTION("""COMPUTED_VALUE"""),"--")</f>
        <v>--</v>
      </c>
      <c r="AE78" s="257" t="str">
        <f>IFERROR(__xludf.DUMMYFUNCTION("""COMPUTED_VALUE"""),"--")</f>
        <v>--</v>
      </c>
      <c r="AF78" s="257" t="str">
        <f>IFERROR(__xludf.DUMMYFUNCTION("""COMPUTED_VALUE"""),"--")</f>
        <v>--</v>
      </c>
      <c r="AG78" s="257" t="str">
        <f>IFERROR(__xludf.DUMMYFUNCTION("""COMPUTED_VALUE"""),"--")</f>
        <v>--</v>
      </c>
      <c r="AH78" s="257" t="str">
        <f>IFERROR(__xludf.DUMMYFUNCTION("""COMPUTED_VALUE"""),"--")</f>
        <v>--</v>
      </c>
    </row>
    <row r="79">
      <c r="A79" s="328">
        <f>IFERROR(__xludf.DUMMYFUNCTION("""COMPUTED_VALUE"""),44146.0)</f>
        <v>44146</v>
      </c>
      <c r="B79" s="329">
        <f>IFERROR(__xludf.DUMMYFUNCTION("""COMPUTED_VALUE"""),1096.0)</f>
        <v>1096</v>
      </c>
      <c r="C79" s="329">
        <f>IFERROR(__xludf.DUMMYFUNCTION("""COMPUTED_VALUE"""),988.0)</f>
        <v>988</v>
      </c>
      <c r="D79" s="329">
        <f>IFERROR(__xludf.DUMMYFUNCTION("""COMPUTED_VALUE"""),52743.0)</f>
        <v>52743</v>
      </c>
      <c r="E79" s="329">
        <f>IFERROR(__xludf.DUMMYFUNCTION("""COMPUTED_VALUE"""),19821.0)</f>
        <v>19821</v>
      </c>
      <c r="F79" s="257">
        <f>IFERROR(__xludf.DUMMYFUNCTION("""COMPUTED_VALUE"""),1247847.0)</f>
        <v>1247847</v>
      </c>
      <c r="G79" s="257">
        <f>IFERROR(__xludf.DUMMYFUNCTION("""COMPUTED_VALUE"""),20917.0)</f>
        <v>20917</v>
      </c>
      <c r="H79" s="257">
        <f>IFERROR(__xludf.DUMMYFUNCTION("""COMPUTED_VALUE"""),1300590.0)</f>
        <v>1300590</v>
      </c>
      <c r="I79" s="329">
        <f>IFERROR(__xludf.DUMMYFUNCTION("""COMPUTED_VALUE"""),1004.0)</f>
        <v>1004</v>
      </c>
      <c r="J79" s="329">
        <f>IFERROR(__xludf.DUMMYFUNCTION("""COMPUTED_VALUE"""),916.0)</f>
        <v>916</v>
      </c>
      <c r="K79" s="329">
        <f>IFERROR(__xludf.DUMMYFUNCTION("""COMPUTED_VALUE"""),40857.0)</f>
        <v>40857</v>
      </c>
      <c r="L79" s="329">
        <f>IFERROR(__xludf.DUMMYFUNCTION("""COMPUTED_VALUE"""),2485.0)</f>
        <v>2485</v>
      </c>
      <c r="M79" s="329">
        <f>IFERROR(__xludf.DUMMYFUNCTION("""COMPUTED_VALUE"""),392697.0)</f>
        <v>392697</v>
      </c>
      <c r="N79" s="329">
        <f>IFERROR(__xludf.DUMMYFUNCTION("""COMPUTED_VALUE"""),433554.0)</f>
        <v>433554</v>
      </c>
      <c r="O79" s="329">
        <f>IFERROR(__xludf.DUMMYFUNCTION("""COMPUTED_VALUE"""),41.0)</f>
        <v>41</v>
      </c>
      <c r="P79" s="329">
        <f>IFERROR(__xludf.DUMMYFUNCTION("""COMPUTED_VALUE"""),3724.0)</f>
        <v>3724</v>
      </c>
      <c r="Q79" s="329">
        <f>IFERROR(__xludf.DUMMYFUNCTION("""COMPUTED_VALUE"""),24.0)</f>
        <v>24</v>
      </c>
      <c r="R79" s="329">
        <f>IFERROR(__xludf.DUMMYFUNCTION("""COMPUTED_VALUE"""),3016.0)</f>
        <v>3016</v>
      </c>
      <c r="S79" s="329">
        <f>IFERROR(__xludf.DUMMYFUNCTION("""COMPUTED_VALUE"""),5.0)</f>
        <v>5</v>
      </c>
      <c r="T79" s="329">
        <f>IFERROR(__xludf.DUMMYFUNCTION("""COMPUTED_VALUE"""),424.0)</f>
        <v>424</v>
      </c>
      <c r="U79" s="329">
        <f>IFERROR(__xludf.DUMMYFUNCTION("""COMPUTED_VALUE"""),284.0)</f>
        <v>284</v>
      </c>
      <c r="V79" s="329">
        <f>IFERROR(__xludf.DUMMYFUNCTION("""COMPUTED_VALUE"""),273.0)</f>
        <v>273</v>
      </c>
      <c r="W79" s="329">
        <f>IFERROR(__xludf.DUMMYFUNCTION("""COMPUTED_VALUE"""),31.0)</f>
        <v>31</v>
      </c>
      <c r="X79" s="329">
        <f>IFERROR(__xludf.DUMMYFUNCTION("""COMPUTED_VALUE"""),15.0)</f>
        <v>15</v>
      </c>
      <c r="Y79" s="329">
        <f>IFERROR(__xludf.DUMMYFUNCTION("""COMPUTED_VALUE"""),9.0)</f>
        <v>9</v>
      </c>
      <c r="Z79" s="329">
        <f>IFERROR(__xludf.DUMMYFUNCTION("""COMPUTED_VALUE"""),1266.0)</f>
        <v>1266</v>
      </c>
      <c r="AA79" s="257" t="str">
        <f>IFERROR(__xludf.DUMMYFUNCTION("""COMPUTED_VALUE"""),"--")</f>
        <v>--</v>
      </c>
      <c r="AB79" s="257" t="str">
        <f>IFERROR(__xludf.DUMMYFUNCTION("""COMPUTED_VALUE"""),"--")</f>
        <v>--</v>
      </c>
      <c r="AC79" s="257" t="str">
        <f>IFERROR(__xludf.DUMMYFUNCTION("""COMPUTED_VALUE"""),"--")</f>
        <v>--</v>
      </c>
      <c r="AD79" s="257" t="str">
        <f>IFERROR(__xludf.DUMMYFUNCTION("""COMPUTED_VALUE"""),"--")</f>
        <v>--</v>
      </c>
      <c r="AE79" s="257" t="str">
        <f>IFERROR(__xludf.DUMMYFUNCTION("""COMPUTED_VALUE"""),"--")</f>
        <v>--</v>
      </c>
      <c r="AF79" s="257" t="str">
        <f>IFERROR(__xludf.DUMMYFUNCTION("""COMPUTED_VALUE"""),"--")</f>
        <v>--</v>
      </c>
      <c r="AG79" s="257" t="str">
        <f>IFERROR(__xludf.DUMMYFUNCTION("""COMPUTED_VALUE"""),"--")</f>
        <v>--</v>
      </c>
      <c r="AH79" s="257" t="str">
        <f>IFERROR(__xludf.DUMMYFUNCTION("""COMPUTED_VALUE"""),"--")</f>
        <v>--</v>
      </c>
    </row>
    <row r="80">
      <c r="A80" s="328">
        <f>IFERROR(__xludf.DUMMYFUNCTION("""COMPUTED_VALUE"""),44147.0)</f>
        <v>44147</v>
      </c>
      <c r="B80" s="329">
        <f>IFERROR(__xludf.DUMMYFUNCTION("""COMPUTED_VALUE"""),898.0)</f>
        <v>898</v>
      </c>
      <c r="C80" s="329">
        <f>IFERROR(__xludf.DUMMYFUNCTION("""COMPUTED_VALUE"""),1017.0)</f>
        <v>1017</v>
      </c>
      <c r="D80" s="329">
        <f>IFERROR(__xludf.DUMMYFUNCTION("""COMPUTED_VALUE"""),53641.0)</f>
        <v>53641</v>
      </c>
      <c r="E80" s="329">
        <f>IFERROR(__xludf.DUMMYFUNCTION("""COMPUTED_VALUE"""),13917.0)</f>
        <v>13917</v>
      </c>
      <c r="F80" s="257">
        <f>IFERROR(__xludf.DUMMYFUNCTION("""COMPUTED_VALUE"""),1261764.0)</f>
        <v>1261764</v>
      </c>
      <c r="G80" s="257">
        <f>IFERROR(__xludf.DUMMYFUNCTION("""COMPUTED_VALUE"""),14815.0)</f>
        <v>14815</v>
      </c>
      <c r="H80" s="257">
        <f>IFERROR(__xludf.DUMMYFUNCTION("""COMPUTED_VALUE"""),1315405.0)</f>
        <v>1315405</v>
      </c>
      <c r="I80" s="329">
        <f>IFERROR(__xludf.DUMMYFUNCTION("""COMPUTED_VALUE"""),812.0)</f>
        <v>812</v>
      </c>
      <c r="J80" s="329">
        <f>IFERROR(__xludf.DUMMYFUNCTION("""COMPUTED_VALUE"""),932.0)</f>
        <v>932</v>
      </c>
      <c r="K80" s="329">
        <f>IFERROR(__xludf.DUMMYFUNCTION("""COMPUTED_VALUE"""),41669.0)</f>
        <v>41669</v>
      </c>
      <c r="L80" s="329">
        <f>IFERROR(__xludf.DUMMYFUNCTION("""COMPUTED_VALUE"""),2058.0)</f>
        <v>2058</v>
      </c>
      <c r="M80" s="329">
        <f>IFERROR(__xludf.DUMMYFUNCTION("""COMPUTED_VALUE"""),394755.0)</f>
        <v>394755</v>
      </c>
      <c r="N80" s="329">
        <f>IFERROR(__xludf.DUMMYFUNCTION("""COMPUTED_VALUE"""),436424.0)</f>
        <v>436424</v>
      </c>
      <c r="O80" s="329">
        <f>IFERROR(__xludf.DUMMYFUNCTION("""COMPUTED_VALUE"""),39.0)</f>
        <v>39</v>
      </c>
      <c r="P80" s="329">
        <f>IFERROR(__xludf.DUMMYFUNCTION("""COMPUTED_VALUE"""),3763.0)</f>
        <v>3763</v>
      </c>
      <c r="Q80" s="329">
        <f>IFERROR(__xludf.DUMMYFUNCTION("""COMPUTED_VALUE"""),31.0)</f>
        <v>31</v>
      </c>
      <c r="R80" s="329">
        <f>IFERROR(__xludf.DUMMYFUNCTION("""COMPUTED_VALUE"""),3047.0)</f>
        <v>3047</v>
      </c>
      <c r="S80" s="329">
        <f>IFERROR(__xludf.DUMMYFUNCTION("""COMPUTED_VALUE"""),3.0)</f>
        <v>3</v>
      </c>
      <c r="T80" s="329">
        <f>IFERROR(__xludf.DUMMYFUNCTION("""COMPUTED_VALUE"""),427.0)</f>
        <v>427</v>
      </c>
      <c r="U80" s="329">
        <f>IFERROR(__xludf.DUMMYFUNCTION("""COMPUTED_VALUE"""),289.0)</f>
        <v>289</v>
      </c>
      <c r="V80" s="329">
        <f>IFERROR(__xludf.DUMMYFUNCTION("""COMPUTED_VALUE"""),282.0)</f>
        <v>282</v>
      </c>
      <c r="W80" s="329">
        <f>IFERROR(__xludf.DUMMYFUNCTION("""COMPUTED_VALUE"""),29.0)</f>
        <v>29</v>
      </c>
      <c r="X80" s="329">
        <f>IFERROR(__xludf.DUMMYFUNCTION("""COMPUTED_VALUE"""),15.0)</f>
        <v>15</v>
      </c>
      <c r="Y80" s="329">
        <f>IFERROR(__xludf.DUMMYFUNCTION("""COMPUTED_VALUE"""),5.0)</f>
        <v>5</v>
      </c>
      <c r="Z80" s="329">
        <f>IFERROR(__xludf.DUMMYFUNCTION("""COMPUTED_VALUE"""),1271.0)</f>
        <v>1271</v>
      </c>
      <c r="AA80" s="257" t="str">
        <f>IFERROR(__xludf.DUMMYFUNCTION("""COMPUTED_VALUE"""),"--")</f>
        <v>--</v>
      </c>
      <c r="AB80" s="257" t="str">
        <f>IFERROR(__xludf.DUMMYFUNCTION("""COMPUTED_VALUE"""),"--")</f>
        <v>--</v>
      </c>
      <c r="AC80" s="257" t="str">
        <f>IFERROR(__xludf.DUMMYFUNCTION("""COMPUTED_VALUE"""),"--")</f>
        <v>--</v>
      </c>
      <c r="AD80" s="257" t="str">
        <f>IFERROR(__xludf.DUMMYFUNCTION("""COMPUTED_VALUE"""),"--")</f>
        <v>--</v>
      </c>
      <c r="AE80" s="257" t="str">
        <f>IFERROR(__xludf.DUMMYFUNCTION("""COMPUTED_VALUE"""),"--")</f>
        <v>--</v>
      </c>
      <c r="AF80" s="257" t="str">
        <f>IFERROR(__xludf.DUMMYFUNCTION("""COMPUTED_VALUE"""),"--")</f>
        <v>--</v>
      </c>
      <c r="AG80" s="257" t="str">
        <f>IFERROR(__xludf.DUMMYFUNCTION("""COMPUTED_VALUE"""),"--")</f>
        <v>--</v>
      </c>
      <c r="AH80" s="257" t="str">
        <f>IFERROR(__xludf.DUMMYFUNCTION("""COMPUTED_VALUE"""),"--")</f>
        <v>--</v>
      </c>
    </row>
    <row r="81">
      <c r="A81" s="328">
        <f>IFERROR(__xludf.DUMMYFUNCTION("""COMPUTED_VALUE"""),44148.0)</f>
        <v>44148</v>
      </c>
      <c r="B81" s="329">
        <f>IFERROR(__xludf.DUMMYFUNCTION("""COMPUTED_VALUE"""),1190.0)</f>
        <v>1190</v>
      </c>
      <c r="C81" s="329">
        <f>IFERROR(__xludf.DUMMYFUNCTION("""COMPUTED_VALUE"""),1061.0)</f>
        <v>1061</v>
      </c>
      <c r="D81" s="329">
        <f>IFERROR(__xludf.DUMMYFUNCTION("""COMPUTED_VALUE"""),54831.0)</f>
        <v>54831</v>
      </c>
      <c r="E81" s="329">
        <f>IFERROR(__xludf.DUMMYFUNCTION("""COMPUTED_VALUE"""),16393.0)</f>
        <v>16393</v>
      </c>
      <c r="F81" s="257">
        <f>IFERROR(__xludf.DUMMYFUNCTION("""COMPUTED_VALUE"""),1278157.0)</f>
        <v>1278157</v>
      </c>
      <c r="G81" s="257">
        <f>IFERROR(__xludf.DUMMYFUNCTION("""COMPUTED_VALUE"""),17583.0)</f>
        <v>17583</v>
      </c>
      <c r="H81" s="257">
        <f>IFERROR(__xludf.DUMMYFUNCTION("""COMPUTED_VALUE"""),1332988.0)</f>
        <v>1332988</v>
      </c>
      <c r="I81" s="329">
        <f>IFERROR(__xludf.DUMMYFUNCTION("""COMPUTED_VALUE"""),1113.0)</f>
        <v>1113</v>
      </c>
      <c r="J81" s="329">
        <f>IFERROR(__xludf.DUMMYFUNCTION("""COMPUTED_VALUE"""),976.0)</f>
        <v>976</v>
      </c>
      <c r="K81" s="329">
        <f>IFERROR(__xludf.DUMMYFUNCTION("""COMPUTED_VALUE"""),42782.0)</f>
        <v>42782</v>
      </c>
      <c r="L81" s="329">
        <f>IFERROR(__xludf.DUMMYFUNCTION("""COMPUTED_VALUE"""),2881.0)</f>
        <v>2881</v>
      </c>
      <c r="M81" s="329">
        <f>IFERROR(__xludf.DUMMYFUNCTION("""COMPUTED_VALUE"""),397636.0)</f>
        <v>397636</v>
      </c>
      <c r="N81" s="329">
        <f>IFERROR(__xludf.DUMMYFUNCTION("""COMPUTED_VALUE"""),440418.0)</f>
        <v>440418</v>
      </c>
      <c r="O81" s="329">
        <f>IFERROR(__xludf.DUMMYFUNCTION("""COMPUTED_VALUE"""),41.0)</f>
        <v>41</v>
      </c>
      <c r="P81" s="329">
        <f>IFERROR(__xludf.DUMMYFUNCTION("""COMPUTED_VALUE"""),3804.0)</f>
        <v>3804</v>
      </c>
      <c r="Q81" s="329">
        <f>IFERROR(__xludf.DUMMYFUNCTION("""COMPUTED_VALUE"""),31.0)</f>
        <v>31</v>
      </c>
      <c r="R81" s="329">
        <f>IFERROR(__xludf.DUMMYFUNCTION("""COMPUTED_VALUE"""),3078.0)</f>
        <v>3078</v>
      </c>
      <c r="S81" s="329">
        <f>IFERROR(__xludf.DUMMYFUNCTION("""COMPUTED_VALUE"""),0.0)</f>
        <v>0</v>
      </c>
      <c r="T81" s="329">
        <f>IFERROR(__xludf.DUMMYFUNCTION("""COMPUTED_VALUE"""),427.0)</f>
        <v>427</v>
      </c>
      <c r="U81" s="329">
        <f>IFERROR(__xludf.DUMMYFUNCTION("""COMPUTED_VALUE"""),299.0)</f>
        <v>299</v>
      </c>
      <c r="V81" s="329">
        <f>IFERROR(__xludf.DUMMYFUNCTION("""COMPUTED_VALUE"""),291.0)</f>
        <v>291</v>
      </c>
      <c r="W81" s="329">
        <f>IFERROR(__xludf.DUMMYFUNCTION("""COMPUTED_VALUE"""),28.0)</f>
        <v>28</v>
      </c>
      <c r="X81" s="329">
        <f>IFERROR(__xludf.DUMMYFUNCTION("""COMPUTED_VALUE"""),15.0)</f>
        <v>15</v>
      </c>
      <c r="Y81" s="329">
        <f>IFERROR(__xludf.DUMMYFUNCTION("""COMPUTED_VALUE"""),2.0)</f>
        <v>2</v>
      </c>
      <c r="Z81" s="329">
        <f>IFERROR(__xludf.DUMMYFUNCTION("""COMPUTED_VALUE"""),1273.0)</f>
        <v>1273</v>
      </c>
      <c r="AA81" s="257" t="str">
        <f>IFERROR(__xludf.DUMMYFUNCTION("""COMPUTED_VALUE"""),"--")</f>
        <v>--</v>
      </c>
      <c r="AB81" s="257" t="str">
        <f>IFERROR(__xludf.DUMMYFUNCTION("""COMPUTED_VALUE"""),"--")</f>
        <v>--</v>
      </c>
      <c r="AC81" s="257" t="str">
        <f>IFERROR(__xludf.DUMMYFUNCTION("""COMPUTED_VALUE"""),"--")</f>
        <v>--</v>
      </c>
      <c r="AD81" s="257" t="str">
        <f>IFERROR(__xludf.DUMMYFUNCTION("""COMPUTED_VALUE"""),"--")</f>
        <v>--</v>
      </c>
      <c r="AE81" s="257" t="str">
        <f>IFERROR(__xludf.DUMMYFUNCTION("""COMPUTED_VALUE"""),"--")</f>
        <v>--</v>
      </c>
      <c r="AF81" s="257" t="str">
        <f>IFERROR(__xludf.DUMMYFUNCTION("""COMPUTED_VALUE"""),"--")</f>
        <v>--</v>
      </c>
      <c r="AG81" s="257" t="str">
        <f>IFERROR(__xludf.DUMMYFUNCTION("""COMPUTED_VALUE"""),"--")</f>
        <v>--</v>
      </c>
      <c r="AH81" s="257" t="str">
        <f>IFERROR(__xludf.DUMMYFUNCTION("""COMPUTED_VALUE"""),"--")</f>
        <v>--</v>
      </c>
    </row>
    <row r="82">
      <c r="A82" s="328">
        <f>IFERROR(__xludf.DUMMYFUNCTION("""COMPUTED_VALUE"""),44149.0)</f>
        <v>44149</v>
      </c>
      <c r="B82" s="329">
        <f>IFERROR(__xludf.DUMMYFUNCTION("""COMPUTED_VALUE"""),802.0)</f>
        <v>802</v>
      </c>
      <c r="C82" s="329">
        <f>IFERROR(__xludf.DUMMYFUNCTION("""COMPUTED_VALUE"""),963.0)</f>
        <v>963</v>
      </c>
      <c r="D82" s="329">
        <f>IFERROR(__xludf.DUMMYFUNCTION("""COMPUTED_VALUE"""),55633.0)</f>
        <v>55633</v>
      </c>
      <c r="E82" s="329">
        <f>IFERROR(__xludf.DUMMYFUNCTION("""COMPUTED_VALUE"""),13527.0)</f>
        <v>13527</v>
      </c>
      <c r="F82" s="257">
        <f>IFERROR(__xludf.DUMMYFUNCTION("""COMPUTED_VALUE"""),1291684.0)</f>
        <v>1291684</v>
      </c>
      <c r="G82" s="257">
        <f>IFERROR(__xludf.DUMMYFUNCTION("""COMPUTED_VALUE"""),14329.0)</f>
        <v>14329</v>
      </c>
      <c r="H82" s="257">
        <f>IFERROR(__xludf.DUMMYFUNCTION("""COMPUTED_VALUE"""),1347317.0)</f>
        <v>1347317</v>
      </c>
      <c r="I82" s="329">
        <f>IFERROR(__xludf.DUMMYFUNCTION("""COMPUTED_VALUE"""),738.0)</f>
        <v>738</v>
      </c>
      <c r="J82" s="329">
        <f>IFERROR(__xludf.DUMMYFUNCTION("""COMPUTED_VALUE"""),888.0)</f>
        <v>888</v>
      </c>
      <c r="K82" s="329">
        <f>IFERROR(__xludf.DUMMYFUNCTION("""COMPUTED_VALUE"""),43520.0)</f>
        <v>43520</v>
      </c>
      <c r="L82" s="329">
        <f>IFERROR(__xludf.DUMMYFUNCTION("""COMPUTED_VALUE"""),2308.0)</f>
        <v>2308</v>
      </c>
      <c r="M82" s="329">
        <f>IFERROR(__xludf.DUMMYFUNCTION("""COMPUTED_VALUE"""),399944.0)</f>
        <v>399944</v>
      </c>
      <c r="N82" s="329">
        <f>IFERROR(__xludf.DUMMYFUNCTION("""COMPUTED_VALUE"""),443464.0)</f>
        <v>443464</v>
      </c>
      <c r="O82" s="329">
        <f>IFERROR(__xludf.DUMMYFUNCTION("""COMPUTED_VALUE"""),41.0)</f>
        <v>41</v>
      </c>
      <c r="P82" s="329">
        <f>IFERROR(__xludf.DUMMYFUNCTION("""COMPUTED_VALUE"""),3845.0)</f>
        <v>3845</v>
      </c>
      <c r="Q82" s="329">
        <f>IFERROR(__xludf.DUMMYFUNCTION("""COMPUTED_VALUE"""),25.0)</f>
        <v>25</v>
      </c>
      <c r="R82" s="329">
        <f>IFERROR(__xludf.DUMMYFUNCTION("""COMPUTED_VALUE"""),3103.0)</f>
        <v>3103</v>
      </c>
      <c r="S82" s="329">
        <f>IFERROR(__xludf.DUMMYFUNCTION("""COMPUTED_VALUE"""),5.0)</f>
        <v>5</v>
      </c>
      <c r="T82" s="329">
        <f>IFERROR(__xludf.DUMMYFUNCTION("""COMPUTED_VALUE"""),432.0)</f>
        <v>432</v>
      </c>
      <c r="U82" s="329">
        <f>IFERROR(__xludf.DUMMYFUNCTION("""COMPUTED_VALUE"""),310.0)</f>
        <v>310</v>
      </c>
      <c r="V82" s="329">
        <f>IFERROR(__xludf.DUMMYFUNCTION("""COMPUTED_VALUE"""),299.0)</f>
        <v>299</v>
      </c>
      <c r="W82" s="329">
        <f>IFERROR(__xludf.DUMMYFUNCTION("""COMPUTED_VALUE"""),26.0)</f>
        <v>26</v>
      </c>
      <c r="X82" s="329">
        <f>IFERROR(__xludf.DUMMYFUNCTION("""COMPUTED_VALUE"""),13.0)</f>
        <v>13</v>
      </c>
      <c r="Y82" s="329">
        <f>IFERROR(__xludf.DUMMYFUNCTION("""COMPUTED_VALUE"""),10.0)</f>
        <v>10</v>
      </c>
      <c r="Z82" s="329">
        <f>IFERROR(__xludf.DUMMYFUNCTION("""COMPUTED_VALUE"""),1283.0)</f>
        <v>1283</v>
      </c>
      <c r="AA82" s="257" t="str">
        <f>IFERROR(__xludf.DUMMYFUNCTION("""COMPUTED_VALUE"""),"--")</f>
        <v>--</v>
      </c>
      <c r="AB82" s="257" t="str">
        <f>IFERROR(__xludf.DUMMYFUNCTION("""COMPUTED_VALUE"""),"--")</f>
        <v>--</v>
      </c>
      <c r="AC82" s="257" t="str">
        <f>IFERROR(__xludf.DUMMYFUNCTION("""COMPUTED_VALUE"""),"--")</f>
        <v>--</v>
      </c>
      <c r="AD82" s="257" t="str">
        <f>IFERROR(__xludf.DUMMYFUNCTION("""COMPUTED_VALUE"""),"--")</f>
        <v>--</v>
      </c>
      <c r="AE82" s="257" t="str">
        <f>IFERROR(__xludf.DUMMYFUNCTION("""COMPUTED_VALUE"""),"--")</f>
        <v>--</v>
      </c>
      <c r="AF82" s="257" t="str">
        <f>IFERROR(__xludf.DUMMYFUNCTION("""COMPUTED_VALUE"""),"--")</f>
        <v>--</v>
      </c>
      <c r="AG82" s="257" t="str">
        <f>IFERROR(__xludf.DUMMYFUNCTION("""COMPUTED_VALUE"""),"--")</f>
        <v>--</v>
      </c>
      <c r="AH82" s="257" t="str">
        <f>IFERROR(__xludf.DUMMYFUNCTION("""COMPUTED_VALUE"""),"--")</f>
        <v>--</v>
      </c>
    </row>
    <row r="83">
      <c r="A83" s="328">
        <f>IFERROR(__xludf.DUMMYFUNCTION("""COMPUTED_VALUE"""),44150.0)</f>
        <v>44150</v>
      </c>
      <c r="B83" s="329">
        <f>IFERROR(__xludf.DUMMYFUNCTION("""COMPUTED_VALUE"""),584.0)</f>
        <v>584</v>
      </c>
      <c r="C83" s="329">
        <f>IFERROR(__xludf.DUMMYFUNCTION("""COMPUTED_VALUE"""),859.0)</f>
        <v>859</v>
      </c>
      <c r="D83" s="329">
        <f>IFERROR(__xludf.DUMMYFUNCTION("""COMPUTED_VALUE"""),56217.0)</f>
        <v>56217</v>
      </c>
      <c r="E83" s="329">
        <f>IFERROR(__xludf.DUMMYFUNCTION("""COMPUTED_VALUE"""),6178.0)</f>
        <v>6178</v>
      </c>
      <c r="F83" s="257">
        <f>IFERROR(__xludf.DUMMYFUNCTION("""COMPUTED_VALUE"""),1297862.0)</f>
        <v>1297862</v>
      </c>
      <c r="G83" s="257">
        <f>IFERROR(__xludf.DUMMYFUNCTION("""COMPUTED_VALUE"""),6762.0)</f>
        <v>6762</v>
      </c>
      <c r="H83" s="257">
        <f>IFERROR(__xludf.DUMMYFUNCTION("""COMPUTED_VALUE"""),1354079.0)</f>
        <v>1354079</v>
      </c>
      <c r="I83" s="329">
        <f>IFERROR(__xludf.DUMMYFUNCTION("""COMPUTED_VALUE"""),499.0)</f>
        <v>499</v>
      </c>
      <c r="J83" s="329">
        <f>IFERROR(__xludf.DUMMYFUNCTION("""COMPUTED_VALUE"""),783.0)</f>
        <v>783</v>
      </c>
      <c r="K83" s="329">
        <f>IFERROR(__xludf.DUMMYFUNCTION("""COMPUTED_VALUE"""),44019.0)</f>
        <v>44019</v>
      </c>
      <c r="L83" s="329">
        <f>IFERROR(__xludf.DUMMYFUNCTION("""COMPUTED_VALUE"""),1337.0)</f>
        <v>1337</v>
      </c>
      <c r="M83" s="329">
        <f>IFERROR(__xludf.DUMMYFUNCTION("""COMPUTED_VALUE"""),401281.0)</f>
        <v>401281</v>
      </c>
      <c r="N83" s="329">
        <f>IFERROR(__xludf.DUMMYFUNCTION("""COMPUTED_VALUE"""),445300.0)</f>
        <v>445300</v>
      </c>
      <c r="O83" s="329">
        <f>IFERROR(__xludf.DUMMYFUNCTION("""COMPUTED_VALUE"""),47.0)</f>
        <v>47</v>
      </c>
      <c r="P83" s="329">
        <f>IFERROR(__xludf.DUMMYFUNCTION("""COMPUTED_VALUE"""),3892.0)</f>
        <v>3892</v>
      </c>
      <c r="Q83" s="329">
        <f>IFERROR(__xludf.DUMMYFUNCTION("""COMPUTED_VALUE"""),20.0)</f>
        <v>20</v>
      </c>
      <c r="R83" s="329">
        <f>IFERROR(__xludf.DUMMYFUNCTION("""COMPUTED_VALUE"""),3123.0)</f>
        <v>3123</v>
      </c>
      <c r="S83" s="329">
        <f>IFERROR(__xludf.DUMMYFUNCTION("""COMPUTED_VALUE"""),5.0)</f>
        <v>5</v>
      </c>
      <c r="T83" s="329">
        <f>IFERROR(__xludf.DUMMYFUNCTION("""COMPUTED_VALUE"""),437.0)</f>
        <v>437</v>
      </c>
      <c r="U83" s="329">
        <f>IFERROR(__xludf.DUMMYFUNCTION("""COMPUTED_VALUE"""),332.0)</f>
        <v>332</v>
      </c>
      <c r="V83" s="329">
        <f>IFERROR(__xludf.DUMMYFUNCTION("""COMPUTED_VALUE"""),314.0)</f>
        <v>314</v>
      </c>
      <c r="W83" s="329">
        <f>IFERROR(__xludf.DUMMYFUNCTION("""COMPUTED_VALUE"""),29.0)</f>
        <v>29</v>
      </c>
      <c r="X83" s="329">
        <f>IFERROR(__xludf.DUMMYFUNCTION("""COMPUTED_VALUE"""),11.0)</f>
        <v>11</v>
      </c>
      <c r="Y83" s="329">
        <f>IFERROR(__xludf.DUMMYFUNCTION("""COMPUTED_VALUE"""),8.0)</f>
        <v>8</v>
      </c>
      <c r="Z83" s="329">
        <f>IFERROR(__xludf.DUMMYFUNCTION("""COMPUTED_VALUE"""),1291.0)</f>
        <v>1291</v>
      </c>
      <c r="AA83" s="257" t="str">
        <f>IFERROR(__xludf.DUMMYFUNCTION("""COMPUTED_VALUE"""),"--")</f>
        <v>--</v>
      </c>
      <c r="AB83" s="257" t="str">
        <f>IFERROR(__xludf.DUMMYFUNCTION("""COMPUTED_VALUE"""),"--")</f>
        <v>--</v>
      </c>
      <c r="AC83" s="257" t="str">
        <f>IFERROR(__xludf.DUMMYFUNCTION("""COMPUTED_VALUE"""),"--")</f>
        <v>--</v>
      </c>
      <c r="AD83" s="257" t="str">
        <f>IFERROR(__xludf.DUMMYFUNCTION("""COMPUTED_VALUE"""),"--")</f>
        <v>--</v>
      </c>
      <c r="AE83" s="257" t="str">
        <f>IFERROR(__xludf.DUMMYFUNCTION("""COMPUTED_VALUE"""),"--")</f>
        <v>--</v>
      </c>
      <c r="AF83" s="257" t="str">
        <f>IFERROR(__xludf.DUMMYFUNCTION("""COMPUTED_VALUE"""),"--")</f>
        <v>--</v>
      </c>
      <c r="AG83" s="257" t="str">
        <f>IFERROR(__xludf.DUMMYFUNCTION("""COMPUTED_VALUE"""),"--")</f>
        <v>--</v>
      </c>
      <c r="AH83" s="257" t="str">
        <f>IFERROR(__xludf.DUMMYFUNCTION("""COMPUTED_VALUE"""),"--")</f>
        <v>--</v>
      </c>
    </row>
    <row r="84">
      <c r="A84" s="328">
        <f>IFERROR(__xludf.DUMMYFUNCTION("""COMPUTED_VALUE"""),44151.0)</f>
        <v>44151</v>
      </c>
      <c r="B84" s="329">
        <f>IFERROR(__xludf.DUMMYFUNCTION("""COMPUTED_VALUE"""),748.0)</f>
        <v>748</v>
      </c>
      <c r="C84" s="329">
        <f>IFERROR(__xludf.DUMMYFUNCTION("""COMPUTED_VALUE"""),711.0)</f>
        <v>711</v>
      </c>
      <c r="D84" s="329">
        <f>IFERROR(__xludf.DUMMYFUNCTION("""COMPUTED_VALUE"""),56965.0)</f>
        <v>56965</v>
      </c>
      <c r="E84" s="329">
        <f>IFERROR(__xludf.DUMMYFUNCTION("""COMPUTED_VALUE"""),9650.0)</f>
        <v>9650</v>
      </c>
      <c r="F84" s="257">
        <f>IFERROR(__xludf.DUMMYFUNCTION("""COMPUTED_VALUE"""),1307512.0)</f>
        <v>1307512</v>
      </c>
      <c r="G84" s="257">
        <f>IFERROR(__xludf.DUMMYFUNCTION("""COMPUTED_VALUE"""),10398.0)</f>
        <v>10398</v>
      </c>
      <c r="H84" s="257">
        <f>IFERROR(__xludf.DUMMYFUNCTION("""COMPUTED_VALUE"""),1364477.0)</f>
        <v>1364477</v>
      </c>
      <c r="I84" s="329">
        <f>IFERROR(__xludf.DUMMYFUNCTION("""COMPUTED_VALUE"""),672.0)</f>
        <v>672</v>
      </c>
      <c r="J84" s="329">
        <f>IFERROR(__xludf.DUMMYFUNCTION("""COMPUTED_VALUE"""),636.0)</f>
        <v>636</v>
      </c>
      <c r="K84" s="329">
        <f>IFERROR(__xludf.DUMMYFUNCTION("""COMPUTED_VALUE"""),44691.0)</f>
        <v>44691</v>
      </c>
      <c r="L84" s="329">
        <f>IFERROR(__xludf.DUMMYFUNCTION("""COMPUTED_VALUE"""),2484.0)</f>
        <v>2484</v>
      </c>
      <c r="M84" s="329">
        <f>IFERROR(__xludf.DUMMYFUNCTION("""COMPUTED_VALUE"""),403765.0)</f>
        <v>403765</v>
      </c>
      <c r="N84" s="329">
        <f>IFERROR(__xludf.DUMMYFUNCTION("""COMPUTED_VALUE"""),448456.0)</f>
        <v>448456</v>
      </c>
      <c r="O84" s="329">
        <f>IFERROR(__xludf.DUMMYFUNCTION("""COMPUTED_VALUE"""),56.0)</f>
        <v>56</v>
      </c>
      <c r="P84" s="329">
        <f>IFERROR(__xludf.DUMMYFUNCTION("""COMPUTED_VALUE"""),3948.0)</f>
        <v>3948</v>
      </c>
      <c r="Q84" s="329">
        <f>IFERROR(__xludf.DUMMYFUNCTION("""COMPUTED_VALUE"""),39.0)</f>
        <v>39</v>
      </c>
      <c r="R84" s="329">
        <f>IFERROR(__xludf.DUMMYFUNCTION("""COMPUTED_VALUE"""),3162.0)</f>
        <v>3162</v>
      </c>
      <c r="S84" s="329">
        <f>IFERROR(__xludf.DUMMYFUNCTION("""COMPUTED_VALUE"""),3.0)</f>
        <v>3</v>
      </c>
      <c r="T84" s="329">
        <f>IFERROR(__xludf.DUMMYFUNCTION("""COMPUTED_VALUE"""),440.0)</f>
        <v>440</v>
      </c>
      <c r="U84" s="329">
        <f>IFERROR(__xludf.DUMMYFUNCTION("""COMPUTED_VALUE"""),346.0)</f>
        <v>346</v>
      </c>
      <c r="V84" s="329">
        <f>IFERROR(__xludf.DUMMYFUNCTION("""COMPUTED_VALUE"""),329.0)</f>
        <v>329</v>
      </c>
      <c r="W84" s="329">
        <f>IFERROR(__xludf.DUMMYFUNCTION("""COMPUTED_VALUE"""),27.0)</f>
        <v>27</v>
      </c>
      <c r="X84" s="329">
        <f>IFERROR(__xludf.DUMMYFUNCTION("""COMPUTED_VALUE"""),13.0)</f>
        <v>13</v>
      </c>
      <c r="Y84" s="329">
        <f>IFERROR(__xludf.DUMMYFUNCTION("""COMPUTED_VALUE"""),6.0)</f>
        <v>6</v>
      </c>
      <c r="Z84" s="329">
        <f>IFERROR(__xludf.DUMMYFUNCTION("""COMPUTED_VALUE"""),1297.0)</f>
        <v>1297</v>
      </c>
      <c r="AA84" s="257" t="str">
        <f>IFERROR(__xludf.DUMMYFUNCTION("""COMPUTED_VALUE"""),"--")</f>
        <v>--</v>
      </c>
      <c r="AB84" s="257" t="str">
        <f>IFERROR(__xludf.DUMMYFUNCTION("""COMPUTED_VALUE"""),"--")</f>
        <v>--</v>
      </c>
      <c r="AC84" s="257" t="str">
        <f>IFERROR(__xludf.DUMMYFUNCTION("""COMPUTED_VALUE"""),"--")</f>
        <v>--</v>
      </c>
      <c r="AD84" s="257" t="str">
        <f>IFERROR(__xludf.DUMMYFUNCTION("""COMPUTED_VALUE"""),"--")</f>
        <v>--</v>
      </c>
      <c r="AE84" s="257" t="str">
        <f>IFERROR(__xludf.DUMMYFUNCTION("""COMPUTED_VALUE"""),"--")</f>
        <v>--</v>
      </c>
      <c r="AF84" s="257" t="str">
        <f>IFERROR(__xludf.DUMMYFUNCTION("""COMPUTED_VALUE"""),"--")</f>
        <v>--</v>
      </c>
      <c r="AG84" s="257" t="str">
        <f>IFERROR(__xludf.DUMMYFUNCTION("""COMPUTED_VALUE"""),"--")</f>
        <v>--</v>
      </c>
      <c r="AH84" s="257" t="str">
        <f>IFERROR(__xludf.DUMMYFUNCTION("""COMPUTED_VALUE"""),"--")</f>
        <v>--</v>
      </c>
    </row>
    <row r="85">
      <c r="A85" s="328">
        <f>IFERROR(__xludf.DUMMYFUNCTION("""COMPUTED_VALUE"""),44152.0)</f>
        <v>44152</v>
      </c>
      <c r="B85" s="329">
        <f>IFERROR(__xludf.DUMMYFUNCTION("""COMPUTED_VALUE"""),1569.0)</f>
        <v>1569</v>
      </c>
      <c r="C85" s="329">
        <f>IFERROR(__xludf.DUMMYFUNCTION("""COMPUTED_VALUE"""),967.0)</f>
        <v>967</v>
      </c>
      <c r="D85" s="329">
        <f>IFERROR(__xludf.DUMMYFUNCTION("""COMPUTED_VALUE"""),58534.0)</f>
        <v>58534</v>
      </c>
      <c r="E85" s="329">
        <f>IFERROR(__xludf.DUMMYFUNCTION("""COMPUTED_VALUE"""),18179.0)</f>
        <v>18179</v>
      </c>
      <c r="F85" s="257">
        <f>IFERROR(__xludf.DUMMYFUNCTION("""COMPUTED_VALUE"""),1325691.0)</f>
        <v>1325691</v>
      </c>
      <c r="G85" s="257">
        <f>IFERROR(__xludf.DUMMYFUNCTION("""COMPUTED_VALUE"""),19748.0)</f>
        <v>19748</v>
      </c>
      <c r="H85" s="257">
        <f>IFERROR(__xludf.DUMMYFUNCTION("""COMPUTED_VALUE"""),1384225.0)</f>
        <v>1384225</v>
      </c>
      <c r="I85" s="329">
        <f>IFERROR(__xludf.DUMMYFUNCTION("""COMPUTED_VALUE"""),1400.0)</f>
        <v>1400</v>
      </c>
      <c r="J85" s="329">
        <f>IFERROR(__xludf.DUMMYFUNCTION("""COMPUTED_VALUE"""),857.0)</f>
        <v>857</v>
      </c>
      <c r="K85" s="329">
        <f>IFERROR(__xludf.DUMMYFUNCTION("""COMPUTED_VALUE"""),46091.0)</f>
        <v>46091</v>
      </c>
      <c r="L85" s="329">
        <f>IFERROR(__xludf.DUMMYFUNCTION("""COMPUTED_VALUE"""),3858.0)</f>
        <v>3858</v>
      </c>
      <c r="M85" s="329">
        <f>IFERROR(__xludf.DUMMYFUNCTION("""COMPUTED_VALUE"""),407623.0)</f>
        <v>407623</v>
      </c>
      <c r="N85" s="329">
        <f>IFERROR(__xludf.DUMMYFUNCTION("""COMPUTED_VALUE"""),453714.0)</f>
        <v>453714</v>
      </c>
      <c r="O85" s="329">
        <f>IFERROR(__xludf.DUMMYFUNCTION("""COMPUTED_VALUE"""),58.0)</f>
        <v>58</v>
      </c>
      <c r="P85" s="329">
        <f>IFERROR(__xludf.DUMMYFUNCTION("""COMPUTED_VALUE"""),4006.0)</f>
        <v>4006</v>
      </c>
      <c r="Q85" s="329">
        <f>IFERROR(__xludf.DUMMYFUNCTION("""COMPUTED_VALUE"""),44.0)</f>
        <v>44</v>
      </c>
      <c r="R85" s="329">
        <f>IFERROR(__xludf.DUMMYFUNCTION("""COMPUTED_VALUE"""),3206.0)</f>
        <v>3206</v>
      </c>
      <c r="S85" s="329">
        <f>IFERROR(__xludf.DUMMYFUNCTION("""COMPUTED_VALUE"""),2.0)</f>
        <v>2</v>
      </c>
      <c r="T85" s="329">
        <f>IFERROR(__xludf.DUMMYFUNCTION("""COMPUTED_VALUE"""),442.0)</f>
        <v>442</v>
      </c>
      <c r="U85" s="329">
        <f>IFERROR(__xludf.DUMMYFUNCTION("""COMPUTED_VALUE"""),358.0)</f>
        <v>358</v>
      </c>
      <c r="V85" s="329">
        <f>IFERROR(__xludf.DUMMYFUNCTION("""COMPUTED_VALUE"""),345.0)</f>
        <v>345</v>
      </c>
      <c r="W85" s="329">
        <f>IFERROR(__xludf.DUMMYFUNCTION("""COMPUTED_VALUE"""),31.0)</f>
        <v>31</v>
      </c>
      <c r="X85" s="329">
        <f>IFERROR(__xludf.DUMMYFUNCTION("""COMPUTED_VALUE"""),13.0)</f>
        <v>13</v>
      </c>
      <c r="Y85" s="329">
        <f>IFERROR(__xludf.DUMMYFUNCTION("""COMPUTED_VALUE"""),5.0)</f>
        <v>5</v>
      </c>
      <c r="Z85" s="329">
        <f>IFERROR(__xludf.DUMMYFUNCTION("""COMPUTED_VALUE"""),1302.0)</f>
        <v>1302</v>
      </c>
      <c r="AA85" s="257" t="str">
        <f>IFERROR(__xludf.DUMMYFUNCTION("""COMPUTED_VALUE"""),"--")</f>
        <v>--</v>
      </c>
      <c r="AB85" s="257" t="str">
        <f>IFERROR(__xludf.DUMMYFUNCTION("""COMPUTED_VALUE"""),"--")</f>
        <v>--</v>
      </c>
      <c r="AC85" s="257" t="str">
        <f>IFERROR(__xludf.DUMMYFUNCTION("""COMPUTED_VALUE"""),"--")</f>
        <v>--</v>
      </c>
      <c r="AD85" s="257" t="str">
        <f>IFERROR(__xludf.DUMMYFUNCTION("""COMPUTED_VALUE"""),"--")</f>
        <v>--</v>
      </c>
      <c r="AE85" s="257" t="str">
        <f>IFERROR(__xludf.DUMMYFUNCTION("""COMPUTED_VALUE"""),"--")</f>
        <v>--</v>
      </c>
      <c r="AF85" s="257" t="str">
        <f>IFERROR(__xludf.DUMMYFUNCTION("""COMPUTED_VALUE"""),"--")</f>
        <v>--</v>
      </c>
      <c r="AG85" s="257" t="str">
        <f>IFERROR(__xludf.DUMMYFUNCTION("""COMPUTED_VALUE"""),"--")</f>
        <v>--</v>
      </c>
      <c r="AH85" s="257" t="str">
        <f>IFERROR(__xludf.DUMMYFUNCTION("""COMPUTED_VALUE"""),"--")</f>
        <v>--</v>
      </c>
    </row>
    <row r="86">
      <c r="A86" s="328">
        <f>IFERROR(__xludf.DUMMYFUNCTION("""COMPUTED_VALUE"""),44153.0)</f>
        <v>44153</v>
      </c>
      <c r="B86" s="329">
        <f>IFERROR(__xludf.DUMMYFUNCTION("""COMPUTED_VALUE"""),1146.0)</f>
        <v>1146</v>
      </c>
      <c r="C86" s="329">
        <f>IFERROR(__xludf.DUMMYFUNCTION("""COMPUTED_VALUE"""),1154.0)</f>
        <v>1154</v>
      </c>
      <c r="D86" s="329">
        <f>IFERROR(__xludf.DUMMYFUNCTION("""COMPUTED_VALUE"""),59680.0)</f>
        <v>59680</v>
      </c>
      <c r="E86" s="329">
        <f>IFERROR(__xludf.DUMMYFUNCTION("""COMPUTED_VALUE"""),16079.0)</f>
        <v>16079</v>
      </c>
      <c r="F86" s="257">
        <f>IFERROR(__xludf.DUMMYFUNCTION("""COMPUTED_VALUE"""),1341770.0)</f>
        <v>1341770</v>
      </c>
      <c r="G86" s="257">
        <f>IFERROR(__xludf.DUMMYFUNCTION("""COMPUTED_VALUE"""),17225.0)</f>
        <v>17225</v>
      </c>
      <c r="H86" s="257">
        <f>IFERROR(__xludf.DUMMYFUNCTION("""COMPUTED_VALUE"""),1401450.0)</f>
        <v>1401450</v>
      </c>
      <c r="I86" s="329">
        <f>IFERROR(__xludf.DUMMYFUNCTION("""COMPUTED_VALUE"""),1022.0)</f>
        <v>1022</v>
      </c>
      <c r="J86" s="329">
        <f>IFERROR(__xludf.DUMMYFUNCTION("""COMPUTED_VALUE"""),1031.0)</f>
        <v>1031</v>
      </c>
      <c r="K86" s="329">
        <f>IFERROR(__xludf.DUMMYFUNCTION("""COMPUTED_VALUE"""),47113.0)</f>
        <v>47113</v>
      </c>
      <c r="L86" s="329">
        <f>IFERROR(__xludf.DUMMYFUNCTION("""COMPUTED_VALUE"""),3009.0)</f>
        <v>3009</v>
      </c>
      <c r="M86" s="329">
        <f>IFERROR(__xludf.DUMMYFUNCTION("""COMPUTED_VALUE"""),410632.0)</f>
        <v>410632</v>
      </c>
      <c r="N86" s="329">
        <f>IFERROR(__xludf.DUMMYFUNCTION("""COMPUTED_VALUE"""),457745.0)</f>
        <v>457745</v>
      </c>
      <c r="O86" s="329">
        <f>IFERROR(__xludf.DUMMYFUNCTION("""COMPUTED_VALUE"""),39.0)</f>
        <v>39</v>
      </c>
      <c r="P86" s="329">
        <f>IFERROR(__xludf.DUMMYFUNCTION("""COMPUTED_VALUE"""),4045.0)</f>
        <v>4045</v>
      </c>
      <c r="Q86" s="329">
        <f>IFERROR(__xludf.DUMMYFUNCTION("""COMPUTED_VALUE"""),38.0)</f>
        <v>38</v>
      </c>
      <c r="R86" s="329">
        <f>IFERROR(__xludf.DUMMYFUNCTION("""COMPUTED_VALUE"""),3244.0)</f>
        <v>3244</v>
      </c>
      <c r="S86" s="329">
        <f>IFERROR(__xludf.DUMMYFUNCTION("""COMPUTED_VALUE"""),5.0)</f>
        <v>5</v>
      </c>
      <c r="T86" s="329">
        <f>IFERROR(__xludf.DUMMYFUNCTION("""COMPUTED_VALUE"""),447.0)</f>
        <v>447</v>
      </c>
      <c r="U86" s="329">
        <f>IFERROR(__xludf.DUMMYFUNCTION("""COMPUTED_VALUE"""),354.0)</f>
        <v>354</v>
      </c>
      <c r="V86" s="329">
        <f>IFERROR(__xludf.DUMMYFUNCTION("""COMPUTED_VALUE"""),353.0)</f>
        <v>353</v>
      </c>
      <c r="W86" s="329">
        <f>IFERROR(__xludf.DUMMYFUNCTION("""COMPUTED_VALUE"""),30.0)</f>
        <v>30</v>
      </c>
      <c r="X86" s="329">
        <f>IFERROR(__xludf.DUMMYFUNCTION("""COMPUTED_VALUE"""),15.0)</f>
        <v>15</v>
      </c>
      <c r="Y86" s="329">
        <f>IFERROR(__xludf.DUMMYFUNCTION("""COMPUTED_VALUE"""),7.0)</f>
        <v>7</v>
      </c>
      <c r="Z86" s="329">
        <f>IFERROR(__xludf.DUMMYFUNCTION("""COMPUTED_VALUE"""),1309.0)</f>
        <v>1309</v>
      </c>
      <c r="AA86" s="257" t="str">
        <f>IFERROR(__xludf.DUMMYFUNCTION("""COMPUTED_VALUE"""),"--")</f>
        <v>--</v>
      </c>
      <c r="AB86" s="257" t="str">
        <f>IFERROR(__xludf.DUMMYFUNCTION("""COMPUTED_VALUE"""),"--")</f>
        <v>--</v>
      </c>
      <c r="AC86" s="257" t="str">
        <f>IFERROR(__xludf.DUMMYFUNCTION("""COMPUTED_VALUE"""),"--")</f>
        <v>--</v>
      </c>
      <c r="AD86" s="257" t="str">
        <f>IFERROR(__xludf.DUMMYFUNCTION("""COMPUTED_VALUE"""),"--")</f>
        <v>--</v>
      </c>
      <c r="AE86" s="257" t="str">
        <f>IFERROR(__xludf.DUMMYFUNCTION("""COMPUTED_VALUE"""),"--")</f>
        <v>--</v>
      </c>
      <c r="AF86" s="257" t="str">
        <f>IFERROR(__xludf.DUMMYFUNCTION("""COMPUTED_VALUE"""),"--")</f>
        <v>--</v>
      </c>
      <c r="AG86" s="257" t="str">
        <f>IFERROR(__xludf.DUMMYFUNCTION("""COMPUTED_VALUE"""),"--")</f>
        <v>--</v>
      </c>
      <c r="AH86" s="257" t="str">
        <f>IFERROR(__xludf.DUMMYFUNCTION("""COMPUTED_VALUE"""),"--")</f>
        <v>--</v>
      </c>
    </row>
    <row r="87">
      <c r="A87" s="328">
        <f>IFERROR(__xludf.DUMMYFUNCTION("""COMPUTED_VALUE"""),44154.0)</f>
        <v>44154</v>
      </c>
      <c r="B87" s="329">
        <f>IFERROR(__xludf.DUMMYFUNCTION("""COMPUTED_VALUE"""),1139.0)</f>
        <v>1139</v>
      </c>
      <c r="C87" s="329">
        <f>IFERROR(__xludf.DUMMYFUNCTION("""COMPUTED_VALUE"""),1285.0)</f>
        <v>1285</v>
      </c>
      <c r="D87" s="329">
        <f>IFERROR(__xludf.DUMMYFUNCTION("""COMPUTED_VALUE"""),60819.0)</f>
        <v>60819</v>
      </c>
      <c r="E87" s="329">
        <f>IFERROR(__xludf.DUMMYFUNCTION("""COMPUTED_VALUE"""),13186.0)</f>
        <v>13186</v>
      </c>
      <c r="F87" s="257">
        <f>IFERROR(__xludf.DUMMYFUNCTION("""COMPUTED_VALUE"""),1354956.0)</f>
        <v>1354956</v>
      </c>
      <c r="G87" s="257">
        <f>IFERROR(__xludf.DUMMYFUNCTION("""COMPUTED_VALUE"""),14325.0)</f>
        <v>14325</v>
      </c>
      <c r="H87" s="257">
        <f>IFERROR(__xludf.DUMMYFUNCTION("""COMPUTED_VALUE"""),1415775.0)</f>
        <v>1415775</v>
      </c>
      <c r="I87" s="329">
        <f>IFERROR(__xludf.DUMMYFUNCTION("""COMPUTED_VALUE"""),1034.0)</f>
        <v>1034</v>
      </c>
      <c r="J87" s="329">
        <f>IFERROR(__xludf.DUMMYFUNCTION("""COMPUTED_VALUE"""),1152.0)</f>
        <v>1152</v>
      </c>
      <c r="K87" s="329">
        <f>IFERROR(__xludf.DUMMYFUNCTION("""COMPUTED_VALUE"""),48147.0)</f>
        <v>48147</v>
      </c>
      <c r="L87" s="329">
        <f>IFERROR(__xludf.DUMMYFUNCTION("""COMPUTED_VALUE"""),3167.0)</f>
        <v>3167</v>
      </c>
      <c r="M87" s="329">
        <f>IFERROR(__xludf.DUMMYFUNCTION("""COMPUTED_VALUE"""),413799.0)</f>
        <v>413799</v>
      </c>
      <c r="N87" s="329">
        <f>IFERROR(__xludf.DUMMYFUNCTION("""COMPUTED_VALUE"""),461946.0)</f>
        <v>461946</v>
      </c>
      <c r="O87" s="329">
        <f>IFERROR(__xludf.DUMMYFUNCTION("""COMPUTED_VALUE"""),47.0)</f>
        <v>47</v>
      </c>
      <c r="P87" s="329">
        <f>IFERROR(__xludf.DUMMYFUNCTION("""COMPUTED_VALUE"""),4092.0)</f>
        <v>4092</v>
      </c>
      <c r="Q87" s="329">
        <f>IFERROR(__xludf.DUMMYFUNCTION("""COMPUTED_VALUE"""),42.0)</f>
        <v>42</v>
      </c>
      <c r="R87" s="329">
        <f>IFERROR(__xludf.DUMMYFUNCTION("""COMPUTED_VALUE"""),3286.0)</f>
        <v>3286</v>
      </c>
      <c r="S87" s="329">
        <f>IFERROR(__xludf.DUMMYFUNCTION("""COMPUTED_VALUE"""),4.0)</f>
        <v>4</v>
      </c>
      <c r="T87" s="329">
        <f>IFERROR(__xludf.DUMMYFUNCTION("""COMPUTED_VALUE"""),451.0)</f>
        <v>451</v>
      </c>
      <c r="U87" s="329">
        <f>IFERROR(__xludf.DUMMYFUNCTION("""COMPUTED_VALUE"""),355.0)</f>
        <v>355</v>
      </c>
      <c r="V87" s="329">
        <f>IFERROR(__xludf.DUMMYFUNCTION("""COMPUTED_VALUE"""),356.0)</f>
        <v>356</v>
      </c>
      <c r="W87" s="329">
        <f>IFERROR(__xludf.DUMMYFUNCTION("""COMPUTED_VALUE"""),31.0)</f>
        <v>31</v>
      </c>
      <c r="X87" s="329">
        <f>IFERROR(__xludf.DUMMYFUNCTION("""COMPUTED_VALUE"""),18.0)</f>
        <v>18</v>
      </c>
      <c r="Y87" s="329">
        <f>IFERROR(__xludf.DUMMYFUNCTION("""COMPUTED_VALUE"""),6.0)</f>
        <v>6</v>
      </c>
      <c r="Z87" s="329">
        <f>IFERROR(__xludf.DUMMYFUNCTION("""COMPUTED_VALUE"""),1315.0)</f>
        <v>1315</v>
      </c>
      <c r="AA87" s="257" t="str">
        <f>IFERROR(__xludf.DUMMYFUNCTION("""COMPUTED_VALUE"""),"--")</f>
        <v>--</v>
      </c>
      <c r="AB87" s="257" t="str">
        <f>IFERROR(__xludf.DUMMYFUNCTION("""COMPUTED_VALUE"""),"--")</f>
        <v>--</v>
      </c>
      <c r="AC87" s="257" t="str">
        <f>IFERROR(__xludf.DUMMYFUNCTION("""COMPUTED_VALUE"""),"--")</f>
        <v>--</v>
      </c>
      <c r="AD87" s="257" t="str">
        <f>IFERROR(__xludf.DUMMYFUNCTION("""COMPUTED_VALUE"""),"--")</f>
        <v>--</v>
      </c>
      <c r="AE87" s="257" t="str">
        <f>IFERROR(__xludf.DUMMYFUNCTION("""COMPUTED_VALUE"""),"--")</f>
        <v>--</v>
      </c>
      <c r="AF87" s="257" t="str">
        <f>IFERROR(__xludf.DUMMYFUNCTION("""COMPUTED_VALUE"""),"--")</f>
        <v>--</v>
      </c>
      <c r="AG87" s="257" t="str">
        <f>IFERROR(__xludf.DUMMYFUNCTION("""COMPUTED_VALUE"""),"--")</f>
        <v>--</v>
      </c>
      <c r="AH87" s="257" t="str">
        <f>IFERROR(__xludf.DUMMYFUNCTION("""COMPUTED_VALUE"""),"--")</f>
        <v>--</v>
      </c>
    </row>
    <row r="88">
      <c r="A88" s="328">
        <f>IFERROR(__xludf.DUMMYFUNCTION("""COMPUTED_VALUE"""),44155.0)</f>
        <v>44155</v>
      </c>
      <c r="B88" s="329">
        <f>IFERROR(__xludf.DUMMYFUNCTION("""COMPUTED_VALUE"""),1463.0)</f>
        <v>1463</v>
      </c>
      <c r="C88" s="329">
        <f>IFERROR(__xludf.DUMMYFUNCTION("""COMPUTED_VALUE"""),1249.0)</f>
        <v>1249</v>
      </c>
      <c r="D88" s="329">
        <f>IFERROR(__xludf.DUMMYFUNCTION("""COMPUTED_VALUE"""),62282.0)</f>
        <v>62282</v>
      </c>
      <c r="E88" s="329">
        <f>IFERROR(__xludf.DUMMYFUNCTION("""COMPUTED_VALUE"""),22228.0)</f>
        <v>22228</v>
      </c>
      <c r="F88" s="257">
        <f>IFERROR(__xludf.DUMMYFUNCTION("""COMPUTED_VALUE"""),1377184.0)</f>
        <v>1377184</v>
      </c>
      <c r="G88" s="257">
        <f>IFERROR(__xludf.DUMMYFUNCTION("""COMPUTED_VALUE"""),23691.0)</f>
        <v>23691</v>
      </c>
      <c r="H88" s="257">
        <f>IFERROR(__xludf.DUMMYFUNCTION("""COMPUTED_VALUE"""),1439466.0)</f>
        <v>1439466</v>
      </c>
      <c r="I88" s="329">
        <f>IFERROR(__xludf.DUMMYFUNCTION("""COMPUTED_VALUE"""),1307.0)</f>
        <v>1307</v>
      </c>
      <c r="J88" s="329">
        <f>IFERROR(__xludf.DUMMYFUNCTION("""COMPUTED_VALUE"""),1121.0)</f>
        <v>1121</v>
      </c>
      <c r="K88" s="329">
        <f>IFERROR(__xludf.DUMMYFUNCTION("""COMPUTED_VALUE"""),49454.0)</f>
        <v>49454</v>
      </c>
      <c r="L88" s="329">
        <f>IFERROR(__xludf.DUMMYFUNCTION("""COMPUTED_VALUE"""),4069.0)</f>
        <v>4069</v>
      </c>
      <c r="M88" s="329">
        <f>IFERROR(__xludf.DUMMYFUNCTION("""COMPUTED_VALUE"""),417868.0)</f>
        <v>417868</v>
      </c>
      <c r="N88" s="329">
        <f>IFERROR(__xludf.DUMMYFUNCTION("""COMPUTED_VALUE"""),467322.0)</f>
        <v>467322</v>
      </c>
      <c r="O88" s="329">
        <f>IFERROR(__xludf.DUMMYFUNCTION("""COMPUTED_VALUE"""),48.0)</f>
        <v>48</v>
      </c>
      <c r="P88" s="329">
        <f>IFERROR(__xludf.DUMMYFUNCTION("""COMPUTED_VALUE"""),4140.0)</f>
        <v>4140</v>
      </c>
      <c r="Q88" s="329">
        <f>IFERROR(__xludf.DUMMYFUNCTION("""COMPUTED_VALUE"""),47.0)</f>
        <v>47</v>
      </c>
      <c r="R88" s="329">
        <f>IFERROR(__xludf.DUMMYFUNCTION("""COMPUTED_VALUE"""),3333.0)</f>
        <v>3333</v>
      </c>
      <c r="S88" s="329">
        <f>IFERROR(__xludf.DUMMYFUNCTION("""COMPUTED_VALUE"""),3.0)</f>
        <v>3</v>
      </c>
      <c r="T88" s="329">
        <f>IFERROR(__xludf.DUMMYFUNCTION("""COMPUTED_VALUE"""),454.0)</f>
        <v>454</v>
      </c>
      <c r="U88" s="329">
        <f>IFERROR(__xludf.DUMMYFUNCTION("""COMPUTED_VALUE"""),353.0)</f>
        <v>353</v>
      </c>
      <c r="V88" s="329">
        <f>IFERROR(__xludf.DUMMYFUNCTION("""COMPUTED_VALUE"""),354.0)</f>
        <v>354</v>
      </c>
      <c r="W88" s="329">
        <f>IFERROR(__xludf.DUMMYFUNCTION("""COMPUTED_VALUE"""),34.0)</f>
        <v>34</v>
      </c>
      <c r="X88" s="329">
        <f>IFERROR(__xludf.DUMMYFUNCTION("""COMPUTED_VALUE"""),14.0)</f>
        <v>14</v>
      </c>
      <c r="Y88" s="329">
        <f>IFERROR(__xludf.DUMMYFUNCTION("""COMPUTED_VALUE"""),7.0)</f>
        <v>7</v>
      </c>
      <c r="Z88" s="329">
        <f>IFERROR(__xludf.DUMMYFUNCTION("""COMPUTED_VALUE"""),1322.0)</f>
        <v>1322</v>
      </c>
      <c r="AA88" s="257" t="str">
        <f>IFERROR(__xludf.DUMMYFUNCTION("""COMPUTED_VALUE"""),"--")</f>
        <v>--</v>
      </c>
      <c r="AB88" s="257" t="str">
        <f>IFERROR(__xludf.DUMMYFUNCTION("""COMPUTED_VALUE"""),"--")</f>
        <v>--</v>
      </c>
      <c r="AC88" s="257" t="str">
        <f>IFERROR(__xludf.DUMMYFUNCTION("""COMPUTED_VALUE"""),"--")</f>
        <v>--</v>
      </c>
      <c r="AD88" s="257" t="str">
        <f>IFERROR(__xludf.DUMMYFUNCTION("""COMPUTED_VALUE"""),"--")</f>
        <v>--</v>
      </c>
      <c r="AE88" s="257" t="str">
        <f>IFERROR(__xludf.DUMMYFUNCTION("""COMPUTED_VALUE"""),"--")</f>
        <v>--</v>
      </c>
      <c r="AF88" s="257" t="str">
        <f>IFERROR(__xludf.DUMMYFUNCTION("""COMPUTED_VALUE"""),"--")</f>
        <v>--</v>
      </c>
      <c r="AG88" s="257" t="str">
        <f>IFERROR(__xludf.DUMMYFUNCTION("""COMPUTED_VALUE"""),"--")</f>
        <v>--</v>
      </c>
      <c r="AH88" s="257" t="str">
        <f>IFERROR(__xludf.DUMMYFUNCTION("""COMPUTED_VALUE"""),"--")</f>
        <v>--</v>
      </c>
    </row>
    <row r="89">
      <c r="A89" s="328">
        <f>IFERROR(__xludf.DUMMYFUNCTION("""COMPUTED_VALUE"""),44156.0)</f>
        <v>44156</v>
      </c>
      <c r="B89" s="329">
        <f>IFERROR(__xludf.DUMMYFUNCTION("""COMPUTED_VALUE"""),853.0)</f>
        <v>853</v>
      </c>
      <c r="C89" s="329">
        <f>IFERROR(__xludf.DUMMYFUNCTION("""COMPUTED_VALUE"""),1152.0)</f>
        <v>1152</v>
      </c>
      <c r="D89" s="329">
        <f>IFERROR(__xludf.DUMMYFUNCTION("""COMPUTED_VALUE"""),63135.0)</f>
        <v>63135</v>
      </c>
      <c r="E89" s="329">
        <f>IFERROR(__xludf.DUMMYFUNCTION("""COMPUTED_VALUE"""),17381.0)</f>
        <v>17381</v>
      </c>
      <c r="F89" s="257">
        <f>IFERROR(__xludf.DUMMYFUNCTION("""COMPUTED_VALUE"""),1394565.0)</f>
        <v>1394565</v>
      </c>
      <c r="G89" s="257">
        <f>IFERROR(__xludf.DUMMYFUNCTION("""COMPUTED_VALUE"""),18234.0)</f>
        <v>18234</v>
      </c>
      <c r="H89" s="257">
        <f>IFERROR(__xludf.DUMMYFUNCTION("""COMPUTED_VALUE"""),1457700.0)</f>
        <v>1457700</v>
      </c>
      <c r="I89" s="329">
        <f>IFERROR(__xludf.DUMMYFUNCTION("""COMPUTED_VALUE"""),755.0)</f>
        <v>755</v>
      </c>
      <c r="J89" s="329">
        <f>IFERROR(__xludf.DUMMYFUNCTION("""COMPUTED_VALUE"""),1032.0)</f>
        <v>1032</v>
      </c>
      <c r="K89" s="329">
        <f>IFERROR(__xludf.DUMMYFUNCTION("""COMPUTED_VALUE"""),50209.0)</f>
        <v>50209</v>
      </c>
      <c r="L89" s="329">
        <f>IFERROR(__xludf.DUMMYFUNCTION("""COMPUTED_VALUE"""),2956.0)</f>
        <v>2956</v>
      </c>
      <c r="M89" s="329">
        <f>IFERROR(__xludf.DUMMYFUNCTION("""COMPUTED_VALUE"""),420824.0)</f>
        <v>420824</v>
      </c>
      <c r="N89" s="329">
        <f>IFERROR(__xludf.DUMMYFUNCTION("""COMPUTED_VALUE"""),471033.0)</f>
        <v>471033</v>
      </c>
      <c r="O89" s="329">
        <f>IFERROR(__xludf.DUMMYFUNCTION("""COMPUTED_VALUE"""),42.0)</f>
        <v>42</v>
      </c>
      <c r="P89" s="329">
        <f>IFERROR(__xludf.DUMMYFUNCTION("""COMPUTED_VALUE"""),4182.0)</f>
        <v>4182</v>
      </c>
      <c r="Q89" s="329">
        <f>IFERROR(__xludf.DUMMYFUNCTION("""COMPUTED_VALUE"""),33.0)</f>
        <v>33</v>
      </c>
      <c r="R89" s="329">
        <f>IFERROR(__xludf.DUMMYFUNCTION("""COMPUTED_VALUE"""),3366.0)</f>
        <v>3366</v>
      </c>
      <c r="S89" s="329">
        <f>IFERROR(__xludf.DUMMYFUNCTION("""COMPUTED_VALUE"""),5.0)</f>
        <v>5</v>
      </c>
      <c r="T89" s="329">
        <f>IFERROR(__xludf.DUMMYFUNCTION("""COMPUTED_VALUE"""),459.0)</f>
        <v>459</v>
      </c>
      <c r="U89" s="329">
        <f>IFERROR(__xludf.DUMMYFUNCTION("""COMPUTED_VALUE"""),357.0)</f>
        <v>357</v>
      </c>
      <c r="V89" s="329">
        <f>IFERROR(__xludf.DUMMYFUNCTION("""COMPUTED_VALUE"""),355.0)</f>
        <v>355</v>
      </c>
      <c r="W89" s="329">
        <f>IFERROR(__xludf.DUMMYFUNCTION("""COMPUTED_VALUE"""),36.0)</f>
        <v>36</v>
      </c>
      <c r="X89" s="329">
        <f>IFERROR(__xludf.DUMMYFUNCTION("""COMPUTED_VALUE"""),14.0)</f>
        <v>14</v>
      </c>
      <c r="Y89" s="329">
        <f>IFERROR(__xludf.DUMMYFUNCTION("""COMPUTED_VALUE"""),10.0)</f>
        <v>10</v>
      </c>
      <c r="Z89" s="329">
        <f>IFERROR(__xludf.DUMMYFUNCTION("""COMPUTED_VALUE"""),1332.0)</f>
        <v>1332</v>
      </c>
      <c r="AA89" s="257" t="str">
        <f>IFERROR(__xludf.DUMMYFUNCTION("""COMPUTED_VALUE"""),"--")</f>
        <v>--</v>
      </c>
      <c r="AB89" s="257" t="str">
        <f>IFERROR(__xludf.DUMMYFUNCTION("""COMPUTED_VALUE"""),"--")</f>
        <v>--</v>
      </c>
      <c r="AC89" s="257" t="str">
        <f>IFERROR(__xludf.DUMMYFUNCTION("""COMPUTED_VALUE"""),"--")</f>
        <v>--</v>
      </c>
      <c r="AD89" s="257" t="str">
        <f>IFERROR(__xludf.DUMMYFUNCTION("""COMPUTED_VALUE"""),"--")</f>
        <v>--</v>
      </c>
      <c r="AE89" s="257" t="str">
        <f>IFERROR(__xludf.DUMMYFUNCTION("""COMPUTED_VALUE"""),"--")</f>
        <v>--</v>
      </c>
      <c r="AF89" s="257" t="str">
        <f>IFERROR(__xludf.DUMMYFUNCTION("""COMPUTED_VALUE"""),"--")</f>
        <v>--</v>
      </c>
      <c r="AG89" s="257" t="str">
        <f>IFERROR(__xludf.DUMMYFUNCTION("""COMPUTED_VALUE"""),"--")</f>
        <v>--</v>
      </c>
      <c r="AH89" s="257" t="str">
        <f>IFERROR(__xludf.DUMMYFUNCTION("""COMPUTED_VALUE"""),"--")</f>
        <v>--</v>
      </c>
    </row>
    <row r="90">
      <c r="A90" s="328">
        <f>IFERROR(__xludf.DUMMYFUNCTION("""COMPUTED_VALUE"""),44157.0)</f>
        <v>44157</v>
      </c>
      <c r="B90" s="329">
        <f>IFERROR(__xludf.DUMMYFUNCTION("""COMPUTED_VALUE"""),573.0)</f>
        <v>573</v>
      </c>
      <c r="C90" s="329">
        <f>IFERROR(__xludf.DUMMYFUNCTION("""COMPUTED_VALUE"""),963.0)</f>
        <v>963</v>
      </c>
      <c r="D90" s="329">
        <f>IFERROR(__xludf.DUMMYFUNCTION("""COMPUTED_VALUE"""),63708.0)</f>
        <v>63708</v>
      </c>
      <c r="E90" s="329">
        <f>IFERROR(__xludf.DUMMYFUNCTION("""COMPUTED_VALUE"""),7525.0)</f>
        <v>7525</v>
      </c>
      <c r="F90" s="257">
        <f>IFERROR(__xludf.DUMMYFUNCTION("""COMPUTED_VALUE"""),1402090.0)</f>
        <v>1402090</v>
      </c>
      <c r="G90" s="257">
        <f>IFERROR(__xludf.DUMMYFUNCTION("""COMPUTED_VALUE"""),8098.0)</f>
        <v>8098</v>
      </c>
      <c r="H90" s="257">
        <f>IFERROR(__xludf.DUMMYFUNCTION("""COMPUTED_VALUE"""),1465798.0)</f>
        <v>1465798</v>
      </c>
      <c r="I90" s="329">
        <f>IFERROR(__xludf.DUMMYFUNCTION("""COMPUTED_VALUE"""),485.0)</f>
        <v>485</v>
      </c>
      <c r="J90" s="329">
        <f>IFERROR(__xludf.DUMMYFUNCTION("""COMPUTED_VALUE"""),849.0)</f>
        <v>849</v>
      </c>
      <c r="K90" s="329">
        <f>IFERROR(__xludf.DUMMYFUNCTION("""COMPUTED_VALUE"""),50694.0)</f>
        <v>50694</v>
      </c>
      <c r="L90" s="329">
        <f>IFERROR(__xludf.DUMMYFUNCTION("""COMPUTED_VALUE"""),1700.0)</f>
        <v>1700</v>
      </c>
      <c r="M90" s="329">
        <f>IFERROR(__xludf.DUMMYFUNCTION("""COMPUTED_VALUE"""),422524.0)</f>
        <v>422524</v>
      </c>
      <c r="N90" s="329">
        <f>IFERROR(__xludf.DUMMYFUNCTION("""COMPUTED_VALUE"""),473218.0)</f>
        <v>473218</v>
      </c>
      <c r="O90" s="329">
        <f>IFERROR(__xludf.DUMMYFUNCTION("""COMPUTED_VALUE"""),64.0)</f>
        <v>64</v>
      </c>
      <c r="P90" s="329">
        <f>IFERROR(__xludf.DUMMYFUNCTION("""COMPUTED_VALUE"""),4246.0)</f>
        <v>4246</v>
      </c>
      <c r="Q90" s="329">
        <f>IFERROR(__xludf.DUMMYFUNCTION("""COMPUTED_VALUE"""),27.0)</f>
        <v>27</v>
      </c>
      <c r="R90" s="329">
        <f>IFERROR(__xludf.DUMMYFUNCTION("""COMPUTED_VALUE"""),3393.0)</f>
        <v>3393</v>
      </c>
      <c r="S90" s="329">
        <f>IFERROR(__xludf.DUMMYFUNCTION("""COMPUTED_VALUE"""),4.0)</f>
        <v>4</v>
      </c>
      <c r="T90" s="329">
        <f>IFERROR(__xludf.DUMMYFUNCTION("""COMPUTED_VALUE"""),463.0)</f>
        <v>463</v>
      </c>
      <c r="U90" s="329">
        <f>IFERROR(__xludf.DUMMYFUNCTION("""COMPUTED_VALUE"""),390.0)</f>
        <v>390</v>
      </c>
      <c r="V90" s="329">
        <f>IFERROR(__xludf.DUMMYFUNCTION("""COMPUTED_VALUE"""),367.0)</f>
        <v>367</v>
      </c>
      <c r="W90" s="329">
        <f>IFERROR(__xludf.DUMMYFUNCTION("""COMPUTED_VALUE"""),34.0)</f>
        <v>34</v>
      </c>
      <c r="X90" s="329">
        <f>IFERROR(__xludf.DUMMYFUNCTION("""COMPUTED_VALUE"""),15.0)</f>
        <v>15</v>
      </c>
      <c r="Y90" s="329">
        <f>IFERROR(__xludf.DUMMYFUNCTION("""COMPUTED_VALUE"""),12.0)</f>
        <v>12</v>
      </c>
      <c r="Z90" s="329">
        <f>IFERROR(__xludf.DUMMYFUNCTION("""COMPUTED_VALUE"""),1344.0)</f>
        <v>1344</v>
      </c>
      <c r="AA90" s="257" t="str">
        <f>IFERROR(__xludf.DUMMYFUNCTION("""COMPUTED_VALUE"""),"--")</f>
        <v>--</v>
      </c>
      <c r="AB90" s="257" t="str">
        <f>IFERROR(__xludf.DUMMYFUNCTION("""COMPUTED_VALUE"""),"--")</f>
        <v>--</v>
      </c>
      <c r="AC90" s="257" t="str">
        <f>IFERROR(__xludf.DUMMYFUNCTION("""COMPUTED_VALUE"""),"--")</f>
        <v>--</v>
      </c>
      <c r="AD90" s="257" t="str">
        <f>IFERROR(__xludf.DUMMYFUNCTION("""COMPUTED_VALUE"""),"--")</f>
        <v>--</v>
      </c>
      <c r="AE90" s="257" t="str">
        <f>IFERROR(__xludf.DUMMYFUNCTION("""COMPUTED_VALUE"""),"--")</f>
        <v>--</v>
      </c>
      <c r="AF90" s="257" t="str">
        <f>IFERROR(__xludf.DUMMYFUNCTION("""COMPUTED_VALUE"""),"--")</f>
        <v>--</v>
      </c>
      <c r="AG90" s="257" t="str">
        <f>IFERROR(__xludf.DUMMYFUNCTION("""COMPUTED_VALUE"""),"--")</f>
        <v>--</v>
      </c>
      <c r="AH90" s="257" t="str">
        <f>IFERROR(__xludf.DUMMYFUNCTION("""COMPUTED_VALUE"""),"--")</f>
        <v>--</v>
      </c>
    </row>
    <row r="91">
      <c r="A91" s="328">
        <f>IFERROR(__xludf.DUMMYFUNCTION("""COMPUTED_VALUE"""),44158.0)</f>
        <v>44158</v>
      </c>
      <c r="B91" s="329">
        <f>IFERROR(__xludf.DUMMYFUNCTION("""COMPUTED_VALUE"""),998.0)</f>
        <v>998</v>
      </c>
      <c r="C91" s="329">
        <f>IFERROR(__xludf.DUMMYFUNCTION("""COMPUTED_VALUE"""),808.0)</f>
        <v>808</v>
      </c>
      <c r="D91" s="329">
        <f>IFERROR(__xludf.DUMMYFUNCTION("""COMPUTED_VALUE"""),64706.0)</f>
        <v>64706</v>
      </c>
      <c r="E91" s="329">
        <f>IFERROR(__xludf.DUMMYFUNCTION("""COMPUTED_VALUE"""),11036.0)</f>
        <v>11036</v>
      </c>
      <c r="F91" s="257">
        <f>IFERROR(__xludf.DUMMYFUNCTION("""COMPUTED_VALUE"""),1413126.0)</f>
        <v>1413126</v>
      </c>
      <c r="G91" s="257">
        <f>IFERROR(__xludf.DUMMYFUNCTION("""COMPUTED_VALUE"""),12034.0)</f>
        <v>12034</v>
      </c>
      <c r="H91" s="257">
        <f>IFERROR(__xludf.DUMMYFUNCTION("""COMPUTED_VALUE"""),1477832.0)</f>
        <v>1477832</v>
      </c>
      <c r="I91" s="329">
        <f>IFERROR(__xludf.DUMMYFUNCTION("""COMPUTED_VALUE"""),891.0)</f>
        <v>891</v>
      </c>
      <c r="J91" s="329">
        <f>IFERROR(__xludf.DUMMYFUNCTION("""COMPUTED_VALUE"""),710.0)</f>
        <v>710</v>
      </c>
      <c r="K91" s="329">
        <f>IFERROR(__xludf.DUMMYFUNCTION("""COMPUTED_VALUE"""),51585.0)</f>
        <v>51585</v>
      </c>
      <c r="L91" s="329">
        <f>IFERROR(__xludf.DUMMYFUNCTION("""COMPUTED_VALUE"""),3202.0)</f>
        <v>3202</v>
      </c>
      <c r="M91" s="329">
        <f>IFERROR(__xludf.DUMMYFUNCTION("""COMPUTED_VALUE"""),425726.0)</f>
        <v>425726</v>
      </c>
      <c r="N91" s="329">
        <f>IFERROR(__xludf.DUMMYFUNCTION("""COMPUTED_VALUE"""),477311.0)</f>
        <v>477311</v>
      </c>
      <c r="O91" s="329">
        <f>IFERROR(__xludf.DUMMYFUNCTION("""COMPUTED_VALUE"""),74.0)</f>
        <v>74</v>
      </c>
      <c r="P91" s="329">
        <f>IFERROR(__xludf.DUMMYFUNCTION("""COMPUTED_VALUE"""),4320.0)</f>
        <v>4320</v>
      </c>
      <c r="Q91" s="329">
        <f>IFERROR(__xludf.DUMMYFUNCTION("""COMPUTED_VALUE"""),39.0)</f>
        <v>39</v>
      </c>
      <c r="R91" s="329">
        <f>IFERROR(__xludf.DUMMYFUNCTION("""COMPUTED_VALUE"""),3432.0)</f>
        <v>3432</v>
      </c>
      <c r="S91" s="329">
        <f>IFERROR(__xludf.DUMMYFUNCTION("""COMPUTED_VALUE"""),0.0)</f>
        <v>0</v>
      </c>
      <c r="T91" s="329">
        <f>IFERROR(__xludf.DUMMYFUNCTION("""COMPUTED_VALUE"""),463.0)</f>
        <v>463</v>
      </c>
      <c r="U91" s="329">
        <f>IFERROR(__xludf.DUMMYFUNCTION("""COMPUTED_VALUE"""),425.0)</f>
        <v>425</v>
      </c>
      <c r="V91" s="329">
        <f>IFERROR(__xludf.DUMMYFUNCTION("""COMPUTED_VALUE"""),391.0)</f>
        <v>391</v>
      </c>
      <c r="W91" s="329">
        <f>IFERROR(__xludf.DUMMYFUNCTION("""COMPUTED_VALUE"""),41.0)</f>
        <v>41</v>
      </c>
      <c r="X91" s="329">
        <f>IFERROR(__xludf.DUMMYFUNCTION("""COMPUTED_VALUE"""),18.0)</f>
        <v>18</v>
      </c>
      <c r="Y91" s="329">
        <f>IFERROR(__xludf.DUMMYFUNCTION("""COMPUTED_VALUE"""),12.0)</f>
        <v>12</v>
      </c>
      <c r="Z91" s="329">
        <f>IFERROR(__xludf.DUMMYFUNCTION("""COMPUTED_VALUE"""),1356.0)</f>
        <v>1356</v>
      </c>
      <c r="AA91" s="257" t="str">
        <f>IFERROR(__xludf.DUMMYFUNCTION("""COMPUTED_VALUE"""),"--")</f>
        <v>--</v>
      </c>
      <c r="AB91" s="257" t="str">
        <f>IFERROR(__xludf.DUMMYFUNCTION("""COMPUTED_VALUE"""),"--")</f>
        <v>--</v>
      </c>
      <c r="AC91" s="257" t="str">
        <f>IFERROR(__xludf.DUMMYFUNCTION("""COMPUTED_VALUE"""),"--")</f>
        <v>--</v>
      </c>
      <c r="AD91" s="257" t="str">
        <f>IFERROR(__xludf.DUMMYFUNCTION("""COMPUTED_VALUE"""),"--")</f>
        <v>--</v>
      </c>
      <c r="AE91" s="257" t="str">
        <f>IFERROR(__xludf.DUMMYFUNCTION("""COMPUTED_VALUE"""),"--")</f>
        <v>--</v>
      </c>
      <c r="AF91" s="257" t="str">
        <f>IFERROR(__xludf.DUMMYFUNCTION("""COMPUTED_VALUE"""),"--")</f>
        <v>--</v>
      </c>
      <c r="AG91" s="257" t="str">
        <f>IFERROR(__xludf.DUMMYFUNCTION("""COMPUTED_VALUE"""),"--")</f>
        <v>--</v>
      </c>
      <c r="AH91" s="257" t="str">
        <f>IFERROR(__xludf.DUMMYFUNCTION("""COMPUTED_VALUE"""),"--")</f>
        <v>--</v>
      </c>
    </row>
    <row r="92">
      <c r="A92" s="328">
        <f>IFERROR(__xludf.DUMMYFUNCTION("""COMPUTED_VALUE"""),44159.0)</f>
        <v>44159</v>
      </c>
      <c r="B92" s="329">
        <f>IFERROR(__xludf.DUMMYFUNCTION("""COMPUTED_VALUE"""),1054.0)</f>
        <v>1054</v>
      </c>
      <c r="C92" s="329">
        <f>IFERROR(__xludf.DUMMYFUNCTION("""COMPUTED_VALUE"""),875.0)</f>
        <v>875</v>
      </c>
      <c r="D92" s="329">
        <f>IFERROR(__xludf.DUMMYFUNCTION("""COMPUTED_VALUE"""),65760.0)</f>
        <v>65760</v>
      </c>
      <c r="E92" s="329">
        <f>IFERROR(__xludf.DUMMYFUNCTION("""COMPUTED_VALUE"""),14580.0)</f>
        <v>14580</v>
      </c>
      <c r="F92" s="257">
        <f>IFERROR(__xludf.DUMMYFUNCTION("""COMPUTED_VALUE"""),1427706.0)</f>
        <v>1427706</v>
      </c>
      <c r="G92" s="257">
        <f>IFERROR(__xludf.DUMMYFUNCTION("""COMPUTED_VALUE"""),15634.0)</f>
        <v>15634</v>
      </c>
      <c r="H92" s="257">
        <f>IFERROR(__xludf.DUMMYFUNCTION("""COMPUTED_VALUE"""),1493466.0)</f>
        <v>1493466</v>
      </c>
      <c r="I92" s="329">
        <f>IFERROR(__xludf.DUMMYFUNCTION("""COMPUTED_VALUE"""),943.0)</f>
        <v>943</v>
      </c>
      <c r="J92" s="329">
        <f>IFERROR(__xludf.DUMMYFUNCTION("""COMPUTED_VALUE"""),773.0)</f>
        <v>773</v>
      </c>
      <c r="K92" s="329">
        <f>IFERROR(__xludf.DUMMYFUNCTION("""COMPUTED_VALUE"""),52528.0)</f>
        <v>52528</v>
      </c>
      <c r="L92" s="329">
        <f>IFERROR(__xludf.DUMMYFUNCTION("""COMPUTED_VALUE"""),2584.0)</f>
        <v>2584</v>
      </c>
      <c r="M92" s="329">
        <f>IFERROR(__xludf.DUMMYFUNCTION("""COMPUTED_VALUE"""),428310.0)</f>
        <v>428310</v>
      </c>
      <c r="N92" s="329">
        <f>IFERROR(__xludf.DUMMYFUNCTION("""COMPUTED_VALUE"""),480838.0)</f>
        <v>480838</v>
      </c>
      <c r="O92" s="329">
        <f>IFERROR(__xludf.DUMMYFUNCTION("""COMPUTED_VALUE"""),46.0)</f>
        <v>46</v>
      </c>
      <c r="P92" s="329">
        <f>IFERROR(__xludf.DUMMYFUNCTION("""COMPUTED_VALUE"""),4366.0)</f>
        <v>4366</v>
      </c>
      <c r="Q92" s="329">
        <f>IFERROR(__xludf.DUMMYFUNCTION("""COMPUTED_VALUE"""),59.0)</f>
        <v>59</v>
      </c>
      <c r="R92" s="329">
        <f>IFERROR(__xludf.DUMMYFUNCTION("""COMPUTED_VALUE"""),3491.0)</f>
        <v>3491</v>
      </c>
      <c r="S92" s="329">
        <f>IFERROR(__xludf.DUMMYFUNCTION("""COMPUTED_VALUE"""),6.0)</f>
        <v>6</v>
      </c>
      <c r="T92" s="329">
        <f>IFERROR(__xludf.DUMMYFUNCTION("""COMPUTED_VALUE"""),469.0)</f>
        <v>469</v>
      </c>
      <c r="U92" s="329">
        <f>IFERROR(__xludf.DUMMYFUNCTION("""COMPUTED_VALUE"""),406.0)</f>
        <v>406</v>
      </c>
      <c r="V92" s="329">
        <f>IFERROR(__xludf.DUMMYFUNCTION("""COMPUTED_VALUE"""),407.0)</f>
        <v>407</v>
      </c>
      <c r="W92" s="329">
        <f>IFERROR(__xludf.DUMMYFUNCTION("""COMPUTED_VALUE"""),43.0)</f>
        <v>43</v>
      </c>
      <c r="X92" s="329">
        <f>IFERROR(__xludf.DUMMYFUNCTION("""COMPUTED_VALUE"""),22.0)</f>
        <v>22</v>
      </c>
      <c r="Y92" s="329">
        <f>IFERROR(__xludf.DUMMYFUNCTION("""COMPUTED_VALUE"""),12.0)</f>
        <v>12</v>
      </c>
      <c r="Z92" s="329">
        <f>IFERROR(__xludf.DUMMYFUNCTION("""COMPUTED_VALUE"""),1368.0)</f>
        <v>1368</v>
      </c>
      <c r="AA92" s="257" t="str">
        <f>IFERROR(__xludf.DUMMYFUNCTION("""COMPUTED_VALUE"""),"--")</f>
        <v>--</v>
      </c>
      <c r="AB92" s="257" t="str">
        <f>IFERROR(__xludf.DUMMYFUNCTION("""COMPUTED_VALUE"""),"--")</f>
        <v>--</v>
      </c>
      <c r="AC92" s="257" t="str">
        <f>IFERROR(__xludf.DUMMYFUNCTION("""COMPUTED_VALUE"""),"--")</f>
        <v>--</v>
      </c>
      <c r="AD92" s="257" t="str">
        <f>IFERROR(__xludf.DUMMYFUNCTION("""COMPUTED_VALUE"""),"--")</f>
        <v>--</v>
      </c>
      <c r="AE92" s="257" t="str">
        <f>IFERROR(__xludf.DUMMYFUNCTION("""COMPUTED_VALUE"""),"--")</f>
        <v>--</v>
      </c>
      <c r="AF92" s="257" t="str">
        <f>IFERROR(__xludf.DUMMYFUNCTION("""COMPUTED_VALUE"""),"--")</f>
        <v>--</v>
      </c>
      <c r="AG92" s="257" t="str">
        <f>IFERROR(__xludf.DUMMYFUNCTION("""COMPUTED_VALUE"""),"--")</f>
        <v>--</v>
      </c>
      <c r="AH92" s="257" t="str">
        <f>IFERROR(__xludf.DUMMYFUNCTION("""COMPUTED_VALUE"""),"--")</f>
        <v>--</v>
      </c>
    </row>
    <row r="93">
      <c r="A93" s="328">
        <f>IFERROR(__xludf.DUMMYFUNCTION("""COMPUTED_VALUE"""),44160.0)</f>
        <v>44160</v>
      </c>
      <c r="B93" s="329">
        <f>IFERROR(__xludf.DUMMYFUNCTION("""COMPUTED_VALUE"""),1269.0)</f>
        <v>1269</v>
      </c>
      <c r="C93" s="329">
        <f>IFERROR(__xludf.DUMMYFUNCTION("""COMPUTED_VALUE"""),1107.0)</f>
        <v>1107</v>
      </c>
      <c r="D93" s="329">
        <f>IFERROR(__xludf.DUMMYFUNCTION("""COMPUTED_VALUE"""),67029.0)</f>
        <v>67029</v>
      </c>
      <c r="E93" s="329">
        <f>IFERROR(__xludf.DUMMYFUNCTION("""COMPUTED_VALUE"""),18806.0)</f>
        <v>18806</v>
      </c>
      <c r="F93" s="257">
        <f>IFERROR(__xludf.DUMMYFUNCTION("""COMPUTED_VALUE"""),1446512.0)</f>
        <v>1446512</v>
      </c>
      <c r="G93" s="257">
        <f>IFERROR(__xludf.DUMMYFUNCTION("""COMPUTED_VALUE"""),20075.0)</f>
        <v>20075</v>
      </c>
      <c r="H93" s="257">
        <f>IFERROR(__xludf.DUMMYFUNCTION("""COMPUTED_VALUE"""),1513541.0)</f>
        <v>1513541</v>
      </c>
      <c r="I93" s="329">
        <f>IFERROR(__xludf.DUMMYFUNCTION("""COMPUTED_VALUE"""),1184.0)</f>
        <v>1184</v>
      </c>
      <c r="J93" s="329">
        <f>IFERROR(__xludf.DUMMYFUNCTION("""COMPUTED_VALUE"""),1006.0)</f>
        <v>1006</v>
      </c>
      <c r="K93" s="329">
        <f>IFERROR(__xludf.DUMMYFUNCTION("""COMPUTED_VALUE"""),53712.0)</f>
        <v>53712</v>
      </c>
      <c r="L93" s="329">
        <f>IFERROR(__xludf.DUMMYFUNCTION("""COMPUTED_VALUE"""),3236.0)</f>
        <v>3236</v>
      </c>
      <c r="M93" s="329">
        <f>IFERROR(__xludf.DUMMYFUNCTION("""COMPUTED_VALUE"""),431546.0)</f>
        <v>431546</v>
      </c>
      <c r="N93" s="329">
        <f>IFERROR(__xludf.DUMMYFUNCTION("""COMPUTED_VALUE"""),485258.0)</f>
        <v>485258</v>
      </c>
      <c r="O93" s="329">
        <f>IFERROR(__xludf.DUMMYFUNCTION("""COMPUTED_VALUE"""),59.0)</f>
        <v>59</v>
      </c>
      <c r="P93" s="329">
        <f>IFERROR(__xludf.DUMMYFUNCTION("""COMPUTED_VALUE"""),4425.0)</f>
        <v>4425</v>
      </c>
      <c r="Q93" s="329">
        <f>IFERROR(__xludf.DUMMYFUNCTION("""COMPUTED_VALUE"""),59.0)</f>
        <v>59</v>
      </c>
      <c r="R93" s="329">
        <f>IFERROR(__xludf.DUMMYFUNCTION("""COMPUTED_VALUE"""),3550.0)</f>
        <v>3550</v>
      </c>
      <c r="S93" s="329">
        <f>IFERROR(__xludf.DUMMYFUNCTION("""COMPUTED_VALUE"""),4.0)</f>
        <v>4</v>
      </c>
      <c r="T93" s="329">
        <f>IFERROR(__xludf.DUMMYFUNCTION("""COMPUTED_VALUE"""),473.0)</f>
        <v>473</v>
      </c>
      <c r="U93" s="329">
        <f>IFERROR(__xludf.DUMMYFUNCTION("""COMPUTED_VALUE"""),402.0)</f>
        <v>402</v>
      </c>
      <c r="V93" s="329">
        <f>IFERROR(__xludf.DUMMYFUNCTION("""COMPUTED_VALUE"""),411.0)</f>
        <v>411</v>
      </c>
      <c r="W93" s="329">
        <f>IFERROR(__xludf.DUMMYFUNCTION("""COMPUTED_VALUE"""),44.0)</f>
        <v>44</v>
      </c>
      <c r="X93" s="329">
        <f>IFERROR(__xludf.DUMMYFUNCTION("""COMPUTED_VALUE"""),26.0)</f>
        <v>26</v>
      </c>
      <c r="Y93" s="329">
        <f>IFERROR(__xludf.DUMMYFUNCTION("""COMPUTED_VALUE"""),7.0)</f>
        <v>7</v>
      </c>
      <c r="Z93" s="329">
        <f>IFERROR(__xludf.DUMMYFUNCTION("""COMPUTED_VALUE"""),1375.0)</f>
        <v>1375</v>
      </c>
      <c r="AA93" s="257" t="str">
        <f>IFERROR(__xludf.DUMMYFUNCTION("""COMPUTED_VALUE"""),"--")</f>
        <v>--</v>
      </c>
      <c r="AB93" s="257" t="str">
        <f>IFERROR(__xludf.DUMMYFUNCTION("""COMPUTED_VALUE"""),"--")</f>
        <v>--</v>
      </c>
      <c r="AC93" s="257" t="str">
        <f>IFERROR(__xludf.DUMMYFUNCTION("""COMPUTED_VALUE"""),"--")</f>
        <v>--</v>
      </c>
      <c r="AD93" s="257" t="str">
        <f>IFERROR(__xludf.DUMMYFUNCTION("""COMPUTED_VALUE"""),"--")</f>
        <v>--</v>
      </c>
      <c r="AE93" s="257" t="str">
        <f>IFERROR(__xludf.DUMMYFUNCTION("""COMPUTED_VALUE"""),"--")</f>
        <v>--</v>
      </c>
      <c r="AF93" s="257" t="str">
        <f>IFERROR(__xludf.DUMMYFUNCTION("""COMPUTED_VALUE"""),"--")</f>
        <v>--</v>
      </c>
      <c r="AG93" s="257" t="str">
        <f>IFERROR(__xludf.DUMMYFUNCTION("""COMPUTED_VALUE"""),"--")</f>
        <v>--</v>
      </c>
      <c r="AH93" s="257" t="str">
        <f>IFERROR(__xludf.DUMMYFUNCTION("""COMPUTED_VALUE"""),"--")</f>
        <v>--</v>
      </c>
    </row>
    <row r="94">
      <c r="A94" s="328">
        <f>IFERROR(__xludf.DUMMYFUNCTION("""COMPUTED_VALUE"""),44161.0)</f>
        <v>44161</v>
      </c>
      <c r="B94" s="329">
        <f>IFERROR(__xludf.DUMMYFUNCTION("""COMPUTED_VALUE"""),553.0)</f>
        <v>553</v>
      </c>
      <c r="C94" s="329">
        <f>IFERROR(__xludf.DUMMYFUNCTION("""COMPUTED_VALUE"""),959.0)</f>
        <v>959</v>
      </c>
      <c r="D94" s="329">
        <f>IFERROR(__xludf.DUMMYFUNCTION("""COMPUTED_VALUE"""),67582.0)</f>
        <v>67582</v>
      </c>
      <c r="E94" s="329">
        <f>IFERROR(__xludf.DUMMYFUNCTION("""COMPUTED_VALUE"""),6489.0)</f>
        <v>6489</v>
      </c>
      <c r="F94" s="257">
        <f>IFERROR(__xludf.DUMMYFUNCTION("""COMPUTED_VALUE"""),1453001.0)</f>
        <v>1453001</v>
      </c>
      <c r="G94" s="257">
        <f>IFERROR(__xludf.DUMMYFUNCTION("""COMPUTED_VALUE"""),7042.0)</f>
        <v>7042</v>
      </c>
      <c r="H94" s="257">
        <f>IFERROR(__xludf.DUMMYFUNCTION("""COMPUTED_VALUE"""),1520583.0)</f>
        <v>1520583</v>
      </c>
      <c r="I94" s="329">
        <f>IFERROR(__xludf.DUMMYFUNCTION("""COMPUTED_VALUE"""),476.0)</f>
        <v>476</v>
      </c>
      <c r="J94" s="329">
        <f>IFERROR(__xludf.DUMMYFUNCTION("""COMPUTED_VALUE"""),868.0)</f>
        <v>868</v>
      </c>
      <c r="K94" s="329">
        <f>IFERROR(__xludf.DUMMYFUNCTION("""COMPUTED_VALUE"""),54188.0)</f>
        <v>54188</v>
      </c>
      <c r="L94" s="329">
        <f>IFERROR(__xludf.DUMMYFUNCTION("""COMPUTED_VALUE"""),1435.0)</f>
        <v>1435</v>
      </c>
      <c r="M94" s="329">
        <f>IFERROR(__xludf.DUMMYFUNCTION("""COMPUTED_VALUE"""),432981.0)</f>
        <v>432981</v>
      </c>
      <c r="N94" s="329">
        <f>IFERROR(__xludf.DUMMYFUNCTION("""COMPUTED_VALUE"""),487169.0)</f>
        <v>487169</v>
      </c>
      <c r="O94" s="329">
        <f>IFERROR(__xludf.DUMMYFUNCTION("""COMPUTED_VALUE"""),51.0)</f>
        <v>51</v>
      </c>
      <c r="P94" s="329">
        <f>IFERROR(__xludf.DUMMYFUNCTION("""COMPUTED_VALUE"""),4476.0)</f>
        <v>4476</v>
      </c>
      <c r="Q94" s="329">
        <f>IFERROR(__xludf.DUMMYFUNCTION("""COMPUTED_VALUE"""),35.0)</f>
        <v>35</v>
      </c>
      <c r="R94" s="329">
        <f>IFERROR(__xludf.DUMMYFUNCTION("""COMPUTED_VALUE"""),3585.0)</f>
        <v>3585</v>
      </c>
      <c r="S94" s="329">
        <f>IFERROR(__xludf.DUMMYFUNCTION("""COMPUTED_VALUE"""),4.0)</f>
        <v>4</v>
      </c>
      <c r="T94" s="329">
        <f>IFERROR(__xludf.DUMMYFUNCTION("""COMPUTED_VALUE"""),477.0)</f>
        <v>477</v>
      </c>
      <c r="U94" s="329">
        <f>IFERROR(__xludf.DUMMYFUNCTION("""COMPUTED_VALUE"""),414.0)</f>
        <v>414</v>
      </c>
      <c r="V94" s="329">
        <f>IFERROR(__xludf.DUMMYFUNCTION("""COMPUTED_VALUE"""),407.0)</f>
        <v>407</v>
      </c>
      <c r="W94" s="329">
        <f>IFERROR(__xludf.DUMMYFUNCTION("""COMPUTED_VALUE"""),47.0)</f>
        <v>47</v>
      </c>
      <c r="X94" s="329">
        <f>IFERROR(__xludf.DUMMYFUNCTION("""COMPUTED_VALUE"""),25.0)</f>
        <v>25</v>
      </c>
      <c r="Y94" s="329">
        <f>IFERROR(__xludf.DUMMYFUNCTION("""COMPUTED_VALUE"""),12.0)</f>
        <v>12</v>
      </c>
      <c r="Z94" s="329">
        <f>IFERROR(__xludf.DUMMYFUNCTION("""COMPUTED_VALUE"""),1387.0)</f>
        <v>1387</v>
      </c>
      <c r="AA94" s="257" t="str">
        <f>IFERROR(__xludf.DUMMYFUNCTION("""COMPUTED_VALUE"""),"--")</f>
        <v>--</v>
      </c>
      <c r="AB94" s="257" t="str">
        <f>IFERROR(__xludf.DUMMYFUNCTION("""COMPUTED_VALUE"""),"--")</f>
        <v>--</v>
      </c>
      <c r="AC94" s="257" t="str">
        <f>IFERROR(__xludf.DUMMYFUNCTION("""COMPUTED_VALUE"""),"--")</f>
        <v>--</v>
      </c>
      <c r="AD94" s="257" t="str">
        <f>IFERROR(__xludf.DUMMYFUNCTION("""COMPUTED_VALUE"""),"--")</f>
        <v>--</v>
      </c>
      <c r="AE94" s="257" t="str">
        <f>IFERROR(__xludf.DUMMYFUNCTION("""COMPUTED_VALUE"""),"--")</f>
        <v>--</v>
      </c>
      <c r="AF94" s="257" t="str">
        <f>IFERROR(__xludf.DUMMYFUNCTION("""COMPUTED_VALUE"""),"--")</f>
        <v>--</v>
      </c>
      <c r="AG94" s="257" t="str">
        <f>IFERROR(__xludf.DUMMYFUNCTION("""COMPUTED_VALUE"""),"--")</f>
        <v>--</v>
      </c>
      <c r="AH94" s="257" t="str">
        <f>IFERROR(__xludf.DUMMYFUNCTION("""COMPUTED_VALUE"""),"--")</f>
        <v>--</v>
      </c>
    </row>
    <row r="95">
      <c r="A95" s="328">
        <f>IFERROR(__xludf.DUMMYFUNCTION("""COMPUTED_VALUE"""),44162.0)</f>
        <v>44162</v>
      </c>
      <c r="B95" s="329">
        <f>IFERROR(__xludf.DUMMYFUNCTION("""COMPUTED_VALUE"""),1044.0)</f>
        <v>1044</v>
      </c>
      <c r="C95" s="329">
        <f>IFERROR(__xludf.DUMMYFUNCTION("""COMPUTED_VALUE"""),955.0)</f>
        <v>955</v>
      </c>
      <c r="D95" s="329">
        <f>IFERROR(__xludf.DUMMYFUNCTION("""COMPUTED_VALUE"""),68626.0)</f>
        <v>68626</v>
      </c>
      <c r="E95" s="329">
        <f>IFERROR(__xludf.DUMMYFUNCTION("""COMPUTED_VALUE"""),9725.0)</f>
        <v>9725</v>
      </c>
      <c r="F95" s="257">
        <f>IFERROR(__xludf.DUMMYFUNCTION("""COMPUTED_VALUE"""),1462726.0)</f>
        <v>1462726</v>
      </c>
      <c r="G95" s="257">
        <f>IFERROR(__xludf.DUMMYFUNCTION("""COMPUTED_VALUE"""),10769.0)</f>
        <v>10769</v>
      </c>
      <c r="H95" s="257">
        <f>IFERROR(__xludf.DUMMYFUNCTION("""COMPUTED_VALUE"""),1531352.0)</f>
        <v>1531352</v>
      </c>
      <c r="I95" s="329">
        <f>IFERROR(__xludf.DUMMYFUNCTION("""COMPUTED_VALUE"""),974.0)</f>
        <v>974</v>
      </c>
      <c r="J95" s="329">
        <f>IFERROR(__xludf.DUMMYFUNCTION("""COMPUTED_VALUE"""),878.0)</f>
        <v>878</v>
      </c>
      <c r="K95" s="329">
        <f>IFERROR(__xludf.DUMMYFUNCTION("""COMPUTED_VALUE"""),55162.0)</f>
        <v>55162</v>
      </c>
      <c r="L95" s="329">
        <f>IFERROR(__xludf.DUMMYFUNCTION("""COMPUTED_VALUE"""),2384.0)</f>
        <v>2384</v>
      </c>
      <c r="M95" s="329">
        <f>IFERROR(__xludf.DUMMYFUNCTION("""COMPUTED_VALUE"""),435365.0)</f>
        <v>435365</v>
      </c>
      <c r="N95" s="329">
        <f>IFERROR(__xludf.DUMMYFUNCTION("""COMPUTED_VALUE"""),490527.0)</f>
        <v>490527</v>
      </c>
      <c r="O95" s="329">
        <f>IFERROR(__xludf.DUMMYFUNCTION("""COMPUTED_VALUE"""),52.0)</f>
        <v>52</v>
      </c>
      <c r="P95" s="329">
        <f>IFERROR(__xludf.DUMMYFUNCTION("""COMPUTED_VALUE"""),4528.0)</f>
        <v>4528</v>
      </c>
      <c r="Q95" s="329">
        <f>IFERROR(__xludf.DUMMYFUNCTION("""COMPUTED_VALUE"""),47.0)</f>
        <v>47</v>
      </c>
      <c r="R95" s="329">
        <f>IFERROR(__xludf.DUMMYFUNCTION("""COMPUTED_VALUE"""),3632.0)</f>
        <v>3632</v>
      </c>
      <c r="S95" s="329">
        <f>IFERROR(__xludf.DUMMYFUNCTION("""COMPUTED_VALUE"""),7.0)</f>
        <v>7</v>
      </c>
      <c r="T95" s="329">
        <f>IFERROR(__xludf.DUMMYFUNCTION("""COMPUTED_VALUE"""),484.0)</f>
        <v>484</v>
      </c>
      <c r="U95" s="329">
        <f>IFERROR(__xludf.DUMMYFUNCTION("""COMPUTED_VALUE"""),412.0)</f>
        <v>412</v>
      </c>
      <c r="V95" s="329">
        <f>IFERROR(__xludf.DUMMYFUNCTION("""COMPUTED_VALUE"""),409.0)</f>
        <v>409</v>
      </c>
      <c r="W95" s="329">
        <f>IFERROR(__xludf.DUMMYFUNCTION("""COMPUTED_VALUE"""),48.0)</f>
        <v>48</v>
      </c>
      <c r="X95" s="329">
        <f>IFERROR(__xludf.DUMMYFUNCTION("""COMPUTED_VALUE"""),22.0)</f>
        <v>22</v>
      </c>
      <c r="Y95" s="329">
        <f>IFERROR(__xludf.DUMMYFUNCTION("""COMPUTED_VALUE"""),9.0)</f>
        <v>9</v>
      </c>
      <c r="Z95" s="329">
        <f>IFERROR(__xludf.DUMMYFUNCTION("""COMPUTED_VALUE"""),1396.0)</f>
        <v>1396</v>
      </c>
      <c r="AA95" s="257" t="str">
        <f>IFERROR(__xludf.DUMMYFUNCTION("""COMPUTED_VALUE"""),"--")</f>
        <v>--</v>
      </c>
      <c r="AB95" s="257" t="str">
        <f>IFERROR(__xludf.DUMMYFUNCTION("""COMPUTED_VALUE"""),"--")</f>
        <v>--</v>
      </c>
      <c r="AC95" s="257" t="str">
        <f>IFERROR(__xludf.DUMMYFUNCTION("""COMPUTED_VALUE"""),"--")</f>
        <v>--</v>
      </c>
      <c r="AD95" s="257" t="str">
        <f>IFERROR(__xludf.DUMMYFUNCTION("""COMPUTED_VALUE"""),"--")</f>
        <v>--</v>
      </c>
      <c r="AE95" s="257" t="str">
        <f>IFERROR(__xludf.DUMMYFUNCTION("""COMPUTED_VALUE"""),"--")</f>
        <v>--</v>
      </c>
      <c r="AF95" s="257" t="str">
        <f>IFERROR(__xludf.DUMMYFUNCTION("""COMPUTED_VALUE"""),"--")</f>
        <v>--</v>
      </c>
      <c r="AG95" s="257" t="str">
        <f>IFERROR(__xludf.DUMMYFUNCTION("""COMPUTED_VALUE"""),"--")</f>
        <v>--</v>
      </c>
      <c r="AH95" s="257" t="str">
        <f>IFERROR(__xludf.DUMMYFUNCTION("""COMPUTED_VALUE"""),"--")</f>
        <v>--</v>
      </c>
    </row>
    <row r="96">
      <c r="A96" s="328">
        <f>IFERROR(__xludf.DUMMYFUNCTION("""COMPUTED_VALUE"""),44163.0)</f>
        <v>44163</v>
      </c>
      <c r="B96" s="329">
        <f>IFERROR(__xludf.DUMMYFUNCTION("""COMPUTED_VALUE"""),1192.0)</f>
        <v>1192</v>
      </c>
      <c r="C96" s="329">
        <f>IFERROR(__xludf.DUMMYFUNCTION("""COMPUTED_VALUE"""),930.0)</f>
        <v>930</v>
      </c>
      <c r="D96" s="329">
        <f>IFERROR(__xludf.DUMMYFUNCTION("""COMPUTED_VALUE"""),69818.0)</f>
        <v>69818</v>
      </c>
      <c r="E96" s="329">
        <f>IFERROR(__xludf.DUMMYFUNCTION("""COMPUTED_VALUE"""),11963.0)</f>
        <v>11963</v>
      </c>
      <c r="F96" s="257">
        <f>IFERROR(__xludf.DUMMYFUNCTION("""COMPUTED_VALUE"""),1474689.0)</f>
        <v>1474689</v>
      </c>
      <c r="G96" s="257">
        <f>IFERROR(__xludf.DUMMYFUNCTION("""COMPUTED_VALUE"""),13155.0)</f>
        <v>13155</v>
      </c>
      <c r="H96" s="257">
        <f>IFERROR(__xludf.DUMMYFUNCTION("""COMPUTED_VALUE"""),1544507.0)</f>
        <v>1544507</v>
      </c>
      <c r="I96" s="329">
        <f>IFERROR(__xludf.DUMMYFUNCTION("""COMPUTED_VALUE"""),1098.0)</f>
        <v>1098</v>
      </c>
      <c r="J96" s="329">
        <f>IFERROR(__xludf.DUMMYFUNCTION("""COMPUTED_VALUE"""),849.0)</f>
        <v>849</v>
      </c>
      <c r="K96" s="329">
        <f>IFERROR(__xludf.DUMMYFUNCTION("""COMPUTED_VALUE"""),56260.0)</f>
        <v>56260</v>
      </c>
      <c r="L96" s="329">
        <f>IFERROR(__xludf.DUMMYFUNCTION("""COMPUTED_VALUE"""),2667.0)</f>
        <v>2667</v>
      </c>
      <c r="M96" s="329">
        <f>IFERROR(__xludf.DUMMYFUNCTION("""COMPUTED_VALUE"""),438032.0)</f>
        <v>438032</v>
      </c>
      <c r="N96" s="329">
        <f>IFERROR(__xludf.DUMMYFUNCTION("""COMPUTED_VALUE"""),494292.0)</f>
        <v>494292</v>
      </c>
      <c r="O96" s="329">
        <f>IFERROR(__xludf.DUMMYFUNCTION("""COMPUTED_VALUE"""),64.0)</f>
        <v>64</v>
      </c>
      <c r="P96" s="329">
        <f>IFERROR(__xludf.DUMMYFUNCTION("""COMPUTED_VALUE"""),4592.0)</f>
        <v>4592</v>
      </c>
      <c r="Q96" s="329">
        <f>IFERROR(__xludf.DUMMYFUNCTION("""COMPUTED_VALUE"""),39.0)</f>
        <v>39</v>
      </c>
      <c r="R96" s="329">
        <f>IFERROR(__xludf.DUMMYFUNCTION("""COMPUTED_VALUE"""),3671.0)</f>
        <v>3671</v>
      </c>
      <c r="S96" s="329">
        <f>IFERROR(__xludf.DUMMYFUNCTION("""COMPUTED_VALUE"""),0.0)</f>
        <v>0</v>
      </c>
      <c r="T96" s="329">
        <f>IFERROR(__xludf.DUMMYFUNCTION("""COMPUTED_VALUE"""),484.0)</f>
        <v>484</v>
      </c>
      <c r="U96" s="329">
        <f>IFERROR(__xludf.DUMMYFUNCTION("""COMPUTED_VALUE"""),437.0)</f>
        <v>437</v>
      </c>
      <c r="V96" s="329">
        <f>IFERROR(__xludf.DUMMYFUNCTION("""COMPUTED_VALUE"""),421.0)</f>
        <v>421</v>
      </c>
      <c r="W96" s="329">
        <f>IFERROR(__xludf.DUMMYFUNCTION("""COMPUTED_VALUE"""),49.0)</f>
        <v>49</v>
      </c>
      <c r="X96" s="329">
        <f>IFERROR(__xludf.DUMMYFUNCTION("""COMPUTED_VALUE"""),22.0)</f>
        <v>22</v>
      </c>
      <c r="Y96" s="329">
        <f>IFERROR(__xludf.DUMMYFUNCTION("""COMPUTED_VALUE"""),4.0)</f>
        <v>4</v>
      </c>
      <c r="Z96" s="329">
        <f>IFERROR(__xludf.DUMMYFUNCTION("""COMPUTED_VALUE"""),1400.0)</f>
        <v>1400</v>
      </c>
      <c r="AA96" s="257" t="str">
        <f>IFERROR(__xludf.DUMMYFUNCTION("""COMPUTED_VALUE"""),"--")</f>
        <v>--</v>
      </c>
      <c r="AB96" s="257" t="str">
        <f>IFERROR(__xludf.DUMMYFUNCTION("""COMPUTED_VALUE"""),"--")</f>
        <v>--</v>
      </c>
      <c r="AC96" s="257" t="str">
        <f>IFERROR(__xludf.DUMMYFUNCTION("""COMPUTED_VALUE"""),"--")</f>
        <v>--</v>
      </c>
      <c r="AD96" s="257" t="str">
        <f>IFERROR(__xludf.DUMMYFUNCTION("""COMPUTED_VALUE"""),"--")</f>
        <v>--</v>
      </c>
      <c r="AE96" s="257" t="str">
        <f>IFERROR(__xludf.DUMMYFUNCTION("""COMPUTED_VALUE"""),"--")</f>
        <v>--</v>
      </c>
      <c r="AF96" s="257" t="str">
        <f>IFERROR(__xludf.DUMMYFUNCTION("""COMPUTED_VALUE"""),"--")</f>
        <v>--</v>
      </c>
      <c r="AG96" s="257" t="str">
        <f>IFERROR(__xludf.DUMMYFUNCTION("""COMPUTED_VALUE"""),"--")</f>
        <v>--</v>
      </c>
      <c r="AH96" s="257" t="str">
        <f>IFERROR(__xludf.DUMMYFUNCTION("""COMPUTED_VALUE"""),"--")</f>
        <v>--</v>
      </c>
    </row>
    <row r="97">
      <c r="A97" s="328">
        <f>IFERROR(__xludf.DUMMYFUNCTION("""COMPUTED_VALUE"""),44164.0)</f>
        <v>44164</v>
      </c>
      <c r="B97" s="329">
        <f>IFERROR(__xludf.DUMMYFUNCTION("""COMPUTED_VALUE"""),828.0)</f>
        <v>828</v>
      </c>
      <c r="C97" s="329">
        <f>IFERROR(__xludf.DUMMYFUNCTION("""COMPUTED_VALUE"""),1021.0)</f>
        <v>1021</v>
      </c>
      <c r="D97" s="329">
        <f>IFERROR(__xludf.DUMMYFUNCTION("""COMPUTED_VALUE"""),70646.0)</f>
        <v>70646</v>
      </c>
      <c r="E97" s="329">
        <f>IFERROR(__xludf.DUMMYFUNCTION("""COMPUTED_VALUE"""),6935.0)</f>
        <v>6935</v>
      </c>
      <c r="F97" s="257">
        <f>IFERROR(__xludf.DUMMYFUNCTION("""COMPUTED_VALUE"""),1481624.0)</f>
        <v>1481624</v>
      </c>
      <c r="G97" s="257">
        <f>IFERROR(__xludf.DUMMYFUNCTION("""COMPUTED_VALUE"""),7763.0)</f>
        <v>7763</v>
      </c>
      <c r="H97" s="257">
        <f>IFERROR(__xludf.DUMMYFUNCTION("""COMPUTED_VALUE"""),1552270.0)</f>
        <v>1552270</v>
      </c>
      <c r="I97" s="329">
        <f>IFERROR(__xludf.DUMMYFUNCTION("""COMPUTED_VALUE"""),756.0)</f>
        <v>756</v>
      </c>
      <c r="J97" s="329">
        <f>IFERROR(__xludf.DUMMYFUNCTION("""COMPUTED_VALUE"""),943.0)</f>
        <v>943</v>
      </c>
      <c r="K97" s="329">
        <f>IFERROR(__xludf.DUMMYFUNCTION("""COMPUTED_VALUE"""),57016.0)</f>
        <v>57016</v>
      </c>
      <c r="L97" s="329">
        <f>IFERROR(__xludf.DUMMYFUNCTION("""COMPUTED_VALUE"""),2202.0)</f>
        <v>2202</v>
      </c>
      <c r="M97" s="329">
        <f>IFERROR(__xludf.DUMMYFUNCTION("""COMPUTED_VALUE"""),440234.0)</f>
        <v>440234</v>
      </c>
      <c r="N97" s="329">
        <f>IFERROR(__xludf.DUMMYFUNCTION("""COMPUTED_VALUE"""),497250.0)</f>
        <v>497250</v>
      </c>
      <c r="O97" s="329">
        <f>IFERROR(__xludf.DUMMYFUNCTION("""COMPUTED_VALUE"""),62.0)</f>
        <v>62</v>
      </c>
      <c r="P97" s="329">
        <f>IFERROR(__xludf.DUMMYFUNCTION("""COMPUTED_VALUE"""),4654.0)</f>
        <v>4654</v>
      </c>
      <c r="Q97" s="329">
        <f>IFERROR(__xludf.DUMMYFUNCTION("""COMPUTED_VALUE"""),35.0)</f>
        <v>35</v>
      </c>
      <c r="R97" s="329">
        <f>IFERROR(__xludf.DUMMYFUNCTION("""COMPUTED_VALUE"""),3706.0)</f>
        <v>3706</v>
      </c>
      <c r="S97" s="329">
        <f>IFERROR(__xludf.DUMMYFUNCTION("""COMPUTED_VALUE"""),3.0)</f>
        <v>3</v>
      </c>
      <c r="T97" s="329">
        <f>IFERROR(__xludf.DUMMYFUNCTION("""COMPUTED_VALUE"""),487.0)</f>
        <v>487</v>
      </c>
      <c r="U97" s="329">
        <f>IFERROR(__xludf.DUMMYFUNCTION("""COMPUTED_VALUE"""),461.0)</f>
        <v>461</v>
      </c>
      <c r="V97" s="329">
        <f>IFERROR(__xludf.DUMMYFUNCTION("""COMPUTED_VALUE"""),437.0)</f>
        <v>437</v>
      </c>
      <c r="W97" s="329">
        <f>IFERROR(__xludf.DUMMYFUNCTION("""COMPUTED_VALUE"""),50.0)</f>
        <v>50</v>
      </c>
      <c r="X97" s="329">
        <f>IFERROR(__xludf.DUMMYFUNCTION("""COMPUTED_VALUE"""),24.0)</f>
        <v>24</v>
      </c>
      <c r="Y97" s="329">
        <f>IFERROR(__xludf.DUMMYFUNCTION("""COMPUTED_VALUE"""),9.0)</f>
        <v>9</v>
      </c>
      <c r="Z97" s="329">
        <f>IFERROR(__xludf.DUMMYFUNCTION("""COMPUTED_VALUE"""),1409.0)</f>
        <v>1409</v>
      </c>
      <c r="AA97" s="257" t="str">
        <f>IFERROR(__xludf.DUMMYFUNCTION("""COMPUTED_VALUE"""),"--")</f>
        <v>--</v>
      </c>
      <c r="AB97" s="257" t="str">
        <f>IFERROR(__xludf.DUMMYFUNCTION("""COMPUTED_VALUE"""),"--")</f>
        <v>--</v>
      </c>
      <c r="AC97" s="257" t="str">
        <f>IFERROR(__xludf.DUMMYFUNCTION("""COMPUTED_VALUE"""),"--")</f>
        <v>--</v>
      </c>
      <c r="AD97" s="257" t="str">
        <f>IFERROR(__xludf.DUMMYFUNCTION("""COMPUTED_VALUE"""),"--")</f>
        <v>--</v>
      </c>
      <c r="AE97" s="257" t="str">
        <f>IFERROR(__xludf.DUMMYFUNCTION("""COMPUTED_VALUE"""),"--")</f>
        <v>--</v>
      </c>
      <c r="AF97" s="257" t="str">
        <f>IFERROR(__xludf.DUMMYFUNCTION("""COMPUTED_VALUE"""),"--")</f>
        <v>--</v>
      </c>
      <c r="AG97" s="257" t="str">
        <f>IFERROR(__xludf.DUMMYFUNCTION("""COMPUTED_VALUE"""),"--")</f>
        <v>--</v>
      </c>
      <c r="AH97" s="257" t="str">
        <f>IFERROR(__xludf.DUMMYFUNCTION("""COMPUTED_VALUE"""),"--")</f>
        <v>--</v>
      </c>
    </row>
    <row r="98">
      <c r="A98" s="328">
        <f>IFERROR(__xludf.DUMMYFUNCTION("""COMPUTED_VALUE"""),44165.0)</f>
        <v>44165</v>
      </c>
      <c r="B98" s="329">
        <f>IFERROR(__xludf.DUMMYFUNCTION("""COMPUTED_VALUE"""),1294.0)</f>
        <v>1294</v>
      </c>
      <c r="C98" s="329">
        <f>IFERROR(__xludf.DUMMYFUNCTION("""COMPUTED_VALUE"""),1105.0)</f>
        <v>1105</v>
      </c>
      <c r="D98" s="329">
        <f>IFERROR(__xludf.DUMMYFUNCTION("""COMPUTED_VALUE"""),71940.0)</f>
        <v>71940</v>
      </c>
      <c r="E98" s="329">
        <f>IFERROR(__xludf.DUMMYFUNCTION("""COMPUTED_VALUE"""),9934.0)</f>
        <v>9934</v>
      </c>
      <c r="F98" s="257">
        <f>IFERROR(__xludf.DUMMYFUNCTION("""COMPUTED_VALUE"""),1491558.0)</f>
        <v>1491558</v>
      </c>
      <c r="G98" s="257">
        <f>IFERROR(__xludf.DUMMYFUNCTION("""COMPUTED_VALUE"""),11228.0)</f>
        <v>11228</v>
      </c>
      <c r="H98" s="257">
        <f>IFERROR(__xludf.DUMMYFUNCTION("""COMPUTED_VALUE"""),1563498.0)</f>
        <v>1563498</v>
      </c>
      <c r="I98" s="329">
        <f>IFERROR(__xludf.DUMMYFUNCTION("""COMPUTED_VALUE"""),1169.0)</f>
        <v>1169</v>
      </c>
      <c r="J98" s="329">
        <f>IFERROR(__xludf.DUMMYFUNCTION("""COMPUTED_VALUE"""),1008.0)</f>
        <v>1008</v>
      </c>
      <c r="K98" s="329">
        <f>IFERROR(__xludf.DUMMYFUNCTION("""COMPUTED_VALUE"""),58185.0)</f>
        <v>58185</v>
      </c>
      <c r="L98" s="329">
        <f>IFERROR(__xludf.DUMMYFUNCTION("""COMPUTED_VALUE"""),2646.0)</f>
        <v>2646</v>
      </c>
      <c r="M98" s="329">
        <f>IFERROR(__xludf.DUMMYFUNCTION("""COMPUTED_VALUE"""),442880.0)</f>
        <v>442880</v>
      </c>
      <c r="N98" s="329">
        <f>IFERROR(__xludf.DUMMYFUNCTION("""COMPUTED_VALUE"""),501065.0)</f>
        <v>501065</v>
      </c>
      <c r="O98" s="329">
        <f>IFERROR(__xludf.DUMMYFUNCTION("""COMPUTED_VALUE"""),66.0)</f>
        <v>66</v>
      </c>
      <c r="P98" s="329">
        <f>IFERROR(__xludf.DUMMYFUNCTION("""COMPUTED_VALUE"""),4720.0)</f>
        <v>4720</v>
      </c>
      <c r="Q98" s="329">
        <f>IFERROR(__xludf.DUMMYFUNCTION("""COMPUTED_VALUE"""),58.0)</f>
        <v>58</v>
      </c>
      <c r="R98" s="329">
        <f>IFERROR(__xludf.DUMMYFUNCTION("""COMPUTED_VALUE"""),3764.0)</f>
        <v>3764</v>
      </c>
      <c r="S98" s="329">
        <f>IFERROR(__xludf.DUMMYFUNCTION("""COMPUTED_VALUE"""),2.0)</f>
        <v>2</v>
      </c>
      <c r="T98" s="329">
        <f>IFERROR(__xludf.DUMMYFUNCTION("""COMPUTED_VALUE"""),489.0)</f>
        <v>489</v>
      </c>
      <c r="U98" s="329">
        <f>IFERROR(__xludf.DUMMYFUNCTION("""COMPUTED_VALUE"""),467.0)</f>
        <v>467</v>
      </c>
      <c r="V98" s="329">
        <f>IFERROR(__xludf.DUMMYFUNCTION("""COMPUTED_VALUE"""),455.0)</f>
        <v>455</v>
      </c>
      <c r="W98" s="329">
        <f>IFERROR(__xludf.DUMMYFUNCTION("""COMPUTED_VALUE"""),53.0)</f>
        <v>53</v>
      </c>
      <c r="X98" s="329">
        <f>IFERROR(__xludf.DUMMYFUNCTION("""COMPUTED_VALUE"""),30.0)</f>
        <v>30</v>
      </c>
      <c r="Y98" s="329">
        <f>IFERROR(__xludf.DUMMYFUNCTION("""COMPUTED_VALUE"""),7.0)</f>
        <v>7</v>
      </c>
      <c r="Z98" s="329">
        <f>IFERROR(__xludf.DUMMYFUNCTION("""COMPUTED_VALUE"""),1416.0)</f>
        <v>1416</v>
      </c>
      <c r="AA98" s="257" t="str">
        <f>IFERROR(__xludf.DUMMYFUNCTION("""COMPUTED_VALUE"""),"--")</f>
        <v>--</v>
      </c>
      <c r="AB98" s="257" t="str">
        <f>IFERROR(__xludf.DUMMYFUNCTION("""COMPUTED_VALUE"""),"--")</f>
        <v>--</v>
      </c>
      <c r="AC98" s="257" t="str">
        <f>IFERROR(__xludf.DUMMYFUNCTION("""COMPUTED_VALUE"""),"--")</f>
        <v>--</v>
      </c>
      <c r="AD98" s="257" t="str">
        <f>IFERROR(__xludf.DUMMYFUNCTION("""COMPUTED_VALUE"""),"--")</f>
        <v>--</v>
      </c>
      <c r="AE98" s="257" t="str">
        <f>IFERROR(__xludf.DUMMYFUNCTION("""COMPUTED_VALUE"""),"--")</f>
        <v>--</v>
      </c>
      <c r="AF98" s="257" t="str">
        <f>IFERROR(__xludf.DUMMYFUNCTION("""COMPUTED_VALUE"""),"--")</f>
        <v>--</v>
      </c>
      <c r="AG98" s="257" t="str">
        <f>IFERROR(__xludf.DUMMYFUNCTION("""COMPUTED_VALUE"""),"--")</f>
        <v>--</v>
      </c>
      <c r="AH98" s="257" t="str">
        <f>IFERROR(__xludf.DUMMYFUNCTION("""COMPUTED_VALUE"""),"--")</f>
        <v>--</v>
      </c>
    </row>
    <row r="99">
      <c r="A99" s="328">
        <f>IFERROR(__xludf.DUMMYFUNCTION("""COMPUTED_VALUE"""),44166.0)</f>
        <v>44166</v>
      </c>
      <c r="B99" s="329">
        <f>IFERROR(__xludf.DUMMYFUNCTION("""COMPUTED_VALUE"""),1567.0)</f>
        <v>1567</v>
      </c>
      <c r="C99" s="329">
        <f>IFERROR(__xludf.DUMMYFUNCTION("""COMPUTED_VALUE"""),1230.0)</f>
        <v>1230</v>
      </c>
      <c r="D99" s="329">
        <f>IFERROR(__xludf.DUMMYFUNCTION("""COMPUTED_VALUE"""),73507.0)</f>
        <v>73507</v>
      </c>
      <c r="E99" s="329">
        <f>IFERROR(__xludf.DUMMYFUNCTION("""COMPUTED_VALUE"""),14023.0)</f>
        <v>14023</v>
      </c>
      <c r="F99" s="257">
        <f>IFERROR(__xludf.DUMMYFUNCTION("""COMPUTED_VALUE"""),1505581.0)</f>
        <v>1505581</v>
      </c>
      <c r="G99" s="257">
        <f>IFERROR(__xludf.DUMMYFUNCTION("""COMPUTED_VALUE"""),15590.0)</f>
        <v>15590</v>
      </c>
      <c r="H99" s="257">
        <f>IFERROR(__xludf.DUMMYFUNCTION("""COMPUTED_VALUE"""),1579088.0)</f>
        <v>1579088</v>
      </c>
      <c r="I99" s="329">
        <f>IFERROR(__xludf.DUMMYFUNCTION("""COMPUTED_VALUE"""),1428.0)</f>
        <v>1428</v>
      </c>
      <c r="J99" s="329">
        <f>IFERROR(__xludf.DUMMYFUNCTION("""COMPUTED_VALUE"""),1118.0)</f>
        <v>1118</v>
      </c>
      <c r="K99" s="329">
        <f>IFERROR(__xludf.DUMMYFUNCTION("""COMPUTED_VALUE"""),59613.0)</f>
        <v>59613</v>
      </c>
      <c r="L99" s="329">
        <f>IFERROR(__xludf.DUMMYFUNCTION("""COMPUTED_VALUE"""),3223.0)</f>
        <v>3223</v>
      </c>
      <c r="M99" s="329">
        <f>IFERROR(__xludf.DUMMYFUNCTION("""COMPUTED_VALUE"""),446103.0)</f>
        <v>446103</v>
      </c>
      <c r="N99" s="329">
        <f>IFERROR(__xludf.DUMMYFUNCTION("""COMPUTED_VALUE"""),505716.0)</f>
        <v>505716</v>
      </c>
      <c r="O99" s="329">
        <f>IFERROR(__xludf.DUMMYFUNCTION("""COMPUTED_VALUE"""),62.0)</f>
        <v>62</v>
      </c>
      <c r="P99" s="329">
        <f>IFERROR(__xludf.DUMMYFUNCTION("""COMPUTED_VALUE"""),4782.0)</f>
        <v>4782</v>
      </c>
      <c r="Q99" s="329">
        <f>IFERROR(__xludf.DUMMYFUNCTION("""COMPUTED_VALUE"""),55.0)</f>
        <v>55</v>
      </c>
      <c r="R99" s="329">
        <f>IFERROR(__xludf.DUMMYFUNCTION("""COMPUTED_VALUE"""),3819.0)</f>
        <v>3819</v>
      </c>
      <c r="S99" s="329">
        <f>IFERROR(__xludf.DUMMYFUNCTION("""COMPUTED_VALUE"""),4.0)</f>
        <v>4</v>
      </c>
      <c r="T99" s="329">
        <f>IFERROR(__xludf.DUMMYFUNCTION("""COMPUTED_VALUE"""),493.0)</f>
        <v>493</v>
      </c>
      <c r="U99" s="329">
        <f>IFERROR(__xludf.DUMMYFUNCTION("""COMPUTED_VALUE"""),470.0)</f>
        <v>470</v>
      </c>
      <c r="V99" s="329">
        <f>IFERROR(__xludf.DUMMYFUNCTION("""COMPUTED_VALUE"""),466.0)</f>
        <v>466</v>
      </c>
      <c r="W99" s="329">
        <f>IFERROR(__xludf.DUMMYFUNCTION("""COMPUTED_VALUE"""),52.0)</f>
        <v>52</v>
      </c>
      <c r="X99" s="329">
        <f>IFERROR(__xludf.DUMMYFUNCTION("""COMPUTED_VALUE"""),31.0)</f>
        <v>31</v>
      </c>
      <c r="Y99" s="329">
        <f>IFERROR(__xludf.DUMMYFUNCTION("""COMPUTED_VALUE"""),13.0)</f>
        <v>13</v>
      </c>
      <c r="Z99" s="329">
        <f>IFERROR(__xludf.DUMMYFUNCTION("""COMPUTED_VALUE"""),1429.0)</f>
        <v>1429</v>
      </c>
      <c r="AA99" s="257" t="str">
        <f>IFERROR(__xludf.DUMMYFUNCTION("""COMPUTED_VALUE"""),"--")</f>
        <v>--</v>
      </c>
      <c r="AB99" s="257" t="str">
        <f>IFERROR(__xludf.DUMMYFUNCTION("""COMPUTED_VALUE"""),"--")</f>
        <v>--</v>
      </c>
      <c r="AC99" s="257" t="str">
        <f>IFERROR(__xludf.DUMMYFUNCTION("""COMPUTED_VALUE"""),"--")</f>
        <v>--</v>
      </c>
      <c r="AD99" s="257" t="str">
        <f>IFERROR(__xludf.DUMMYFUNCTION("""COMPUTED_VALUE"""),"--")</f>
        <v>--</v>
      </c>
      <c r="AE99" s="257" t="str">
        <f>IFERROR(__xludf.DUMMYFUNCTION("""COMPUTED_VALUE"""),"--")</f>
        <v>--</v>
      </c>
      <c r="AF99" s="257" t="str">
        <f>IFERROR(__xludf.DUMMYFUNCTION("""COMPUTED_VALUE"""),"--")</f>
        <v>--</v>
      </c>
      <c r="AG99" s="257" t="str">
        <f>IFERROR(__xludf.DUMMYFUNCTION("""COMPUTED_VALUE"""),"--")</f>
        <v>--</v>
      </c>
      <c r="AH99" s="257" t="str">
        <f>IFERROR(__xludf.DUMMYFUNCTION("""COMPUTED_VALUE"""),"--")</f>
        <v>--</v>
      </c>
    </row>
    <row r="100">
      <c r="A100" s="328">
        <f>IFERROR(__xludf.DUMMYFUNCTION("""COMPUTED_VALUE"""),44167.0)</f>
        <v>44167</v>
      </c>
      <c r="B100" s="329">
        <f>IFERROR(__xludf.DUMMYFUNCTION("""COMPUTED_VALUE"""),1572.0)</f>
        <v>1572</v>
      </c>
      <c r="C100" s="329">
        <f>IFERROR(__xludf.DUMMYFUNCTION("""COMPUTED_VALUE"""),1478.0)</f>
        <v>1478</v>
      </c>
      <c r="D100" s="329">
        <f>IFERROR(__xludf.DUMMYFUNCTION("""COMPUTED_VALUE"""),75079.0)</f>
        <v>75079</v>
      </c>
      <c r="E100" s="329">
        <f>IFERROR(__xludf.DUMMYFUNCTION("""COMPUTED_VALUE"""),15522.0)</f>
        <v>15522</v>
      </c>
      <c r="F100" s="257">
        <f>IFERROR(__xludf.DUMMYFUNCTION("""COMPUTED_VALUE"""),1521103.0)</f>
        <v>1521103</v>
      </c>
      <c r="G100" s="257">
        <f>IFERROR(__xludf.DUMMYFUNCTION("""COMPUTED_VALUE"""),17094.0)</f>
        <v>17094</v>
      </c>
      <c r="H100" s="257">
        <f>IFERROR(__xludf.DUMMYFUNCTION("""COMPUTED_VALUE"""),1596182.0)</f>
        <v>1596182</v>
      </c>
      <c r="I100" s="329">
        <f>IFERROR(__xludf.DUMMYFUNCTION("""COMPUTED_VALUE"""),1449.0)</f>
        <v>1449</v>
      </c>
      <c r="J100" s="329">
        <f>IFERROR(__xludf.DUMMYFUNCTION("""COMPUTED_VALUE"""),1349.0)</f>
        <v>1349</v>
      </c>
      <c r="K100" s="329">
        <f>IFERROR(__xludf.DUMMYFUNCTION("""COMPUTED_VALUE"""),61062.0)</f>
        <v>61062</v>
      </c>
      <c r="L100" s="329">
        <f>IFERROR(__xludf.DUMMYFUNCTION("""COMPUTED_VALUE"""),3056.0)</f>
        <v>3056</v>
      </c>
      <c r="M100" s="329">
        <f>IFERROR(__xludf.DUMMYFUNCTION("""COMPUTED_VALUE"""),449159.0)</f>
        <v>449159</v>
      </c>
      <c r="N100" s="329">
        <f>IFERROR(__xludf.DUMMYFUNCTION("""COMPUTED_VALUE"""),510221.0)</f>
        <v>510221</v>
      </c>
      <c r="O100" s="329">
        <f>IFERROR(__xludf.DUMMYFUNCTION("""COMPUTED_VALUE"""),55.0)</f>
        <v>55</v>
      </c>
      <c r="P100" s="329">
        <f>IFERROR(__xludf.DUMMYFUNCTION("""COMPUTED_VALUE"""),4837.0)</f>
        <v>4837</v>
      </c>
      <c r="Q100" s="329">
        <f>IFERROR(__xludf.DUMMYFUNCTION("""COMPUTED_VALUE"""),51.0)</f>
        <v>51</v>
      </c>
      <c r="R100" s="329">
        <f>IFERROR(__xludf.DUMMYFUNCTION("""COMPUTED_VALUE"""),3870.0)</f>
        <v>3870</v>
      </c>
      <c r="S100" s="329">
        <f>IFERROR(__xludf.DUMMYFUNCTION("""COMPUTED_VALUE"""),7.0)</f>
        <v>7</v>
      </c>
      <c r="T100" s="329">
        <f>IFERROR(__xludf.DUMMYFUNCTION("""COMPUTED_VALUE"""),500.0)</f>
        <v>500</v>
      </c>
      <c r="U100" s="329">
        <f>IFERROR(__xludf.DUMMYFUNCTION("""COMPUTED_VALUE"""),467.0)</f>
        <v>467</v>
      </c>
      <c r="V100" s="329">
        <f>IFERROR(__xludf.DUMMYFUNCTION("""COMPUTED_VALUE"""),468.0)</f>
        <v>468</v>
      </c>
      <c r="W100" s="329">
        <f>IFERROR(__xludf.DUMMYFUNCTION("""COMPUTED_VALUE"""),53.0)</f>
        <v>53</v>
      </c>
      <c r="X100" s="329">
        <f>IFERROR(__xludf.DUMMYFUNCTION("""COMPUTED_VALUE"""),30.0)</f>
        <v>30</v>
      </c>
      <c r="Y100" s="329">
        <f>IFERROR(__xludf.DUMMYFUNCTION("""COMPUTED_VALUE"""),14.0)</f>
        <v>14</v>
      </c>
      <c r="Z100" s="329">
        <f>IFERROR(__xludf.DUMMYFUNCTION("""COMPUTED_VALUE"""),1443.0)</f>
        <v>1443</v>
      </c>
      <c r="AA100" s="257" t="str">
        <f>IFERROR(__xludf.DUMMYFUNCTION("""COMPUTED_VALUE"""),"--")</f>
        <v>--</v>
      </c>
      <c r="AB100" s="257" t="str">
        <f>IFERROR(__xludf.DUMMYFUNCTION("""COMPUTED_VALUE"""),"--")</f>
        <v>--</v>
      </c>
      <c r="AC100" s="257" t="str">
        <f>IFERROR(__xludf.DUMMYFUNCTION("""COMPUTED_VALUE"""),"--")</f>
        <v>--</v>
      </c>
      <c r="AD100" s="257" t="str">
        <f>IFERROR(__xludf.DUMMYFUNCTION("""COMPUTED_VALUE"""),"--")</f>
        <v>--</v>
      </c>
      <c r="AE100" s="257" t="str">
        <f>IFERROR(__xludf.DUMMYFUNCTION("""COMPUTED_VALUE"""),"--")</f>
        <v>--</v>
      </c>
      <c r="AF100" s="257" t="str">
        <f>IFERROR(__xludf.DUMMYFUNCTION("""COMPUTED_VALUE"""),"--")</f>
        <v>--</v>
      </c>
      <c r="AG100" s="257" t="str">
        <f>IFERROR(__xludf.DUMMYFUNCTION("""COMPUTED_VALUE"""),"--")</f>
        <v>--</v>
      </c>
      <c r="AH100" s="257" t="str">
        <f>IFERROR(__xludf.DUMMYFUNCTION("""COMPUTED_VALUE"""),"--")</f>
        <v>--</v>
      </c>
    </row>
    <row r="101">
      <c r="A101" s="328">
        <f>IFERROR(__xludf.DUMMYFUNCTION("""COMPUTED_VALUE"""),44168.0)</f>
        <v>44168</v>
      </c>
      <c r="B101" s="329">
        <f>IFERROR(__xludf.DUMMYFUNCTION("""COMPUTED_VALUE"""),1776.0)</f>
        <v>1776</v>
      </c>
      <c r="C101" s="329">
        <f>IFERROR(__xludf.DUMMYFUNCTION("""COMPUTED_VALUE"""),1638.0)</f>
        <v>1638</v>
      </c>
      <c r="D101" s="329">
        <f>IFERROR(__xludf.DUMMYFUNCTION("""COMPUTED_VALUE"""),76855.0)</f>
        <v>76855</v>
      </c>
      <c r="E101" s="329">
        <f>IFERROR(__xludf.DUMMYFUNCTION("""COMPUTED_VALUE"""),14625.0)</f>
        <v>14625</v>
      </c>
      <c r="F101" s="257">
        <f>IFERROR(__xludf.DUMMYFUNCTION("""COMPUTED_VALUE"""),1535728.0)</f>
        <v>1535728</v>
      </c>
      <c r="G101" s="257">
        <f>IFERROR(__xludf.DUMMYFUNCTION("""COMPUTED_VALUE"""),16401.0)</f>
        <v>16401</v>
      </c>
      <c r="H101" s="257">
        <f>IFERROR(__xludf.DUMMYFUNCTION("""COMPUTED_VALUE"""),1612583.0)</f>
        <v>1612583</v>
      </c>
      <c r="I101" s="329">
        <f>IFERROR(__xludf.DUMMYFUNCTION("""COMPUTED_VALUE"""),1637.0)</f>
        <v>1637</v>
      </c>
      <c r="J101" s="329">
        <f>IFERROR(__xludf.DUMMYFUNCTION("""COMPUTED_VALUE"""),1505.0)</f>
        <v>1505</v>
      </c>
      <c r="K101" s="329">
        <f>IFERROR(__xludf.DUMMYFUNCTION("""COMPUTED_VALUE"""),62699.0)</f>
        <v>62699</v>
      </c>
      <c r="L101" s="329">
        <f>IFERROR(__xludf.DUMMYFUNCTION("""COMPUTED_VALUE"""),3130.0)</f>
        <v>3130</v>
      </c>
      <c r="M101" s="329">
        <f>IFERROR(__xludf.DUMMYFUNCTION("""COMPUTED_VALUE"""),452289.0)</f>
        <v>452289</v>
      </c>
      <c r="N101" s="329">
        <f>IFERROR(__xludf.DUMMYFUNCTION("""COMPUTED_VALUE"""),514988.0)</f>
        <v>514988</v>
      </c>
      <c r="O101" s="329">
        <f>IFERROR(__xludf.DUMMYFUNCTION("""COMPUTED_VALUE"""),64.0)</f>
        <v>64</v>
      </c>
      <c r="P101" s="329">
        <f>IFERROR(__xludf.DUMMYFUNCTION("""COMPUTED_VALUE"""),4901.0)</f>
        <v>4901</v>
      </c>
      <c r="Q101" s="329">
        <f>IFERROR(__xludf.DUMMYFUNCTION("""COMPUTED_VALUE"""),76.0)</f>
        <v>76</v>
      </c>
      <c r="R101" s="329">
        <f>IFERROR(__xludf.DUMMYFUNCTION("""COMPUTED_VALUE"""),3946.0)</f>
        <v>3946</v>
      </c>
      <c r="S101" s="329">
        <f>IFERROR(__xludf.DUMMYFUNCTION("""COMPUTED_VALUE"""),5.0)</f>
        <v>5</v>
      </c>
      <c r="T101" s="329">
        <f>IFERROR(__xludf.DUMMYFUNCTION("""COMPUTED_VALUE"""),505.0)</f>
        <v>505</v>
      </c>
      <c r="U101" s="329">
        <f>IFERROR(__xludf.DUMMYFUNCTION("""COMPUTED_VALUE"""),450.0)</f>
        <v>450</v>
      </c>
      <c r="V101" s="329">
        <f>IFERROR(__xludf.DUMMYFUNCTION("""COMPUTED_VALUE"""),462.0)</f>
        <v>462</v>
      </c>
      <c r="W101" s="329">
        <f>IFERROR(__xludf.DUMMYFUNCTION("""COMPUTED_VALUE"""),49.0)</f>
        <v>49</v>
      </c>
      <c r="X101" s="329">
        <f>IFERROR(__xludf.DUMMYFUNCTION("""COMPUTED_VALUE"""),31.0)</f>
        <v>31</v>
      </c>
      <c r="Y101" s="329">
        <f>IFERROR(__xludf.DUMMYFUNCTION("""COMPUTED_VALUE"""),12.0)</f>
        <v>12</v>
      </c>
      <c r="Z101" s="329">
        <f>IFERROR(__xludf.DUMMYFUNCTION("""COMPUTED_VALUE"""),1455.0)</f>
        <v>1455</v>
      </c>
      <c r="AA101" s="257" t="str">
        <f>IFERROR(__xludf.DUMMYFUNCTION("""COMPUTED_VALUE"""),"--")</f>
        <v>--</v>
      </c>
      <c r="AB101" s="257" t="str">
        <f>IFERROR(__xludf.DUMMYFUNCTION("""COMPUTED_VALUE"""),"--")</f>
        <v>--</v>
      </c>
      <c r="AC101" s="257" t="str">
        <f>IFERROR(__xludf.DUMMYFUNCTION("""COMPUTED_VALUE"""),"--")</f>
        <v>--</v>
      </c>
      <c r="AD101" s="257" t="str">
        <f>IFERROR(__xludf.DUMMYFUNCTION("""COMPUTED_VALUE"""),"--")</f>
        <v>--</v>
      </c>
      <c r="AE101" s="257" t="str">
        <f>IFERROR(__xludf.DUMMYFUNCTION("""COMPUTED_VALUE"""),"--")</f>
        <v>--</v>
      </c>
      <c r="AF101" s="257" t="str">
        <f>IFERROR(__xludf.DUMMYFUNCTION("""COMPUTED_VALUE"""),"--")</f>
        <v>--</v>
      </c>
      <c r="AG101" s="257" t="str">
        <f>IFERROR(__xludf.DUMMYFUNCTION("""COMPUTED_VALUE"""),"--")</f>
        <v>--</v>
      </c>
      <c r="AH101" s="257" t="str">
        <f>IFERROR(__xludf.DUMMYFUNCTION("""COMPUTED_VALUE"""),"--")</f>
        <v>--</v>
      </c>
    </row>
    <row r="102">
      <c r="A102" s="328">
        <f>IFERROR(__xludf.DUMMYFUNCTION("""COMPUTED_VALUE"""),44169.0)</f>
        <v>44169</v>
      </c>
      <c r="B102" s="329">
        <f>IFERROR(__xludf.DUMMYFUNCTION("""COMPUTED_VALUE"""),1656.0)</f>
        <v>1656</v>
      </c>
      <c r="C102" s="329">
        <f>IFERROR(__xludf.DUMMYFUNCTION("""COMPUTED_VALUE"""),1668.0)</f>
        <v>1668</v>
      </c>
      <c r="D102" s="329">
        <f>IFERROR(__xludf.DUMMYFUNCTION("""COMPUTED_VALUE"""),78511.0)</f>
        <v>78511</v>
      </c>
      <c r="E102" s="329">
        <f>IFERROR(__xludf.DUMMYFUNCTION("""COMPUTED_VALUE"""),16510.0)</f>
        <v>16510</v>
      </c>
      <c r="F102" s="257">
        <f>IFERROR(__xludf.DUMMYFUNCTION("""COMPUTED_VALUE"""),1552238.0)</f>
        <v>1552238</v>
      </c>
      <c r="G102" s="257">
        <f>IFERROR(__xludf.DUMMYFUNCTION("""COMPUTED_VALUE"""),18166.0)</f>
        <v>18166</v>
      </c>
      <c r="H102" s="257">
        <f>IFERROR(__xludf.DUMMYFUNCTION("""COMPUTED_VALUE"""),1630749.0)</f>
        <v>1630749</v>
      </c>
      <c r="I102" s="329">
        <f>IFERROR(__xludf.DUMMYFUNCTION("""COMPUTED_VALUE"""),1527.0)</f>
        <v>1527</v>
      </c>
      <c r="J102" s="329">
        <f>IFERROR(__xludf.DUMMYFUNCTION("""COMPUTED_VALUE"""),1538.0)</f>
        <v>1538</v>
      </c>
      <c r="K102" s="329">
        <f>IFERROR(__xludf.DUMMYFUNCTION("""COMPUTED_VALUE"""),64226.0)</f>
        <v>64226</v>
      </c>
      <c r="L102" s="329">
        <f>IFERROR(__xludf.DUMMYFUNCTION("""COMPUTED_VALUE"""),3571.0)</f>
        <v>3571</v>
      </c>
      <c r="M102" s="329">
        <f>IFERROR(__xludf.DUMMYFUNCTION("""COMPUTED_VALUE"""),455860.0)</f>
        <v>455860</v>
      </c>
      <c r="N102" s="329">
        <f>IFERROR(__xludf.DUMMYFUNCTION("""COMPUTED_VALUE"""),520086.0)</f>
        <v>520086</v>
      </c>
      <c r="O102" s="329">
        <f>IFERROR(__xludf.DUMMYFUNCTION("""COMPUTED_VALUE"""),70.0)</f>
        <v>70</v>
      </c>
      <c r="P102" s="329">
        <f>IFERROR(__xludf.DUMMYFUNCTION("""COMPUTED_VALUE"""),4971.0)</f>
        <v>4971</v>
      </c>
      <c r="Q102" s="329">
        <f>IFERROR(__xludf.DUMMYFUNCTION("""COMPUTED_VALUE"""),48.0)</f>
        <v>48</v>
      </c>
      <c r="R102" s="329">
        <f>IFERROR(__xludf.DUMMYFUNCTION("""COMPUTED_VALUE"""),3994.0)</f>
        <v>3994</v>
      </c>
      <c r="S102" s="329">
        <f>IFERROR(__xludf.DUMMYFUNCTION("""COMPUTED_VALUE"""),7.0)</f>
        <v>7</v>
      </c>
      <c r="T102" s="329">
        <f>IFERROR(__xludf.DUMMYFUNCTION("""COMPUTED_VALUE"""),512.0)</f>
        <v>512</v>
      </c>
      <c r="U102" s="329">
        <f>IFERROR(__xludf.DUMMYFUNCTION("""COMPUTED_VALUE"""),465.0)</f>
        <v>465</v>
      </c>
      <c r="V102" s="329">
        <f>IFERROR(__xludf.DUMMYFUNCTION("""COMPUTED_VALUE"""),461.0)</f>
        <v>461</v>
      </c>
      <c r="W102" s="329">
        <f>IFERROR(__xludf.DUMMYFUNCTION("""COMPUTED_VALUE"""),46.0)</f>
        <v>46</v>
      </c>
      <c r="X102" s="329">
        <f>IFERROR(__xludf.DUMMYFUNCTION("""COMPUTED_VALUE"""),29.0)</f>
        <v>29</v>
      </c>
      <c r="Y102" s="329">
        <f>IFERROR(__xludf.DUMMYFUNCTION("""COMPUTED_VALUE"""),12.0)</f>
        <v>12</v>
      </c>
      <c r="Z102" s="329">
        <f>IFERROR(__xludf.DUMMYFUNCTION("""COMPUTED_VALUE"""),1467.0)</f>
        <v>1467</v>
      </c>
      <c r="AA102" s="257" t="str">
        <f>IFERROR(__xludf.DUMMYFUNCTION("""COMPUTED_VALUE"""),"--")</f>
        <v>--</v>
      </c>
      <c r="AB102" s="257" t="str">
        <f>IFERROR(__xludf.DUMMYFUNCTION("""COMPUTED_VALUE"""),"--")</f>
        <v>--</v>
      </c>
      <c r="AC102" s="257" t="str">
        <f>IFERROR(__xludf.DUMMYFUNCTION("""COMPUTED_VALUE"""),"--")</f>
        <v>--</v>
      </c>
      <c r="AD102" s="257" t="str">
        <f>IFERROR(__xludf.DUMMYFUNCTION("""COMPUTED_VALUE"""),"--")</f>
        <v>--</v>
      </c>
      <c r="AE102" s="257" t="str">
        <f>IFERROR(__xludf.DUMMYFUNCTION("""COMPUTED_VALUE"""),"--")</f>
        <v>--</v>
      </c>
      <c r="AF102" s="257" t="str">
        <f>IFERROR(__xludf.DUMMYFUNCTION("""COMPUTED_VALUE"""),"--")</f>
        <v>--</v>
      </c>
      <c r="AG102" s="257" t="str">
        <f>IFERROR(__xludf.DUMMYFUNCTION("""COMPUTED_VALUE"""),"--")</f>
        <v>--</v>
      </c>
      <c r="AH102" s="257" t="str">
        <f>IFERROR(__xludf.DUMMYFUNCTION("""COMPUTED_VALUE"""),"--")</f>
        <v>--</v>
      </c>
    </row>
    <row r="103">
      <c r="A103" s="328">
        <f>IFERROR(__xludf.DUMMYFUNCTION("""COMPUTED_VALUE"""),44170.0)</f>
        <v>44170</v>
      </c>
      <c r="B103" s="329">
        <f>IFERROR(__xludf.DUMMYFUNCTION("""COMPUTED_VALUE"""),1200.0)</f>
        <v>1200</v>
      </c>
      <c r="C103" s="329">
        <f>IFERROR(__xludf.DUMMYFUNCTION("""COMPUTED_VALUE"""),1544.0)</f>
        <v>1544</v>
      </c>
      <c r="D103" s="329">
        <f>IFERROR(__xludf.DUMMYFUNCTION("""COMPUTED_VALUE"""),79711.0)</f>
        <v>79711</v>
      </c>
      <c r="E103" s="329">
        <f>IFERROR(__xludf.DUMMYFUNCTION("""COMPUTED_VALUE"""),12613.0)</f>
        <v>12613</v>
      </c>
      <c r="F103" s="257">
        <f>IFERROR(__xludf.DUMMYFUNCTION("""COMPUTED_VALUE"""),1564851.0)</f>
        <v>1564851</v>
      </c>
      <c r="G103" s="257">
        <f>IFERROR(__xludf.DUMMYFUNCTION("""COMPUTED_VALUE"""),13813.0)</f>
        <v>13813</v>
      </c>
      <c r="H103" s="257">
        <f>IFERROR(__xludf.DUMMYFUNCTION("""COMPUTED_VALUE"""),1644562.0)</f>
        <v>1644562</v>
      </c>
      <c r="I103" s="329">
        <f>IFERROR(__xludf.DUMMYFUNCTION("""COMPUTED_VALUE"""),1074.0)</f>
        <v>1074</v>
      </c>
      <c r="J103" s="329">
        <f>IFERROR(__xludf.DUMMYFUNCTION("""COMPUTED_VALUE"""),1413.0)</f>
        <v>1413</v>
      </c>
      <c r="K103" s="329">
        <f>IFERROR(__xludf.DUMMYFUNCTION("""COMPUTED_VALUE"""),65300.0)</f>
        <v>65300</v>
      </c>
      <c r="L103" s="329">
        <f>IFERROR(__xludf.DUMMYFUNCTION("""COMPUTED_VALUE"""),2741.0)</f>
        <v>2741</v>
      </c>
      <c r="M103" s="329">
        <f>IFERROR(__xludf.DUMMYFUNCTION("""COMPUTED_VALUE"""),458601.0)</f>
        <v>458601</v>
      </c>
      <c r="N103" s="329">
        <f>IFERROR(__xludf.DUMMYFUNCTION("""COMPUTED_VALUE"""),523901.0)</f>
        <v>523901</v>
      </c>
      <c r="O103" s="329">
        <f>IFERROR(__xludf.DUMMYFUNCTION("""COMPUTED_VALUE"""),68.0)</f>
        <v>68</v>
      </c>
      <c r="P103" s="329">
        <f>IFERROR(__xludf.DUMMYFUNCTION("""COMPUTED_VALUE"""),5039.0)</f>
        <v>5039</v>
      </c>
      <c r="Q103" s="329">
        <f>IFERROR(__xludf.DUMMYFUNCTION("""COMPUTED_VALUE"""),39.0)</f>
        <v>39</v>
      </c>
      <c r="R103" s="329">
        <f>IFERROR(__xludf.DUMMYFUNCTION("""COMPUTED_VALUE"""),4033.0)</f>
        <v>4033</v>
      </c>
      <c r="S103" s="329">
        <f>IFERROR(__xludf.DUMMYFUNCTION("""COMPUTED_VALUE"""),4.0)</f>
        <v>4</v>
      </c>
      <c r="T103" s="329">
        <f>IFERROR(__xludf.DUMMYFUNCTION("""COMPUTED_VALUE"""),516.0)</f>
        <v>516</v>
      </c>
      <c r="U103" s="329">
        <f>IFERROR(__xludf.DUMMYFUNCTION("""COMPUTED_VALUE"""),490.0)</f>
        <v>490</v>
      </c>
      <c r="V103" s="329">
        <f>IFERROR(__xludf.DUMMYFUNCTION("""COMPUTED_VALUE"""),468.0)</f>
        <v>468</v>
      </c>
      <c r="W103" s="329">
        <f>IFERROR(__xludf.DUMMYFUNCTION("""COMPUTED_VALUE"""),48.0)</f>
        <v>48</v>
      </c>
      <c r="X103" s="329">
        <f>IFERROR(__xludf.DUMMYFUNCTION("""COMPUTED_VALUE"""),29.0)</f>
        <v>29</v>
      </c>
      <c r="Y103" s="329">
        <f>IFERROR(__xludf.DUMMYFUNCTION("""COMPUTED_VALUE"""),16.0)</f>
        <v>16</v>
      </c>
      <c r="Z103" s="329">
        <f>IFERROR(__xludf.DUMMYFUNCTION("""COMPUTED_VALUE"""),1483.0)</f>
        <v>1483</v>
      </c>
      <c r="AA103" s="257" t="str">
        <f>IFERROR(__xludf.DUMMYFUNCTION("""COMPUTED_VALUE"""),"--")</f>
        <v>--</v>
      </c>
      <c r="AB103" s="257" t="str">
        <f>IFERROR(__xludf.DUMMYFUNCTION("""COMPUTED_VALUE"""),"--")</f>
        <v>--</v>
      </c>
      <c r="AC103" s="257" t="str">
        <f>IFERROR(__xludf.DUMMYFUNCTION("""COMPUTED_VALUE"""),"--")</f>
        <v>--</v>
      </c>
      <c r="AD103" s="257" t="str">
        <f>IFERROR(__xludf.DUMMYFUNCTION("""COMPUTED_VALUE"""),"--")</f>
        <v>--</v>
      </c>
      <c r="AE103" s="257" t="str">
        <f>IFERROR(__xludf.DUMMYFUNCTION("""COMPUTED_VALUE"""),"--")</f>
        <v>--</v>
      </c>
      <c r="AF103" s="257" t="str">
        <f>IFERROR(__xludf.DUMMYFUNCTION("""COMPUTED_VALUE"""),"--")</f>
        <v>--</v>
      </c>
      <c r="AG103" s="257" t="str">
        <f>IFERROR(__xludf.DUMMYFUNCTION("""COMPUTED_VALUE"""),"--")</f>
        <v>--</v>
      </c>
      <c r="AH103" s="257" t="str">
        <f>IFERROR(__xludf.DUMMYFUNCTION("""COMPUTED_VALUE"""),"--")</f>
        <v>--</v>
      </c>
    </row>
    <row r="104">
      <c r="A104" s="328">
        <f>IFERROR(__xludf.DUMMYFUNCTION("""COMPUTED_VALUE"""),44171.0)</f>
        <v>44171</v>
      </c>
      <c r="B104" s="329">
        <f>IFERROR(__xludf.DUMMYFUNCTION("""COMPUTED_VALUE"""),1127.0)</f>
        <v>1127</v>
      </c>
      <c r="C104" s="329">
        <f>IFERROR(__xludf.DUMMYFUNCTION("""COMPUTED_VALUE"""),1328.0)</f>
        <v>1328</v>
      </c>
      <c r="D104" s="329">
        <f>IFERROR(__xludf.DUMMYFUNCTION("""COMPUTED_VALUE"""),80838.0)</f>
        <v>80838</v>
      </c>
      <c r="E104" s="329">
        <f>IFERROR(__xludf.DUMMYFUNCTION("""COMPUTED_VALUE"""),7849.0)</f>
        <v>7849</v>
      </c>
      <c r="F104" s="257">
        <f>IFERROR(__xludf.DUMMYFUNCTION("""COMPUTED_VALUE"""),1572700.0)</f>
        <v>1572700</v>
      </c>
      <c r="G104" s="257">
        <f>IFERROR(__xludf.DUMMYFUNCTION("""COMPUTED_VALUE"""),8976.0)</f>
        <v>8976</v>
      </c>
      <c r="H104" s="257">
        <f>IFERROR(__xludf.DUMMYFUNCTION("""COMPUTED_VALUE"""),1653538.0)</f>
        <v>1653538</v>
      </c>
      <c r="I104" s="329">
        <f>IFERROR(__xludf.DUMMYFUNCTION("""COMPUTED_VALUE"""),980.0)</f>
        <v>980</v>
      </c>
      <c r="J104" s="329">
        <f>IFERROR(__xludf.DUMMYFUNCTION("""COMPUTED_VALUE"""),1194.0)</f>
        <v>1194</v>
      </c>
      <c r="K104" s="329">
        <f>IFERROR(__xludf.DUMMYFUNCTION("""COMPUTED_VALUE"""),66280.0)</f>
        <v>66280</v>
      </c>
      <c r="L104" s="329">
        <f>IFERROR(__xludf.DUMMYFUNCTION("""COMPUTED_VALUE"""),2328.0)</f>
        <v>2328</v>
      </c>
      <c r="M104" s="329">
        <f>IFERROR(__xludf.DUMMYFUNCTION("""COMPUTED_VALUE"""),460929.0)</f>
        <v>460929</v>
      </c>
      <c r="N104" s="329">
        <f>IFERROR(__xludf.DUMMYFUNCTION("""COMPUTED_VALUE"""),527209.0)</f>
        <v>527209</v>
      </c>
      <c r="O104" s="329">
        <f>IFERROR(__xludf.DUMMYFUNCTION("""COMPUTED_VALUE"""),61.0)</f>
        <v>61</v>
      </c>
      <c r="P104" s="329">
        <f>IFERROR(__xludf.DUMMYFUNCTION("""COMPUTED_VALUE"""),5100.0)</f>
        <v>5100</v>
      </c>
      <c r="Q104" s="329">
        <f>IFERROR(__xludf.DUMMYFUNCTION("""COMPUTED_VALUE"""),45.0)</f>
        <v>45</v>
      </c>
      <c r="R104" s="329">
        <f>IFERROR(__xludf.DUMMYFUNCTION("""COMPUTED_VALUE"""),4078.0)</f>
        <v>4078</v>
      </c>
      <c r="S104" s="329">
        <f>IFERROR(__xludf.DUMMYFUNCTION("""COMPUTED_VALUE"""),10.0)</f>
        <v>10</v>
      </c>
      <c r="T104" s="329">
        <f>IFERROR(__xludf.DUMMYFUNCTION("""COMPUTED_VALUE"""),526.0)</f>
        <v>526</v>
      </c>
      <c r="U104" s="329">
        <f>IFERROR(__xludf.DUMMYFUNCTION("""COMPUTED_VALUE"""),496.0)</f>
        <v>496</v>
      </c>
      <c r="V104" s="329">
        <f>IFERROR(__xludf.DUMMYFUNCTION("""COMPUTED_VALUE"""),484.0)</f>
        <v>484</v>
      </c>
      <c r="W104" s="329">
        <f>IFERROR(__xludf.DUMMYFUNCTION("""COMPUTED_VALUE"""),49.0)</f>
        <v>49</v>
      </c>
      <c r="X104" s="329">
        <f>IFERROR(__xludf.DUMMYFUNCTION("""COMPUTED_VALUE"""),25.0)</f>
        <v>25</v>
      </c>
      <c r="Y104" s="329">
        <f>IFERROR(__xludf.DUMMYFUNCTION("""COMPUTED_VALUE"""),15.0)</f>
        <v>15</v>
      </c>
      <c r="Z104" s="329">
        <f>IFERROR(__xludf.DUMMYFUNCTION("""COMPUTED_VALUE"""),1498.0)</f>
        <v>1498</v>
      </c>
      <c r="AA104" s="257" t="str">
        <f>IFERROR(__xludf.DUMMYFUNCTION("""COMPUTED_VALUE"""),"--")</f>
        <v>--</v>
      </c>
      <c r="AB104" s="257" t="str">
        <f>IFERROR(__xludf.DUMMYFUNCTION("""COMPUTED_VALUE"""),"--")</f>
        <v>--</v>
      </c>
      <c r="AC104" s="257" t="str">
        <f>IFERROR(__xludf.DUMMYFUNCTION("""COMPUTED_VALUE"""),"--")</f>
        <v>--</v>
      </c>
      <c r="AD104" s="257" t="str">
        <f>IFERROR(__xludf.DUMMYFUNCTION("""COMPUTED_VALUE"""),"--")</f>
        <v>--</v>
      </c>
      <c r="AE104" s="257" t="str">
        <f>IFERROR(__xludf.DUMMYFUNCTION("""COMPUTED_VALUE"""),"--")</f>
        <v>--</v>
      </c>
      <c r="AF104" s="257" t="str">
        <f>IFERROR(__xludf.DUMMYFUNCTION("""COMPUTED_VALUE"""),"--")</f>
        <v>--</v>
      </c>
      <c r="AG104" s="257" t="str">
        <f>IFERROR(__xludf.DUMMYFUNCTION("""COMPUTED_VALUE"""),"--")</f>
        <v>--</v>
      </c>
      <c r="AH104" s="257" t="str">
        <f>IFERROR(__xludf.DUMMYFUNCTION("""COMPUTED_VALUE"""),"--")</f>
        <v>--</v>
      </c>
    </row>
    <row r="105">
      <c r="A105" s="328">
        <f>IFERROR(__xludf.DUMMYFUNCTION("""COMPUTED_VALUE"""),44172.0)</f>
        <v>44172</v>
      </c>
      <c r="B105" s="329">
        <f>IFERROR(__xludf.DUMMYFUNCTION("""COMPUTED_VALUE"""),1397.0)</f>
        <v>1397</v>
      </c>
      <c r="C105" s="329">
        <f>IFERROR(__xludf.DUMMYFUNCTION("""COMPUTED_VALUE"""),1241.0)</f>
        <v>1241</v>
      </c>
      <c r="D105" s="329">
        <f>IFERROR(__xludf.DUMMYFUNCTION("""COMPUTED_VALUE"""),82235.0)</f>
        <v>82235</v>
      </c>
      <c r="E105" s="329">
        <f>IFERROR(__xludf.DUMMYFUNCTION("""COMPUTED_VALUE"""),10704.0)</f>
        <v>10704</v>
      </c>
      <c r="F105" s="257">
        <f>IFERROR(__xludf.DUMMYFUNCTION("""COMPUTED_VALUE"""),1583404.0)</f>
        <v>1583404</v>
      </c>
      <c r="G105" s="257">
        <f>IFERROR(__xludf.DUMMYFUNCTION("""COMPUTED_VALUE"""),12101.0)</f>
        <v>12101</v>
      </c>
      <c r="H105" s="257">
        <f>IFERROR(__xludf.DUMMYFUNCTION("""COMPUTED_VALUE"""),1665639.0)</f>
        <v>1665639</v>
      </c>
      <c r="I105" s="329">
        <f>IFERROR(__xludf.DUMMYFUNCTION("""COMPUTED_VALUE"""),1257.0)</f>
        <v>1257</v>
      </c>
      <c r="J105" s="329">
        <f>IFERROR(__xludf.DUMMYFUNCTION("""COMPUTED_VALUE"""),1104.0)</f>
        <v>1104</v>
      </c>
      <c r="K105" s="329">
        <f>IFERROR(__xludf.DUMMYFUNCTION("""COMPUTED_VALUE"""),67537.0)</f>
        <v>67537</v>
      </c>
      <c r="L105" s="329">
        <f>IFERROR(__xludf.DUMMYFUNCTION("""COMPUTED_VALUE"""),3169.0)</f>
        <v>3169</v>
      </c>
      <c r="M105" s="329">
        <f>IFERROR(__xludf.DUMMYFUNCTION("""COMPUTED_VALUE"""),464098.0)</f>
        <v>464098</v>
      </c>
      <c r="N105" s="329">
        <f>IFERROR(__xludf.DUMMYFUNCTION("""COMPUTED_VALUE"""),531635.0)</f>
        <v>531635</v>
      </c>
      <c r="O105" s="329">
        <f>IFERROR(__xludf.DUMMYFUNCTION("""COMPUTED_VALUE"""),71.0)</f>
        <v>71</v>
      </c>
      <c r="P105" s="329">
        <f>IFERROR(__xludf.DUMMYFUNCTION("""COMPUTED_VALUE"""),5171.0)</f>
        <v>5171</v>
      </c>
      <c r="Q105" s="329">
        <f>IFERROR(__xludf.DUMMYFUNCTION("""COMPUTED_VALUE"""),54.0)</f>
        <v>54</v>
      </c>
      <c r="R105" s="329">
        <f>IFERROR(__xludf.DUMMYFUNCTION("""COMPUTED_VALUE"""),4132.0)</f>
        <v>4132</v>
      </c>
      <c r="S105" s="329">
        <f>IFERROR(__xludf.DUMMYFUNCTION("""COMPUTED_VALUE"""),6.0)</f>
        <v>6</v>
      </c>
      <c r="T105" s="329">
        <f>IFERROR(__xludf.DUMMYFUNCTION("""COMPUTED_VALUE"""),532.0)</f>
        <v>532</v>
      </c>
      <c r="U105" s="329">
        <f>IFERROR(__xludf.DUMMYFUNCTION("""COMPUTED_VALUE"""),507.0)</f>
        <v>507</v>
      </c>
      <c r="V105" s="329">
        <f>IFERROR(__xludf.DUMMYFUNCTION("""COMPUTED_VALUE"""),498.0)</f>
        <v>498</v>
      </c>
      <c r="W105" s="329">
        <f>IFERROR(__xludf.DUMMYFUNCTION("""COMPUTED_VALUE"""),47.0)</f>
        <v>47</v>
      </c>
      <c r="X105" s="329">
        <f>IFERROR(__xludf.DUMMYFUNCTION("""COMPUTED_VALUE"""),25.0)</f>
        <v>25</v>
      </c>
      <c r="Y105" s="329">
        <f>IFERROR(__xludf.DUMMYFUNCTION("""COMPUTED_VALUE"""),24.0)</f>
        <v>24</v>
      </c>
      <c r="Z105" s="329">
        <f>IFERROR(__xludf.DUMMYFUNCTION("""COMPUTED_VALUE"""),1522.0)</f>
        <v>1522</v>
      </c>
      <c r="AA105" s="257" t="str">
        <f>IFERROR(__xludf.DUMMYFUNCTION("""COMPUTED_VALUE"""),"--")</f>
        <v>--</v>
      </c>
      <c r="AB105" s="257" t="str">
        <f>IFERROR(__xludf.DUMMYFUNCTION("""COMPUTED_VALUE"""),"--")</f>
        <v>--</v>
      </c>
      <c r="AC105" s="257" t="str">
        <f>IFERROR(__xludf.DUMMYFUNCTION("""COMPUTED_VALUE"""),"--")</f>
        <v>--</v>
      </c>
      <c r="AD105" s="257" t="str">
        <f>IFERROR(__xludf.DUMMYFUNCTION("""COMPUTED_VALUE"""),"--")</f>
        <v>--</v>
      </c>
      <c r="AE105" s="257" t="str">
        <f>IFERROR(__xludf.DUMMYFUNCTION("""COMPUTED_VALUE"""),"--")</f>
        <v>--</v>
      </c>
      <c r="AF105" s="257" t="str">
        <f>IFERROR(__xludf.DUMMYFUNCTION("""COMPUTED_VALUE"""),"--")</f>
        <v>--</v>
      </c>
      <c r="AG105" s="257" t="str">
        <f>IFERROR(__xludf.DUMMYFUNCTION("""COMPUTED_VALUE"""),"--")</f>
        <v>--</v>
      </c>
      <c r="AH105" s="257" t="str">
        <f>IFERROR(__xludf.DUMMYFUNCTION("""COMPUTED_VALUE"""),"--")</f>
        <v>--</v>
      </c>
    </row>
    <row r="106">
      <c r="A106" s="328">
        <f>IFERROR(__xludf.DUMMYFUNCTION("""COMPUTED_VALUE"""),44173.0)</f>
        <v>44173</v>
      </c>
      <c r="B106" s="329">
        <f>IFERROR(__xludf.DUMMYFUNCTION("""COMPUTED_VALUE"""),1466.0)</f>
        <v>1466</v>
      </c>
      <c r="C106" s="329">
        <f>IFERROR(__xludf.DUMMYFUNCTION("""COMPUTED_VALUE"""),1330.0)</f>
        <v>1330</v>
      </c>
      <c r="D106" s="329">
        <f>IFERROR(__xludf.DUMMYFUNCTION("""COMPUTED_VALUE"""),83701.0)</f>
        <v>83701</v>
      </c>
      <c r="E106" s="329">
        <f>IFERROR(__xludf.DUMMYFUNCTION("""COMPUTED_VALUE"""),15324.0)</f>
        <v>15324</v>
      </c>
      <c r="F106" s="257">
        <f>IFERROR(__xludf.DUMMYFUNCTION("""COMPUTED_VALUE"""),1598728.0)</f>
        <v>1598728</v>
      </c>
      <c r="G106" s="257">
        <f>IFERROR(__xludf.DUMMYFUNCTION("""COMPUTED_VALUE"""),16790.0)</f>
        <v>16790</v>
      </c>
      <c r="H106" s="257">
        <f>IFERROR(__xludf.DUMMYFUNCTION("""COMPUTED_VALUE"""),1682429.0)</f>
        <v>1682429</v>
      </c>
      <c r="I106" s="329">
        <f>IFERROR(__xludf.DUMMYFUNCTION("""COMPUTED_VALUE"""),1320.0)</f>
        <v>1320</v>
      </c>
      <c r="J106" s="329">
        <f>IFERROR(__xludf.DUMMYFUNCTION("""COMPUTED_VALUE"""),1186.0)</f>
        <v>1186</v>
      </c>
      <c r="K106" s="329">
        <f>IFERROR(__xludf.DUMMYFUNCTION("""COMPUTED_VALUE"""),68857.0)</f>
        <v>68857</v>
      </c>
      <c r="L106" s="329">
        <f>IFERROR(__xludf.DUMMYFUNCTION("""COMPUTED_VALUE"""),3387.0)</f>
        <v>3387</v>
      </c>
      <c r="M106" s="329">
        <f>IFERROR(__xludf.DUMMYFUNCTION("""COMPUTED_VALUE"""),467485.0)</f>
        <v>467485</v>
      </c>
      <c r="N106" s="329">
        <f>IFERROR(__xludf.DUMMYFUNCTION("""COMPUTED_VALUE"""),536342.0)</f>
        <v>536342</v>
      </c>
      <c r="O106" s="329">
        <f>IFERROR(__xludf.DUMMYFUNCTION("""COMPUTED_VALUE"""),61.0)</f>
        <v>61</v>
      </c>
      <c r="P106" s="329">
        <f>IFERROR(__xludf.DUMMYFUNCTION("""COMPUTED_VALUE"""),5232.0)</f>
        <v>5232</v>
      </c>
      <c r="Q106" s="329">
        <f>IFERROR(__xludf.DUMMYFUNCTION("""COMPUTED_VALUE"""),59.0)</f>
        <v>59</v>
      </c>
      <c r="R106" s="329">
        <f>IFERROR(__xludf.DUMMYFUNCTION("""COMPUTED_VALUE"""),4191.0)</f>
        <v>4191</v>
      </c>
      <c r="S106" s="329">
        <f>IFERROR(__xludf.DUMMYFUNCTION("""COMPUTED_VALUE"""),5.0)</f>
        <v>5</v>
      </c>
      <c r="T106" s="329">
        <f>IFERROR(__xludf.DUMMYFUNCTION("""COMPUTED_VALUE"""),537.0)</f>
        <v>537</v>
      </c>
      <c r="U106" s="329">
        <f>IFERROR(__xludf.DUMMYFUNCTION("""COMPUTED_VALUE"""),504.0)</f>
        <v>504</v>
      </c>
      <c r="V106" s="329">
        <f>IFERROR(__xludf.DUMMYFUNCTION("""COMPUTED_VALUE"""),502.0)</f>
        <v>502</v>
      </c>
      <c r="W106" s="329">
        <f>IFERROR(__xludf.DUMMYFUNCTION("""COMPUTED_VALUE"""),52.0)</f>
        <v>52</v>
      </c>
      <c r="X106" s="329">
        <f>IFERROR(__xludf.DUMMYFUNCTION("""COMPUTED_VALUE"""),29.0)</f>
        <v>29</v>
      </c>
      <c r="Y106" s="329">
        <f>IFERROR(__xludf.DUMMYFUNCTION("""COMPUTED_VALUE"""),21.0)</f>
        <v>21</v>
      </c>
      <c r="Z106" s="329">
        <f>IFERROR(__xludf.DUMMYFUNCTION("""COMPUTED_VALUE"""),1543.0)</f>
        <v>1543</v>
      </c>
      <c r="AA106" s="257" t="str">
        <f>IFERROR(__xludf.DUMMYFUNCTION("""COMPUTED_VALUE"""),"--")</f>
        <v>--</v>
      </c>
      <c r="AB106" s="257" t="str">
        <f>IFERROR(__xludf.DUMMYFUNCTION("""COMPUTED_VALUE"""),"--")</f>
        <v>--</v>
      </c>
      <c r="AC106" s="257" t="str">
        <f>IFERROR(__xludf.DUMMYFUNCTION("""COMPUTED_VALUE"""),"--")</f>
        <v>--</v>
      </c>
      <c r="AD106" s="257" t="str">
        <f>IFERROR(__xludf.DUMMYFUNCTION("""COMPUTED_VALUE"""),"--")</f>
        <v>--</v>
      </c>
      <c r="AE106" s="257" t="str">
        <f>IFERROR(__xludf.DUMMYFUNCTION("""COMPUTED_VALUE"""),"--")</f>
        <v>--</v>
      </c>
      <c r="AF106" s="257" t="str">
        <f>IFERROR(__xludf.DUMMYFUNCTION("""COMPUTED_VALUE"""),"--")</f>
        <v>--</v>
      </c>
      <c r="AG106" s="257" t="str">
        <f>IFERROR(__xludf.DUMMYFUNCTION("""COMPUTED_VALUE"""),"--")</f>
        <v>--</v>
      </c>
      <c r="AH106" s="257" t="str">
        <f>IFERROR(__xludf.DUMMYFUNCTION("""COMPUTED_VALUE"""),"--")</f>
        <v>--</v>
      </c>
    </row>
    <row r="107">
      <c r="A107" s="328">
        <f>IFERROR(__xludf.DUMMYFUNCTION("""COMPUTED_VALUE"""),44174.0)</f>
        <v>44174</v>
      </c>
      <c r="B107" s="329">
        <f>IFERROR(__xludf.DUMMYFUNCTION("""COMPUTED_VALUE"""),1500.0)</f>
        <v>1500</v>
      </c>
      <c r="C107" s="329">
        <f>IFERROR(__xludf.DUMMYFUNCTION("""COMPUTED_VALUE"""),1454.0)</f>
        <v>1454</v>
      </c>
      <c r="D107" s="329">
        <f>IFERROR(__xludf.DUMMYFUNCTION("""COMPUTED_VALUE"""),85201.0)</f>
        <v>85201</v>
      </c>
      <c r="E107" s="329">
        <f>IFERROR(__xludf.DUMMYFUNCTION("""COMPUTED_VALUE"""),16357.0)</f>
        <v>16357</v>
      </c>
      <c r="F107" s="257">
        <f>IFERROR(__xludf.DUMMYFUNCTION("""COMPUTED_VALUE"""),1615085.0)</f>
        <v>1615085</v>
      </c>
      <c r="G107" s="257">
        <f>IFERROR(__xludf.DUMMYFUNCTION("""COMPUTED_VALUE"""),17857.0)</f>
        <v>17857</v>
      </c>
      <c r="H107" s="257">
        <f>IFERROR(__xludf.DUMMYFUNCTION("""COMPUTED_VALUE"""),1700286.0)</f>
        <v>1700286</v>
      </c>
      <c r="I107" s="329">
        <f>IFERROR(__xludf.DUMMYFUNCTION("""COMPUTED_VALUE"""),1343.0)</f>
        <v>1343</v>
      </c>
      <c r="J107" s="329">
        <f>IFERROR(__xludf.DUMMYFUNCTION("""COMPUTED_VALUE"""),1307.0)</f>
        <v>1307</v>
      </c>
      <c r="K107" s="329">
        <f>IFERROR(__xludf.DUMMYFUNCTION("""COMPUTED_VALUE"""),70200.0)</f>
        <v>70200</v>
      </c>
      <c r="L107" s="329">
        <f>IFERROR(__xludf.DUMMYFUNCTION("""COMPUTED_VALUE"""),3048.0)</f>
        <v>3048</v>
      </c>
      <c r="M107" s="329">
        <f>IFERROR(__xludf.DUMMYFUNCTION("""COMPUTED_VALUE"""),470533.0)</f>
        <v>470533</v>
      </c>
      <c r="N107" s="329">
        <f>IFERROR(__xludf.DUMMYFUNCTION("""COMPUTED_VALUE"""),540733.0)</f>
        <v>540733</v>
      </c>
      <c r="O107" s="329">
        <f>IFERROR(__xludf.DUMMYFUNCTION("""COMPUTED_VALUE"""),58.0)</f>
        <v>58</v>
      </c>
      <c r="P107" s="329">
        <f>IFERROR(__xludf.DUMMYFUNCTION("""COMPUTED_VALUE"""),5290.0)</f>
        <v>5290</v>
      </c>
      <c r="Q107" s="329">
        <f>IFERROR(__xludf.DUMMYFUNCTION("""COMPUTED_VALUE"""),62.0)</f>
        <v>62</v>
      </c>
      <c r="R107" s="329">
        <f>IFERROR(__xludf.DUMMYFUNCTION("""COMPUTED_VALUE"""),4253.0)</f>
        <v>4253</v>
      </c>
      <c r="S107" s="329">
        <f>IFERROR(__xludf.DUMMYFUNCTION("""COMPUTED_VALUE"""),9.0)</f>
        <v>9</v>
      </c>
      <c r="T107" s="329">
        <f>IFERROR(__xludf.DUMMYFUNCTION("""COMPUTED_VALUE"""),546.0)</f>
        <v>546</v>
      </c>
      <c r="U107" s="329">
        <f>IFERROR(__xludf.DUMMYFUNCTION("""COMPUTED_VALUE"""),491.0)</f>
        <v>491</v>
      </c>
      <c r="V107" s="329">
        <f>IFERROR(__xludf.DUMMYFUNCTION("""COMPUTED_VALUE"""),501.0)</f>
        <v>501</v>
      </c>
      <c r="W107" s="329">
        <f>IFERROR(__xludf.DUMMYFUNCTION("""COMPUTED_VALUE"""),49.0)</f>
        <v>49</v>
      </c>
      <c r="X107" s="329">
        <f>IFERROR(__xludf.DUMMYFUNCTION("""COMPUTED_VALUE"""),31.0)</f>
        <v>31</v>
      </c>
      <c r="Y107" s="329">
        <f>IFERROR(__xludf.DUMMYFUNCTION("""COMPUTED_VALUE"""),15.0)</f>
        <v>15</v>
      </c>
      <c r="Z107" s="329">
        <f>IFERROR(__xludf.DUMMYFUNCTION("""COMPUTED_VALUE"""),1558.0)</f>
        <v>1558</v>
      </c>
      <c r="AA107" s="257" t="str">
        <f>IFERROR(__xludf.DUMMYFUNCTION("""COMPUTED_VALUE"""),"--")</f>
        <v>--</v>
      </c>
      <c r="AB107" s="257" t="str">
        <f>IFERROR(__xludf.DUMMYFUNCTION("""COMPUTED_VALUE"""),"--")</f>
        <v>--</v>
      </c>
      <c r="AC107" s="257" t="str">
        <f>IFERROR(__xludf.DUMMYFUNCTION("""COMPUTED_VALUE"""),"--")</f>
        <v>--</v>
      </c>
      <c r="AD107" s="257" t="str">
        <f>IFERROR(__xludf.DUMMYFUNCTION("""COMPUTED_VALUE"""),"--")</f>
        <v>--</v>
      </c>
      <c r="AE107" s="257" t="str">
        <f>IFERROR(__xludf.DUMMYFUNCTION("""COMPUTED_VALUE"""),"--")</f>
        <v>--</v>
      </c>
      <c r="AF107" s="257" t="str">
        <f>IFERROR(__xludf.DUMMYFUNCTION("""COMPUTED_VALUE"""),"--")</f>
        <v>--</v>
      </c>
      <c r="AG107" s="257" t="str">
        <f>IFERROR(__xludf.DUMMYFUNCTION("""COMPUTED_VALUE"""),"--")</f>
        <v>--</v>
      </c>
      <c r="AH107" s="257" t="str">
        <f>IFERROR(__xludf.DUMMYFUNCTION("""COMPUTED_VALUE"""),"--")</f>
        <v>--</v>
      </c>
    </row>
    <row r="108">
      <c r="A108" s="328">
        <f>IFERROR(__xludf.DUMMYFUNCTION("""COMPUTED_VALUE"""),44175.0)</f>
        <v>44175</v>
      </c>
      <c r="B108" s="329">
        <f>IFERROR(__xludf.DUMMYFUNCTION("""COMPUTED_VALUE"""),1475.0)</f>
        <v>1475</v>
      </c>
      <c r="C108" s="329">
        <f>IFERROR(__xludf.DUMMYFUNCTION("""COMPUTED_VALUE"""),1480.0)</f>
        <v>1480</v>
      </c>
      <c r="D108" s="329">
        <f>IFERROR(__xludf.DUMMYFUNCTION("""COMPUTED_VALUE"""),86676.0)</f>
        <v>86676</v>
      </c>
      <c r="E108" s="329">
        <f>IFERROR(__xludf.DUMMYFUNCTION("""COMPUTED_VALUE"""),17282.0)</f>
        <v>17282</v>
      </c>
      <c r="F108" s="257">
        <f>IFERROR(__xludf.DUMMYFUNCTION("""COMPUTED_VALUE"""),1632367.0)</f>
        <v>1632367</v>
      </c>
      <c r="G108" s="257">
        <f>IFERROR(__xludf.DUMMYFUNCTION("""COMPUTED_VALUE"""),18757.0)</f>
        <v>18757</v>
      </c>
      <c r="H108" s="257">
        <f>IFERROR(__xludf.DUMMYFUNCTION("""COMPUTED_VALUE"""),1719043.0)</f>
        <v>1719043</v>
      </c>
      <c r="I108" s="329">
        <f>IFERROR(__xludf.DUMMYFUNCTION("""COMPUTED_VALUE"""),1255.0)</f>
        <v>1255</v>
      </c>
      <c r="J108" s="329">
        <f>IFERROR(__xludf.DUMMYFUNCTION("""COMPUTED_VALUE"""),1306.0)</f>
        <v>1306</v>
      </c>
      <c r="K108" s="329">
        <f>IFERROR(__xludf.DUMMYFUNCTION("""COMPUTED_VALUE"""),71455.0)</f>
        <v>71455</v>
      </c>
      <c r="L108" s="329">
        <f>IFERROR(__xludf.DUMMYFUNCTION("""COMPUTED_VALUE"""),3879.0)</f>
        <v>3879</v>
      </c>
      <c r="M108" s="329">
        <f>IFERROR(__xludf.DUMMYFUNCTION("""COMPUTED_VALUE"""),474412.0)</f>
        <v>474412</v>
      </c>
      <c r="N108" s="329">
        <f>IFERROR(__xludf.DUMMYFUNCTION("""COMPUTED_VALUE"""),545867.0)</f>
        <v>545867</v>
      </c>
      <c r="O108" s="329">
        <f>IFERROR(__xludf.DUMMYFUNCTION("""COMPUTED_VALUE"""),63.0)</f>
        <v>63</v>
      </c>
      <c r="P108" s="329">
        <f>IFERROR(__xludf.DUMMYFUNCTION("""COMPUTED_VALUE"""),5353.0)</f>
        <v>5353</v>
      </c>
      <c r="Q108" s="329">
        <f>IFERROR(__xludf.DUMMYFUNCTION("""COMPUTED_VALUE"""),57.0)</f>
        <v>57</v>
      </c>
      <c r="R108" s="329">
        <f>IFERROR(__xludf.DUMMYFUNCTION("""COMPUTED_VALUE"""),4310.0)</f>
        <v>4310</v>
      </c>
      <c r="S108" s="329">
        <f>IFERROR(__xludf.DUMMYFUNCTION("""COMPUTED_VALUE"""),7.0)</f>
        <v>7</v>
      </c>
      <c r="T108" s="329">
        <f>IFERROR(__xludf.DUMMYFUNCTION("""COMPUTED_VALUE"""),553.0)</f>
        <v>553</v>
      </c>
      <c r="U108" s="329">
        <f>IFERROR(__xludf.DUMMYFUNCTION("""COMPUTED_VALUE"""),490.0)</f>
        <v>490</v>
      </c>
      <c r="V108" s="329">
        <f>IFERROR(__xludf.DUMMYFUNCTION("""COMPUTED_VALUE"""),495.0)</f>
        <v>495</v>
      </c>
      <c r="W108" s="329">
        <f>IFERROR(__xludf.DUMMYFUNCTION("""COMPUTED_VALUE"""),56.0)</f>
        <v>56</v>
      </c>
      <c r="X108" s="329">
        <f>IFERROR(__xludf.DUMMYFUNCTION("""COMPUTED_VALUE"""),30.0)</f>
        <v>30</v>
      </c>
      <c r="Y108" s="329">
        <f>IFERROR(__xludf.DUMMYFUNCTION("""COMPUTED_VALUE"""),26.0)</f>
        <v>26</v>
      </c>
      <c r="Z108" s="329">
        <f>IFERROR(__xludf.DUMMYFUNCTION("""COMPUTED_VALUE"""),1584.0)</f>
        <v>1584</v>
      </c>
      <c r="AA108" s="257" t="str">
        <f>IFERROR(__xludf.DUMMYFUNCTION("""COMPUTED_VALUE"""),"--")</f>
        <v>--</v>
      </c>
      <c r="AB108" s="257" t="str">
        <f>IFERROR(__xludf.DUMMYFUNCTION("""COMPUTED_VALUE"""),"--")</f>
        <v>--</v>
      </c>
      <c r="AC108" s="257" t="str">
        <f>IFERROR(__xludf.DUMMYFUNCTION("""COMPUTED_VALUE"""),"--")</f>
        <v>--</v>
      </c>
      <c r="AD108" s="257" t="str">
        <f>IFERROR(__xludf.DUMMYFUNCTION("""COMPUTED_VALUE"""),"--")</f>
        <v>--</v>
      </c>
      <c r="AE108" s="257" t="str">
        <f>IFERROR(__xludf.DUMMYFUNCTION("""COMPUTED_VALUE"""),"--")</f>
        <v>--</v>
      </c>
      <c r="AF108" s="257" t="str">
        <f>IFERROR(__xludf.DUMMYFUNCTION("""COMPUTED_VALUE"""),"--")</f>
        <v>--</v>
      </c>
      <c r="AG108" s="257" t="str">
        <f>IFERROR(__xludf.DUMMYFUNCTION("""COMPUTED_VALUE"""),"--")</f>
        <v>--</v>
      </c>
      <c r="AH108" s="257" t="str">
        <f>IFERROR(__xludf.DUMMYFUNCTION("""COMPUTED_VALUE"""),"--")</f>
        <v>--</v>
      </c>
    </row>
    <row r="109">
      <c r="A109" s="328">
        <f>IFERROR(__xludf.DUMMYFUNCTION("""COMPUTED_VALUE"""),44176.0)</f>
        <v>44176</v>
      </c>
      <c r="B109" s="329">
        <f>IFERROR(__xludf.DUMMYFUNCTION("""COMPUTED_VALUE"""),1490.0)</f>
        <v>1490</v>
      </c>
      <c r="C109" s="329">
        <f>IFERROR(__xludf.DUMMYFUNCTION("""COMPUTED_VALUE"""),1488.0)</f>
        <v>1488</v>
      </c>
      <c r="D109" s="329">
        <f>IFERROR(__xludf.DUMMYFUNCTION("""COMPUTED_VALUE"""),88166.0)</f>
        <v>88166</v>
      </c>
      <c r="E109" s="329">
        <f>IFERROR(__xludf.DUMMYFUNCTION("""COMPUTED_VALUE"""),17392.0)</f>
        <v>17392</v>
      </c>
      <c r="F109" s="257">
        <f>IFERROR(__xludf.DUMMYFUNCTION("""COMPUTED_VALUE"""),1649759.0)</f>
        <v>1649759</v>
      </c>
      <c r="G109" s="257">
        <f>IFERROR(__xludf.DUMMYFUNCTION("""COMPUTED_VALUE"""),18882.0)</f>
        <v>18882</v>
      </c>
      <c r="H109" s="257">
        <f>IFERROR(__xludf.DUMMYFUNCTION("""COMPUTED_VALUE"""),1737925.0)</f>
        <v>1737925</v>
      </c>
      <c r="I109" s="329">
        <f>IFERROR(__xludf.DUMMYFUNCTION("""COMPUTED_VALUE"""),1295.0)</f>
        <v>1295</v>
      </c>
      <c r="J109" s="329">
        <f>IFERROR(__xludf.DUMMYFUNCTION("""COMPUTED_VALUE"""),1298.0)</f>
        <v>1298</v>
      </c>
      <c r="K109" s="329">
        <f>IFERROR(__xludf.DUMMYFUNCTION("""COMPUTED_VALUE"""),72750.0)</f>
        <v>72750</v>
      </c>
      <c r="L109" s="329">
        <f>IFERROR(__xludf.DUMMYFUNCTION("""COMPUTED_VALUE"""),3433.0)</f>
        <v>3433</v>
      </c>
      <c r="M109" s="329">
        <f>IFERROR(__xludf.DUMMYFUNCTION("""COMPUTED_VALUE"""),477845.0)</f>
        <v>477845</v>
      </c>
      <c r="N109" s="329">
        <f>IFERROR(__xludf.DUMMYFUNCTION("""COMPUTED_VALUE"""),550595.0)</f>
        <v>550595</v>
      </c>
      <c r="O109" s="329">
        <f>IFERROR(__xludf.DUMMYFUNCTION("""COMPUTED_VALUE"""),69.0)</f>
        <v>69</v>
      </c>
      <c r="P109" s="329">
        <f>IFERROR(__xludf.DUMMYFUNCTION("""COMPUTED_VALUE"""),5422.0)</f>
        <v>5422</v>
      </c>
      <c r="Q109" s="329">
        <f>IFERROR(__xludf.DUMMYFUNCTION("""COMPUTED_VALUE"""),81.0)</f>
        <v>81</v>
      </c>
      <c r="R109" s="329">
        <f>IFERROR(__xludf.DUMMYFUNCTION("""COMPUTED_VALUE"""),4391.0)</f>
        <v>4391</v>
      </c>
      <c r="S109" s="329">
        <f>IFERROR(__xludf.DUMMYFUNCTION("""COMPUTED_VALUE"""),7.0)</f>
        <v>7</v>
      </c>
      <c r="T109" s="329">
        <f>IFERROR(__xludf.DUMMYFUNCTION("""COMPUTED_VALUE"""),560.0)</f>
        <v>560</v>
      </c>
      <c r="U109" s="329">
        <f>IFERROR(__xludf.DUMMYFUNCTION("""COMPUTED_VALUE"""),471.0)</f>
        <v>471</v>
      </c>
      <c r="V109" s="329">
        <f>IFERROR(__xludf.DUMMYFUNCTION("""COMPUTED_VALUE"""),484.0)</f>
        <v>484</v>
      </c>
      <c r="W109" s="329">
        <f>IFERROR(__xludf.DUMMYFUNCTION("""COMPUTED_VALUE"""),62.0)</f>
        <v>62</v>
      </c>
      <c r="X109" s="329">
        <f>IFERROR(__xludf.DUMMYFUNCTION("""COMPUTED_VALUE"""),33.0)</f>
        <v>33</v>
      </c>
      <c r="Y109" s="329">
        <f>IFERROR(__xludf.DUMMYFUNCTION("""COMPUTED_VALUE"""),20.0)</f>
        <v>20</v>
      </c>
      <c r="Z109" s="329">
        <f>IFERROR(__xludf.DUMMYFUNCTION("""COMPUTED_VALUE"""),1604.0)</f>
        <v>1604</v>
      </c>
      <c r="AA109" s="257" t="str">
        <f>IFERROR(__xludf.DUMMYFUNCTION("""COMPUTED_VALUE"""),"--")</f>
        <v>--</v>
      </c>
      <c r="AB109" s="257" t="str">
        <f>IFERROR(__xludf.DUMMYFUNCTION("""COMPUTED_VALUE"""),"--")</f>
        <v>--</v>
      </c>
      <c r="AC109" s="257" t="str">
        <f>IFERROR(__xludf.DUMMYFUNCTION("""COMPUTED_VALUE"""),"--")</f>
        <v>--</v>
      </c>
      <c r="AD109" s="257" t="str">
        <f>IFERROR(__xludf.DUMMYFUNCTION("""COMPUTED_VALUE"""),"--")</f>
        <v>--</v>
      </c>
      <c r="AE109" s="257" t="str">
        <f>IFERROR(__xludf.DUMMYFUNCTION("""COMPUTED_VALUE"""),"--")</f>
        <v>--</v>
      </c>
      <c r="AF109" s="257" t="str">
        <f>IFERROR(__xludf.DUMMYFUNCTION("""COMPUTED_VALUE"""),"--")</f>
        <v>--</v>
      </c>
      <c r="AG109" s="257" t="str">
        <f>IFERROR(__xludf.DUMMYFUNCTION("""COMPUTED_VALUE"""),"--")</f>
        <v>--</v>
      </c>
      <c r="AH109" s="257" t="str">
        <f>IFERROR(__xludf.DUMMYFUNCTION("""COMPUTED_VALUE"""),"--")</f>
        <v>--</v>
      </c>
    </row>
    <row r="110">
      <c r="A110" s="328">
        <f>IFERROR(__xludf.DUMMYFUNCTION("""COMPUTED_VALUE"""),44177.0)</f>
        <v>44177</v>
      </c>
      <c r="B110" s="329">
        <f>IFERROR(__xludf.DUMMYFUNCTION("""COMPUTED_VALUE"""),1123.0)</f>
        <v>1123</v>
      </c>
      <c r="C110" s="329">
        <f>IFERROR(__xludf.DUMMYFUNCTION("""COMPUTED_VALUE"""),1363.0)</f>
        <v>1363</v>
      </c>
      <c r="D110" s="329">
        <f>IFERROR(__xludf.DUMMYFUNCTION("""COMPUTED_VALUE"""),89289.0)</f>
        <v>89289</v>
      </c>
      <c r="E110" s="329">
        <f>IFERROR(__xludf.DUMMYFUNCTION("""COMPUTED_VALUE"""),13074.0)</f>
        <v>13074</v>
      </c>
      <c r="F110" s="257">
        <f>IFERROR(__xludf.DUMMYFUNCTION("""COMPUTED_VALUE"""),1662833.0)</f>
        <v>1662833</v>
      </c>
      <c r="G110" s="257">
        <f>IFERROR(__xludf.DUMMYFUNCTION("""COMPUTED_VALUE"""),14197.0)</f>
        <v>14197</v>
      </c>
      <c r="H110" s="257">
        <f>IFERROR(__xludf.DUMMYFUNCTION("""COMPUTED_VALUE"""),1752122.0)</f>
        <v>1752122</v>
      </c>
      <c r="I110" s="329">
        <f>IFERROR(__xludf.DUMMYFUNCTION("""COMPUTED_VALUE"""),933.0)</f>
        <v>933</v>
      </c>
      <c r="J110" s="329">
        <f>IFERROR(__xludf.DUMMYFUNCTION("""COMPUTED_VALUE"""),1161.0)</f>
        <v>1161</v>
      </c>
      <c r="K110" s="329">
        <f>IFERROR(__xludf.DUMMYFUNCTION("""COMPUTED_VALUE"""),73683.0)</f>
        <v>73683</v>
      </c>
      <c r="L110" s="329">
        <f>IFERROR(__xludf.DUMMYFUNCTION("""COMPUTED_VALUE"""),2934.0)</f>
        <v>2934</v>
      </c>
      <c r="M110" s="329">
        <f>IFERROR(__xludf.DUMMYFUNCTION("""COMPUTED_VALUE"""),480779.0)</f>
        <v>480779</v>
      </c>
      <c r="N110" s="329">
        <f>IFERROR(__xludf.DUMMYFUNCTION("""COMPUTED_VALUE"""),554462.0)</f>
        <v>554462</v>
      </c>
      <c r="O110" s="329">
        <f>IFERROR(__xludf.DUMMYFUNCTION("""COMPUTED_VALUE"""),65.0)</f>
        <v>65</v>
      </c>
      <c r="P110" s="329">
        <f>IFERROR(__xludf.DUMMYFUNCTION("""COMPUTED_VALUE"""),5487.0)</f>
        <v>5487</v>
      </c>
      <c r="Q110" s="329">
        <f>IFERROR(__xludf.DUMMYFUNCTION("""COMPUTED_VALUE"""),54.0)</f>
        <v>54</v>
      </c>
      <c r="R110" s="329">
        <f>IFERROR(__xludf.DUMMYFUNCTION("""COMPUTED_VALUE"""),4445.0)</f>
        <v>4445</v>
      </c>
      <c r="S110" s="329">
        <f>IFERROR(__xludf.DUMMYFUNCTION("""COMPUTED_VALUE"""),9.0)</f>
        <v>9</v>
      </c>
      <c r="T110" s="329">
        <f>IFERROR(__xludf.DUMMYFUNCTION("""COMPUTED_VALUE"""),569.0)</f>
        <v>569</v>
      </c>
      <c r="U110" s="329">
        <f>IFERROR(__xludf.DUMMYFUNCTION("""COMPUTED_VALUE"""),473.0)</f>
        <v>473</v>
      </c>
      <c r="V110" s="329">
        <f>IFERROR(__xludf.DUMMYFUNCTION("""COMPUTED_VALUE"""),478.0)</f>
        <v>478</v>
      </c>
      <c r="W110" s="329">
        <f>IFERROR(__xludf.DUMMYFUNCTION("""COMPUTED_VALUE"""),55.0)</f>
        <v>55</v>
      </c>
      <c r="X110" s="329">
        <f>IFERROR(__xludf.DUMMYFUNCTION("""COMPUTED_VALUE"""),32.0)</f>
        <v>32</v>
      </c>
      <c r="Y110" s="329">
        <f>IFERROR(__xludf.DUMMYFUNCTION("""COMPUTED_VALUE"""),19.0)</f>
        <v>19</v>
      </c>
      <c r="Z110" s="329">
        <f>IFERROR(__xludf.DUMMYFUNCTION("""COMPUTED_VALUE"""),1623.0)</f>
        <v>1623</v>
      </c>
      <c r="AA110" s="257" t="str">
        <f>IFERROR(__xludf.DUMMYFUNCTION("""COMPUTED_VALUE"""),"--")</f>
        <v>--</v>
      </c>
      <c r="AB110" s="257" t="str">
        <f>IFERROR(__xludf.DUMMYFUNCTION("""COMPUTED_VALUE"""),"--")</f>
        <v>--</v>
      </c>
      <c r="AC110" s="257" t="str">
        <f>IFERROR(__xludf.DUMMYFUNCTION("""COMPUTED_VALUE"""),"--")</f>
        <v>--</v>
      </c>
      <c r="AD110" s="257" t="str">
        <f>IFERROR(__xludf.DUMMYFUNCTION("""COMPUTED_VALUE"""),"--")</f>
        <v>--</v>
      </c>
      <c r="AE110" s="257" t="str">
        <f>IFERROR(__xludf.DUMMYFUNCTION("""COMPUTED_VALUE"""),"--")</f>
        <v>--</v>
      </c>
      <c r="AF110" s="257" t="str">
        <f>IFERROR(__xludf.DUMMYFUNCTION("""COMPUTED_VALUE"""),"--")</f>
        <v>--</v>
      </c>
      <c r="AG110" s="257" t="str">
        <f>IFERROR(__xludf.DUMMYFUNCTION("""COMPUTED_VALUE"""),"--")</f>
        <v>--</v>
      </c>
      <c r="AH110" s="257" t="str">
        <f>IFERROR(__xludf.DUMMYFUNCTION("""COMPUTED_VALUE"""),"--")</f>
        <v>--</v>
      </c>
    </row>
    <row r="111">
      <c r="A111" s="328">
        <f>IFERROR(__xludf.DUMMYFUNCTION("""COMPUTED_VALUE"""),44178.0)</f>
        <v>44178</v>
      </c>
      <c r="B111" s="329">
        <f>IFERROR(__xludf.DUMMYFUNCTION("""COMPUTED_VALUE"""),673.0)</f>
        <v>673</v>
      </c>
      <c r="C111" s="329">
        <f>IFERROR(__xludf.DUMMYFUNCTION("""COMPUTED_VALUE"""),1095.0)</f>
        <v>1095</v>
      </c>
      <c r="D111" s="329">
        <f>IFERROR(__xludf.DUMMYFUNCTION("""COMPUTED_VALUE"""),89962.0)</f>
        <v>89962</v>
      </c>
      <c r="E111" s="329">
        <f>IFERROR(__xludf.DUMMYFUNCTION("""COMPUTED_VALUE"""),7159.0)</f>
        <v>7159</v>
      </c>
      <c r="F111" s="257">
        <f>IFERROR(__xludf.DUMMYFUNCTION("""COMPUTED_VALUE"""),1669992.0)</f>
        <v>1669992</v>
      </c>
      <c r="G111" s="257">
        <f>IFERROR(__xludf.DUMMYFUNCTION("""COMPUTED_VALUE"""),7832.0)</f>
        <v>7832</v>
      </c>
      <c r="H111" s="257">
        <f>IFERROR(__xludf.DUMMYFUNCTION("""COMPUTED_VALUE"""),1759954.0)</f>
        <v>1759954</v>
      </c>
      <c r="I111" s="329">
        <f>IFERROR(__xludf.DUMMYFUNCTION("""COMPUTED_VALUE"""),555.0)</f>
        <v>555</v>
      </c>
      <c r="J111" s="329">
        <f>IFERROR(__xludf.DUMMYFUNCTION("""COMPUTED_VALUE"""),928.0)</f>
        <v>928</v>
      </c>
      <c r="K111" s="329">
        <f>IFERROR(__xludf.DUMMYFUNCTION("""COMPUTED_VALUE"""),74238.0)</f>
        <v>74238</v>
      </c>
      <c r="L111" s="329">
        <f>IFERROR(__xludf.DUMMYFUNCTION("""COMPUTED_VALUE"""),1909.0)</f>
        <v>1909</v>
      </c>
      <c r="M111" s="329">
        <f>IFERROR(__xludf.DUMMYFUNCTION("""COMPUTED_VALUE"""),482688.0)</f>
        <v>482688</v>
      </c>
      <c r="N111" s="329">
        <f>IFERROR(__xludf.DUMMYFUNCTION("""COMPUTED_VALUE"""),556926.0)</f>
        <v>556926</v>
      </c>
      <c r="O111" s="329">
        <f>IFERROR(__xludf.DUMMYFUNCTION("""COMPUTED_VALUE"""),74.0)</f>
        <v>74</v>
      </c>
      <c r="P111" s="329">
        <f>IFERROR(__xludf.DUMMYFUNCTION("""COMPUTED_VALUE"""),5561.0)</f>
        <v>5561</v>
      </c>
      <c r="Q111" s="329">
        <f>IFERROR(__xludf.DUMMYFUNCTION("""COMPUTED_VALUE"""),40.0)</f>
        <v>40</v>
      </c>
      <c r="R111" s="329">
        <f>IFERROR(__xludf.DUMMYFUNCTION("""COMPUTED_VALUE"""),4485.0)</f>
        <v>4485</v>
      </c>
      <c r="S111" s="329">
        <f>IFERROR(__xludf.DUMMYFUNCTION("""COMPUTED_VALUE"""),13.0)</f>
        <v>13</v>
      </c>
      <c r="T111" s="329">
        <f>IFERROR(__xludf.DUMMYFUNCTION("""COMPUTED_VALUE"""),582.0)</f>
        <v>582</v>
      </c>
      <c r="U111" s="329">
        <f>IFERROR(__xludf.DUMMYFUNCTION("""COMPUTED_VALUE"""),494.0)</f>
        <v>494</v>
      </c>
      <c r="V111" s="329">
        <f>IFERROR(__xludf.DUMMYFUNCTION("""COMPUTED_VALUE"""),479.0)</f>
        <v>479</v>
      </c>
      <c r="W111" s="329">
        <f>IFERROR(__xludf.DUMMYFUNCTION("""COMPUTED_VALUE"""),56.0)</f>
        <v>56</v>
      </c>
      <c r="X111" s="329">
        <f>IFERROR(__xludf.DUMMYFUNCTION("""COMPUTED_VALUE"""),30.0)</f>
        <v>30</v>
      </c>
      <c r="Y111" s="329">
        <f>IFERROR(__xludf.DUMMYFUNCTION("""COMPUTED_VALUE"""),30.0)</f>
        <v>30</v>
      </c>
      <c r="Z111" s="329">
        <f>IFERROR(__xludf.DUMMYFUNCTION("""COMPUTED_VALUE"""),1653.0)</f>
        <v>1653</v>
      </c>
      <c r="AA111" s="257" t="str">
        <f>IFERROR(__xludf.DUMMYFUNCTION("""COMPUTED_VALUE"""),"--")</f>
        <v>--</v>
      </c>
      <c r="AB111" s="257" t="str">
        <f>IFERROR(__xludf.DUMMYFUNCTION("""COMPUTED_VALUE"""),"--")</f>
        <v>--</v>
      </c>
      <c r="AC111" s="257" t="str">
        <f>IFERROR(__xludf.DUMMYFUNCTION("""COMPUTED_VALUE"""),"--")</f>
        <v>--</v>
      </c>
      <c r="AD111" s="257" t="str">
        <f>IFERROR(__xludf.DUMMYFUNCTION("""COMPUTED_VALUE"""),"--")</f>
        <v>--</v>
      </c>
      <c r="AE111" s="257" t="str">
        <f>IFERROR(__xludf.DUMMYFUNCTION("""COMPUTED_VALUE"""),"--")</f>
        <v>--</v>
      </c>
      <c r="AF111" s="257" t="str">
        <f>IFERROR(__xludf.DUMMYFUNCTION("""COMPUTED_VALUE"""),"--")</f>
        <v>--</v>
      </c>
      <c r="AG111" s="257" t="str">
        <f>IFERROR(__xludf.DUMMYFUNCTION("""COMPUTED_VALUE"""),"--")</f>
        <v>--</v>
      </c>
      <c r="AH111" s="257" t="str">
        <f>IFERROR(__xludf.DUMMYFUNCTION("""COMPUTED_VALUE"""),"--")</f>
        <v>--</v>
      </c>
    </row>
    <row r="112">
      <c r="A112" s="328">
        <f>IFERROR(__xludf.DUMMYFUNCTION("""COMPUTED_VALUE"""),44179.0)</f>
        <v>44179</v>
      </c>
      <c r="B112" s="329">
        <f>IFERROR(__xludf.DUMMYFUNCTION("""COMPUTED_VALUE"""),1318.0)</f>
        <v>1318</v>
      </c>
      <c r="C112" s="329">
        <f>IFERROR(__xludf.DUMMYFUNCTION("""COMPUTED_VALUE"""),1038.0)</f>
        <v>1038</v>
      </c>
      <c r="D112" s="329">
        <f>IFERROR(__xludf.DUMMYFUNCTION("""COMPUTED_VALUE"""),91280.0)</f>
        <v>91280</v>
      </c>
      <c r="E112" s="329">
        <f>IFERROR(__xludf.DUMMYFUNCTION("""COMPUTED_VALUE"""),11247.0)</f>
        <v>11247</v>
      </c>
      <c r="F112" s="257">
        <f>IFERROR(__xludf.DUMMYFUNCTION("""COMPUTED_VALUE"""),1681239.0)</f>
        <v>1681239</v>
      </c>
      <c r="G112" s="257">
        <f>IFERROR(__xludf.DUMMYFUNCTION("""COMPUTED_VALUE"""),12565.0)</f>
        <v>12565</v>
      </c>
      <c r="H112" s="257">
        <f>IFERROR(__xludf.DUMMYFUNCTION("""COMPUTED_VALUE"""),1772519.0)</f>
        <v>1772519</v>
      </c>
      <c r="I112" s="329">
        <f>IFERROR(__xludf.DUMMYFUNCTION("""COMPUTED_VALUE"""),1140.0)</f>
        <v>1140</v>
      </c>
      <c r="J112" s="329">
        <f>IFERROR(__xludf.DUMMYFUNCTION("""COMPUTED_VALUE"""),876.0)</f>
        <v>876</v>
      </c>
      <c r="K112" s="329">
        <f>IFERROR(__xludf.DUMMYFUNCTION("""COMPUTED_VALUE"""),75378.0)</f>
        <v>75378</v>
      </c>
      <c r="L112" s="329">
        <f>IFERROR(__xludf.DUMMYFUNCTION("""COMPUTED_VALUE"""),3242.0)</f>
        <v>3242</v>
      </c>
      <c r="M112" s="329">
        <f>IFERROR(__xludf.DUMMYFUNCTION("""COMPUTED_VALUE"""),485930.0)</f>
        <v>485930</v>
      </c>
      <c r="N112" s="329">
        <f>IFERROR(__xludf.DUMMYFUNCTION("""COMPUTED_VALUE"""),561308.0)</f>
        <v>561308</v>
      </c>
      <c r="O112" s="329">
        <f>IFERROR(__xludf.DUMMYFUNCTION("""COMPUTED_VALUE"""),85.0)</f>
        <v>85</v>
      </c>
      <c r="P112" s="329">
        <f>IFERROR(__xludf.DUMMYFUNCTION("""COMPUTED_VALUE"""),5646.0)</f>
        <v>5646</v>
      </c>
      <c r="Q112" s="329">
        <f>IFERROR(__xludf.DUMMYFUNCTION("""COMPUTED_VALUE"""),63.0)</f>
        <v>63</v>
      </c>
      <c r="R112" s="329">
        <f>IFERROR(__xludf.DUMMYFUNCTION("""COMPUTED_VALUE"""),4548.0)</f>
        <v>4548</v>
      </c>
      <c r="S112" s="329">
        <f>IFERROR(__xludf.DUMMYFUNCTION("""COMPUTED_VALUE"""),10.0)</f>
        <v>10</v>
      </c>
      <c r="T112" s="329">
        <f>IFERROR(__xludf.DUMMYFUNCTION("""COMPUTED_VALUE"""),592.0)</f>
        <v>592</v>
      </c>
      <c r="U112" s="329">
        <f>IFERROR(__xludf.DUMMYFUNCTION("""COMPUTED_VALUE"""),506.0)</f>
        <v>506</v>
      </c>
      <c r="V112" s="329">
        <f>IFERROR(__xludf.DUMMYFUNCTION("""COMPUTED_VALUE"""),491.0)</f>
        <v>491</v>
      </c>
      <c r="W112" s="329">
        <f>IFERROR(__xludf.DUMMYFUNCTION("""COMPUTED_VALUE"""),66.0)</f>
        <v>66</v>
      </c>
      <c r="X112" s="329">
        <f>IFERROR(__xludf.DUMMYFUNCTION("""COMPUTED_VALUE"""),32.0)</f>
        <v>32</v>
      </c>
      <c r="Y112" s="329">
        <f>IFERROR(__xludf.DUMMYFUNCTION("""COMPUTED_VALUE"""),15.0)</f>
        <v>15</v>
      </c>
      <c r="Z112" s="329">
        <f>IFERROR(__xludf.DUMMYFUNCTION("""COMPUTED_VALUE"""),1668.0)</f>
        <v>1668</v>
      </c>
      <c r="AA112" s="257">
        <f>IFERROR(__xludf.DUMMYFUNCTION("""COMPUTED_VALUE"""),113.0)</f>
        <v>113</v>
      </c>
      <c r="AB112" s="257">
        <f>IFERROR(__xludf.DUMMYFUNCTION("""COMPUTED_VALUE"""),0.0)</f>
        <v>0</v>
      </c>
      <c r="AC112" s="257">
        <f>IFERROR(__xludf.DUMMYFUNCTION("""COMPUTED_VALUE"""),113.0)</f>
        <v>113</v>
      </c>
      <c r="AD112" s="257">
        <f>IFERROR(__xludf.DUMMYFUNCTION("""COMPUTED_VALUE"""),113.0)</f>
        <v>113</v>
      </c>
      <c r="AE112" s="257">
        <f>IFERROR(__xludf.DUMMYFUNCTION("""COMPUTED_VALUE"""),113.0)</f>
        <v>113</v>
      </c>
      <c r="AF112" s="257">
        <f>IFERROR(__xludf.DUMMYFUNCTION("""COMPUTED_VALUE"""),113.0)</f>
        <v>113</v>
      </c>
      <c r="AG112" s="257">
        <f>IFERROR(__xludf.DUMMYFUNCTION("""COMPUTED_VALUE"""),0.0)</f>
        <v>0</v>
      </c>
      <c r="AH112" s="257">
        <f>IFERROR(__xludf.DUMMYFUNCTION("""COMPUTED_VALUE"""),0.0)</f>
        <v>0</v>
      </c>
    </row>
    <row r="113">
      <c r="A113" s="328">
        <f>IFERROR(__xludf.DUMMYFUNCTION("""COMPUTED_VALUE"""),44180.0)</f>
        <v>44180</v>
      </c>
      <c r="B113" s="329">
        <f>IFERROR(__xludf.DUMMYFUNCTION("""COMPUTED_VALUE"""),1270.0)</f>
        <v>1270</v>
      </c>
      <c r="C113" s="329">
        <f>IFERROR(__xludf.DUMMYFUNCTION("""COMPUTED_VALUE"""),1087.0)</f>
        <v>1087</v>
      </c>
      <c r="D113" s="329">
        <f>IFERROR(__xludf.DUMMYFUNCTION("""COMPUTED_VALUE"""),92550.0)</f>
        <v>92550</v>
      </c>
      <c r="E113" s="329">
        <f>IFERROR(__xludf.DUMMYFUNCTION("""COMPUTED_VALUE"""),15133.0)</f>
        <v>15133</v>
      </c>
      <c r="F113" s="257">
        <f>IFERROR(__xludf.DUMMYFUNCTION("""COMPUTED_VALUE"""),1696372.0)</f>
        <v>1696372</v>
      </c>
      <c r="G113" s="257">
        <f>IFERROR(__xludf.DUMMYFUNCTION("""COMPUTED_VALUE"""),16403.0)</f>
        <v>16403</v>
      </c>
      <c r="H113" s="257">
        <f>IFERROR(__xludf.DUMMYFUNCTION("""COMPUTED_VALUE"""),1788922.0)</f>
        <v>1788922</v>
      </c>
      <c r="I113" s="329">
        <f>IFERROR(__xludf.DUMMYFUNCTION("""COMPUTED_VALUE"""),1059.0)</f>
        <v>1059</v>
      </c>
      <c r="J113" s="329">
        <f>IFERROR(__xludf.DUMMYFUNCTION("""COMPUTED_VALUE"""),918.0)</f>
        <v>918</v>
      </c>
      <c r="K113" s="329">
        <f>IFERROR(__xludf.DUMMYFUNCTION("""COMPUTED_VALUE"""),76437.0)</f>
        <v>76437</v>
      </c>
      <c r="L113" s="329">
        <f>IFERROR(__xludf.DUMMYFUNCTION("""COMPUTED_VALUE"""),2955.0)</f>
        <v>2955</v>
      </c>
      <c r="M113" s="329">
        <f>IFERROR(__xludf.DUMMYFUNCTION("""COMPUTED_VALUE"""),488885.0)</f>
        <v>488885</v>
      </c>
      <c r="N113" s="329">
        <f>IFERROR(__xludf.DUMMYFUNCTION("""COMPUTED_VALUE"""),565322.0)</f>
        <v>565322</v>
      </c>
      <c r="O113" s="329">
        <f>IFERROR(__xludf.DUMMYFUNCTION("""COMPUTED_VALUE"""),71.0)</f>
        <v>71</v>
      </c>
      <c r="P113" s="329">
        <f>IFERROR(__xludf.DUMMYFUNCTION("""COMPUTED_VALUE"""),5717.0)</f>
        <v>5717</v>
      </c>
      <c r="Q113" s="329">
        <f>IFERROR(__xludf.DUMMYFUNCTION("""COMPUTED_VALUE"""),56.0)</f>
        <v>56</v>
      </c>
      <c r="R113" s="329">
        <f>IFERROR(__xludf.DUMMYFUNCTION("""COMPUTED_VALUE"""),4604.0)</f>
        <v>4604</v>
      </c>
      <c r="S113" s="329">
        <f>IFERROR(__xludf.DUMMYFUNCTION("""COMPUTED_VALUE"""),5.0)</f>
        <v>5</v>
      </c>
      <c r="T113" s="329">
        <f>IFERROR(__xludf.DUMMYFUNCTION("""COMPUTED_VALUE"""),597.0)</f>
        <v>597</v>
      </c>
      <c r="U113" s="329">
        <f>IFERROR(__xludf.DUMMYFUNCTION("""COMPUTED_VALUE"""),516.0)</f>
        <v>516</v>
      </c>
      <c r="V113" s="329">
        <f>IFERROR(__xludf.DUMMYFUNCTION("""COMPUTED_VALUE"""),505.0)</f>
        <v>505</v>
      </c>
      <c r="W113" s="329">
        <f>IFERROR(__xludf.DUMMYFUNCTION("""COMPUTED_VALUE"""),63.0)</f>
        <v>63</v>
      </c>
      <c r="X113" s="329">
        <f>IFERROR(__xludf.DUMMYFUNCTION("""COMPUTED_VALUE"""),32.0)</f>
        <v>32</v>
      </c>
      <c r="Y113" s="329">
        <f>IFERROR(__xludf.DUMMYFUNCTION("""COMPUTED_VALUE"""),16.0)</f>
        <v>16</v>
      </c>
      <c r="Z113" s="329">
        <f>IFERROR(__xludf.DUMMYFUNCTION("""COMPUTED_VALUE"""),1684.0)</f>
        <v>1684</v>
      </c>
      <c r="AA113" s="257">
        <f>IFERROR(__xludf.DUMMYFUNCTION("""COMPUTED_VALUE"""),425.0)</f>
        <v>425</v>
      </c>
      <c r="AB113" s="257">
        <f>IFERROR(__xludf.DUMMYFUNCTION("""COMPUTED_VALUE"""),0.0)</f>
        <v>0</v>
      </c>
      <c r="AC113" s="257">
        <f>IFERROR(__xludf.DUMMYFUNCTION("""COMPUTED_VALUE"""),425.0)</f>
        <v>425</v>
      </c>
      <c r="AD113" s="257">
        <f>IFERROR(__xludf.DUMMYFUNCTION("""COMPUTED_VALUE"""),538.0)</f>
        <v>538</v>
      </c>
      <c r="AE113" s="257">
        <f>IFERROR(__xludf.DUMMYFUNCTION("""COMPUTED_VALUE"""),425.0)</f>
        <v>425</v>
      </c>
      <c r="AF113" s="257">
        <f>IFERROR(__xludf.DUMMYFUNCTION("""COMPUTED_VALUE"""),538.0)</f>
        <v>538</v>
      </c>
      <c r="AG113" s="257">
        <f>IFERROR(__xludf.DUMMYFUNCTION("""COMPUTED_VALUE"""),0.0)</f>
        <v>0</v>
      </c>
      <c r="AH113" s="257">
        <f>IFERROR(__xludf.DUMMYFUNCTION("""COMPUTED_VALUE"""),0.0)</f>
        <v>0</v>
      </c>
    </row>
    <row r="114">
      <c r="A114" s="328">
        <f>IFERROR(__xludf.DUMMYFUNCTION("""COMPUTED_VALUE"""),44181.0)</f>
        <v>44181</v>
      </c>
      <c r="B114" s="329">
        <f>IFERROR(__xludf.DUMMYFUNCTION("""COMPUTED_VALUE"""),1281.0)</f>
        <v>1281</v>
      </c>
      <c r="C114" s="329">
        <f>IFERROR(__xludf.DUMMYFUNCTION("""COMPUTED_VALUE"""),1290.0)</f>
        <v>1290</v>
      </c>
      <c r="D114" s="329">
        <f>IFERROR(__xludf.DUMMYFUNCTION("""COMPUTED_VALUE"""),93831.0)</f>
        <v>93831</v>
      </c>
      <c r="E114" s="329">
        <f>IFERROR(__xludf.DUMMYFUNCTION("""COMPUTED_VALUE"""),19138.0)</f>
        <v>19138</v>
      </c>
      <c r="F114" s="257">
        <f>IFERROR(__xludf.DUMMYFUNCTION("""COMPUTED_VALUE"""),1715510.0)</f>
        <v>1715510</v>
      </c>
      <c r="G114" s="257">
        <f>IFERROR(__xludf.DUMMYFUNCTION("""COMPUTED_VALUE"""),20419.0)</f>
        <v>20419</v>
      </c>
      <c r="H114" s="257">
        <f>IFERROR(__xludf.DUMMYFUNCTION("""COMPUTED_VALUE"""),1809341.0)</f>
        <v>1809341</v>
      </c>
      <c r="I114" s="329">
        <f>IFERROR(__xludf.DUMMYFUNCTION("""COMPUTED_VALUE"""),1076.0)</f>
        <v>1076</v>
      </c>
      <c r="J114" s="329">
        <f>IFERROR(__xludf.DUMMYFUNCTION("""COMPUTED_VALUE"""),1092.0)</f>
        <v>1092</v>
      </c>
      <c r="K114" s="329">
        <f>IFERROR(__xludf.DUMMYFUNCTION("""COMPUTED_VALUE"""),77513.0)</f>
        <v>77513</v>
      </c>
      <c r="L114" s="329">
        <f>IFERROR(__xludf.DUMMYFUNCTION("""COMPUTED_VALUE"""),3545.0)</f>
        <v>3545</v>
      </c>
      <c r="M114" s="329">
        <f>IFERROR(__xludf.DUMMYFUNCTION("""COMPUTED_VALUE"""),492430.0)</f>
        <v>492430</v>
      </c>
      <c r="N114" s="329">
        <f>IFERROR(__xludf.DUMMYFUNCTION("""COMPUTED_VALUE"""),569943.0)</f>
        <v>569943</v>
      </c>
      <c r="O114" s="329">
        <f>IFERROR(__xludf.DUMMYFUNCTION("""COMPUTED_VALUE"""),58.0)</f>
        <v>58</v>
      </c>
      <c r="P114" s="329">
        <f>IFERROR(__xludf.DUMMYFUNCTION("""COMPUTED_VALUE"""),5775.0)</f>
        <v>5775</v>
      </c>
      <c r="Q114" s="329">
        <f>IFERROR(__xludf.DUMMYFUNCTION("""COMPUTED_VALUE"""),73.0)</f>
        <v>73</v>
      </c>
      <c r="R114" s="329">
        <f>IFERROR(__xludf.DUMMYFUNCTION("""COMPUTED_VALUE"""),4677.0)</f>
        <v>4677</v>
      </c>
      <c r="S114" s="329">
        <f>IFERROR(__xludf.DUMMYFUNCTION("""COMPUTED_VALUE"""),11.0)</f>
        <v>11</v>
      </c>
      <c r="T114" s="329">
        <f>IFERROR(__xludf.DUMMYFUNCTION("""COMPUTED_VALUE"""),608.0)</f>
        <v>608</v>
      </c>
      <c r="U114" s="329">
        <f>IFERROR(__xludf.DUMMYFUNCTION("""COMPUTED_VALUE"""),490.0)</f>
        <v>490</v>
      </c>
      <c r="V114" s="329">
        <f>IFERROR(__xludf.DUMMYFUNCTION("""COMPUTED_VALUE"""),504.0)</f>
        <v>504</v>
      </c>
      <c r="W114" s="329">
        <f>IFERROR(__xludf.DUMMYFUNCTION("""COMPUTED_VALUE"""),62.0)</f>
        <v>62</v>
      </c>
      <c r="X114" s="329">
        <f>IFERROR(__xludf.DUMMYFUNCTION("""COMPUTED_VALUE"""),34.0)</f>
        <v>34</v>
      </c>
      <c r="Y114" s="329">
        <f>IFERROR(__xludf.DUMMYFUNCTION("""COMPUTED_VALUE"""),19.0)</f>
        <v>19</v>
      </c>
      <c r="Z114" s="329">
        <f>IFERROR(__xludf.DUMMYFUNCTION("""COMPUTED_VALUE"""),1703.0)</f>
        <v>1703</v>
      </c>
      <c r="AA114" s="257">
        <f>IFERROR(__xludf.DUMMYFUNCTION("""COMPUTED_VALUE"""),418.0)</f>
        <v>418</v>
      </c>
      <c r="AB114" s="257">
        <f>IFERROR(__xludf.DUMMYFUNCTION("""COMPUTED_VALUE"""),0.0)</f>
        <v>0</v>
      </c>
      <c r="AC114" s="257">
        <f>IFERROR(__xludf.DUMMYFUNCTION("""COMPUTED_VALUE"""),418.0)</f>
        <v>418</v>
      </c>
      <c r="AD114" s="257">
        <f>IFERROR(__xludf.DUMMYFUNCTION("""COMPUTED_VALUE"""),956.0)</f>
        <v>956</v>
      </c>
      <c r="AE114" s="257">
        <f>IFERROR(__xludf.DUMMYFUNCTION("""COMPUTED_VALUE"""),418.0)</f>
        <v>418</v>
      </c>
      <c r="AF114" s="257">
        <f>IFERROR(__xludf.DUMMYFUNCTION("""COMPUTED_VALUE"""),956.0)</f>
        <v>956</v>
      </c>
      <c r="AG114" s="257">
        <f>IFERROR(__xludf.DUMMYFUNCTION("""COMPUTED_VALUE"""),0.0)</f>
        <v>0</v>
      </c>
      <c r="AH114" s="257">
        <f>IFERROR(__xludf.DUMMYFUNCTION("""COMPUTED_VALUE"""),0.0)</f>
        <v>0</v>
      </c>
    </row>
    <row r="115">
      <c r="A115" s="328">
        <f>IFERROR(__xludf.DUMMYFUNCTION("""COMPUTED_VALUE"""),44182.0)</f>
        <v>44182</v>
      </c>
      <c r="B115" s="329">
        <f>IFERROR(__xludf.DUMMYFUNCTION("""COMPUTED_VALUE"""),483.0)</f>
        <v>483</v>
      </c>
      <c r="C115" s="329">
        <f>IFERROR(__xludf.DUMMYFUNCTION("""COMPUTED_VALUE"""),1011.0)</f>
        <v>1011</v>
      </c>
      <c r="D115" s="329">
        <f>IFERROR(__xludf.DUMMYFUNCTION("""COMPUTED_VALUE"""),94314.0)</f>
        <v>94314</v>
      </c>
      <c r="E115" s="329">
        <f>IFERROR(__xludf.DUMMYFUNCTION("""COMPUTED_VALUE"""),8773.0)</f>
        <v>8773</v>
      </c>
      <c r="F115" s="257">
        <f>IFERROR(__xludf.DUMMYFUNCTION("""COMPUTED_VALUE"""),1724283.0)</f>
        <v>1724283</v>
      </c>
      <c r="G115" s="257">
        <f>IFERROR(__xludf.DUMMYFUNCTION("""COMPUTED_VALUE"""),9256.0)</f>
        <v>9256</v>
      </c>
      <c r="H115" s="257">
        <f>IFERROR(__xludf.DUMMYFUNCTION("""COMPUTED_VALUE"""),1818597.0)</f>
        <v>1818597</v>
      </c>
      <c r="I115" s="329">
        <f>IFERROR(__xludf.DUMMYFUNCTION("""COMPUTED_VALUE"""),431.0)</f>
        <v>431</v>
      </c>
      <c r="J115" s="329">
        <f>IFERROR(__xludf.DUMMYFUNCTION("""COMPUTED_VALUE"""),855.0)</f>
        <v>855</v>
      </c>
      <c r="K115" s="329">
        <f>IFERROR(__xludf.DUMMYFUNCTION("""COMPUTED_VALUE"""),77944.0)</f>
        <v>77944</v>
      </c>
      <c r="L115" s="329">
        <f>IFERROR(__xludf.DUMMYFUNCTION("""COMPUTED_VALUE"""),1206.0)</f>
        <v>1206</v>
      </c>
      <c r="M115" s="329">
        <f>IFERROR(__xludf.DUMMYFUNCTION("""COMPUTED_VALUE"""),493636.0)</f>
        <v>493636</v>
      </c>
      <c r="N115" s="329">
        <f>IFERROR(__xludf.DUMMYFUNCTION("""COMPUTED_VALUE"""),571580.0)</f>
        <v>571580</v>
      </c>
      <c r="O115" s="329">
        <f>IFERROR(__xludf.DUMMYFUNCTION("""COMPUTED_VALUE"""),46.0)</f>
        <v>46</v>
      </c>
      <c r="P115" s="329">
        <f>IFERROR(__xludf.DUMMYFUNCTION("""COMPUTED_VALUE"""),5821.0)</f>
        <v>5821</v>
      </c>
      <c r="Q115" s="329">
        <f>IFERROR(__xludf.DUMMYFUNCTION("""COMPUTED_VALUE"""),54.0)</f>
        <v>54</v>
      </c>
      <c r="R115" s="329">
        <f>IFERROR(__xludf.DUMMYFUNCTION("""COMPUTED_VALUE"""),4731.0)</f>
        <v>4731</v>
      </c>
      <c r="S115" s="329">
        <f>IFERROR(__xludf.DUMMYFUNCTION("""COMPUTED_VALUE"""),8.0)</f>
        <v>8</v>
      </c>
      <c r="T115" s="329">
        <f>IFERROR(__xludf.DUMMYFUNCTION("""COMPUTED_VALUE"""),616.0)</f>
        <v>616</v>
      </c>
      <c r="U115" s="329">
        <f>IFERROR(__xludf.DUMMYFUNCTION("""COMPUTED_VALUE"""),474.0)</f>
        <v>474</v>
      </c>
      <c r="V115" s="329">
        <f>IFERROR(__xludf.DUMMYFUNCTION("""COMPUTED_VALUE"""),493.0)</f>
        <v>493</v>
      </c>
      <c r="W115" s="329">
        <f>IFERROR(__xludf.DUMMYFUNCTION("""COMPUTED_VALUE"""),61.0)</f>
        <v>61</v>
      </c>
      <c r="X115" s="329">
        <f>IFERROR(__xludf.DUMMYFUNCTION("""COMPUTED_VALUE"""),34.0)</f>
        <v>34</v>
      </c>
      <c r="Y115" s="329">
        <f>IFERROR(__xludf.DUMMYFUNCTION("""COMPUTED_VALUE"""),17.0)</f>
        <v>17</v>
      </c>
      <c r="Z115" s="329">
        <f>IFERROR(__xludf.DUMMYFUNCTION("""COMPUTED_VALUE"""),1720.0)</f>
        <v>1720</v>
      </c>
      <c r="AA115" s="257">
        <f>IFERROR(__xludf.DUMMYFUNCTION("""COMPUTED_VALUE"""),350.0)</f>
        <v>350</v>
      </c>
      <c r="AB115" s="257">
        <f>IFERROR(__xludf.DUMMYFUNCTION("""COMPUTED_VALUE"""),0.0)</f>
        <v>0</v>
      </c>
      <c r="AC115" s="257">
        <f>IFERROR(__xludf.DUMMYFUNCTION("""COMPUTED_VALUE"""),350.0)</f>
        <v>350</v>
      </c>
      <c r="AD115" s="257">
        <f>IFERROR(__xludf.DUMMYFUNCTION("""COMPUTED_VALUE"""),1306.0)</f>
        <v>1306</v>
      </c>
      <c r="AE115" s="257">
        <f>IFERROR(__xludf.DUMMYFUNCTION("""COMPUTED_VALUE"""),350.0)</f>
        <v>350</v>
      </c>
      <c r="AF115" s="257">
        <f>IFERROR(__xludf.DUMMYFUNCTION("""COMPUTED_VALUE"""),1306.0)</f>
        <v>1306</v>
      </c>
      <c r="AG115" s="257">
        <f>IFERROR(__xludf.DUMMYFUNCTION("""COMPUTED_VALUE"""),0.0)</f>
        <v>0</v>
      </c>
      <c r="AH115" s="257">
        <f>IFERROR(__xludf.DUMMYFUNCTION("""COMPUTED_VALUE"""),0.0)</f>
        <v>0</v>
      </c>
    </row>
    <row r="116">
      <c r="A116" s="328">
        <f>IFERROR(__xludf.DUMMYFUNCTION("""COMPUTED_VALUE"""),44183.0)</f>
        <v>44183</v>
      </c>
      <c r="B116" s="329">
        <f>IFERROR(__xludf.DUMMYFUNCTION("""COMPUTED_VALUE"""),1114.0)</f>
        <v>1114</v>
      </c>
      <c r="C116" s="329">
        <f>IFERROR(__xludf.DUMMYFUNCTION("""COMPUTED_VALUE"""),959.0)</f>
        <v>959</v>
      </c>
      <c r="D116" s="329">
        <f>IFERROR(__xludf.DUMMYFUNCTION("""COMPUTED_VALUE"""),95428.0)</f>
        <v>95428</v>
      </c>
      <c r="E116" s="329">
        <f>IFERROR(__xludf.DUMMYFUNCTION("""COMPUTED_VALUE"""),13649.0)</f>
        <v>13649</v>
      </c>
      <c r="F116" s="257">
        <f>IFERROR(__xludf.DUMMYFUNCTION("""COMPUTED_VALUE"""),1737932.0)</f>
        <v>1737932</v>
      </c>
      <c r="G116" s="257">
        <f>IFERROR(__xludf.DUMMYFUNCTION("""COMPUTED_VALUE"""),14763.0)</f>
        <v>14763</v>
      </c>
      <c r="H116" s="257">
        <f>IFERROR(__xludf.DUMMYFUNCTION("""COMPUTED_VALUE"""),1833360.0)</f>
        <v>1833360</v>
      </c>
      <c r="I116" s="329">
        <f>IFERROR(__xludf.DUMMYFUNCTION("""COMPUTED_VALUE"""),936.0)</f>
        <v>936</v>
      </c>
      <c r="J116" s="329">
        <f>IFERROR(__xludf.DUMMYFUNCTION("""COMPUTED_VALUE"""),814.0)</f>
        <v>814</v>
      </c>
      <c r="K116" s="329">
        <f>IFERROR(__xludf.DUMMYFUNCTION("""COMPUTED_VALUE"""),78880.0)</f>
        <v>78880</v>
      </c>
      <c r="L116" s="329">
        <f>IFERROR(__xludf.DUMMYFUNCTION("""COMPUTED_VALUE"""),2702.0)</f>
        <v>2702</v>
      </c>
      <c r="M116" s="329">
        <f>IFERROR(__xludf.DUMMYFUNCTION("""COMPUTED_VALUE"""),496338.0)</f>
        <v>496338</v>
      </c>
      <c r="N116" s="329">
        <f>IFERROR(__xludf.DUMMYFUNCTION("""COMPUTED_VALUE"""),575218.0)</f>
        <v>575218</v>
      </c>
      <c r="O116" s="329">
        <f>IFERROR(__xludf.DUMMYFUNCTION("""COMPUTED_VALUE"""),56.0)</f>
        <v>56</v>
      </c>
      <c r="P116" s="329">
        <f>IFERROR(__xludf.DUMMYFUNCTION("""COMPUTED_VALUE"""),5877.0)</f>
        <v>5877</v>
      </c>
      <c r="Q116" s="329">
        <f>IFERROR(__xludf.DUMMYFUNCTION("""COMPUTED_VALUE"""),66.0)</f>
        <v>66</v>
      </c>
      <c r="R116" s="329">
        <f>IFERROR(__xludf.DUMMYFUNCTION("""COMPUTED_VALUE"""),4797.0)</f>
        <v>4797</v>
      </c>
      <c r="S116" s="329">
        <f>IFERROR(__xludf.DUMMYFUNCTION("""COMPUTED_VALUE"""),11.0)</f>
        <v>11</v>
      </c>
      <c r="T116" s="329">
        <f>IFERROR(__xludf.DUMMYFUNCTION("""COMPUTED_VALUE"""),627.0)</f>
        <v>627</v>
      </c>
      <c r="U116" s="329">
        <f>IFERROR(__xludf.DUMMYFUNCTION("""COMPUTED_VALUE"""),453.0)</f>
        <v>453</v>
      </c>
      <c r="V116" s="329">
        <f>IFERROR(__xludf.DUMMYFUNCTION("""COMPUTED_VALUE"""),472.0)</f>
        <v>472</v>
      </c>
      <c r="W116" s="329">
        <f>IFERROR(__xludf.DUMMYFUNCTION("""COMPUTED_VALUE"""),61.0)</f>
        <v>61</v>
      </c>
      <c r="X116" s="329">
        <f>IFERROR(__xludf.DUMMYFUNCTION("""COMPUTED_VALUE"""),35.0)</f>
        <v>35</v>
      </c>
      <c r="Y116" s="329">
        <f>IFERROR(__xludf.DUMMYFUNCTION("""COMPUTED_VALUE"""),15.0)</f>
        <v>15</v>
      </c>
      <c r="Z116" s="329">
        <f>IFERROR(__xludf.DUMMYFUNCTION("""COMPUTED_VALUE"""),1735.0)</f>
        <v>1735</v>
      </c>
      <c r="AA116" s="257">
        <f>IFERROR(__xludf.DUMMYFUNCTION("""COMPUTED_VALUE"""),1671.0)</f>
        <v>1671</v>
      </c>
      <c r="AB116" s="257">
        <f>IFERROR(__xludf.DUMMYFUNCTION("""COMPUTED_VALUE"""),0.0)</f>
        <v>0</v>
      </c>
      <c r="AC116" s="257">
        <f>IFERROR(__xludf.DUMMYFUNCTION("""COMPUTED_VALUE"""),1671.0)</f>
        <v>1671</v>
      </c>
      <c r="AD116" s="257">
        <f>IFERROR(__xludf.DUMMYFUNCTION("""COMPUTED_VALUE"""),2977.0)</f>
        <v>2977</v>
      </c>
      <c r="AE116" s="257">
        <f>IFERROR(__xludf.DUMMYFUNCTION("""COMPUTED_VALUE"""),1671.0)</f>
        <v>1671</v>
      </c>
      <c r="AF116" s="257">
        <f>IFERROR(__xludf.DUMMYFUNCTION("""COMPUTED_VALUE"""),2977.0)</f>
        <v>2977</v>
      </c>
      <c r="AG116" s="257">
        <f>IFERROR(__xludf.DUMMYFUNCTION("""COMPUTED_VALUE"""),0.0)</f>
        <v>0</v>
      </c>
      <c r="AH116" s="257">
        <f>IFERROR(__xludf.DUMMYFUNCTION("""COMPUTED_VALUE"""),0.0)</f>
        <v>0</v>
      </c>
    </row>
    <row r="117">
      <c r="A117" s="328">
        <f>IFERROR(__xludf.DUMMYFUNCTION("""COMPUTED_VALUE"""),44184.0)</f>
        <v>44184</v>
      </c>
      <c r="B117" s="329">
        <f>IFERROR(__xludf.DUMMYFUNCTION("""COMPUTED_VALUE"""),1317.0)</f>
        <v>1317</v>
      </c>
      <c r="C117" s="329">
        <f>IFERROR(__xludf.DUMMYFUNCTION("""COMPUTED_VALUE"""),971.0)</f>
        <v>971</v>
      </c>
      <c r="D117" s="329">
        <f>IFERROR(__xludf.DUMMYFUNCTION("""COMPUTED_VALUE"""),96745.0)</f>
        <v>96745</v>
      </c>
      <c r="E117" s="329">
        <f>IFERROR(__xludf.DUMMYFUNCTION("""COMPUTED_VALUE"""),16377.0)</f>
        <v>16377</v>
      </c>
      <c r="F117" s="257">
        <f>IFERROR(__xludf.DUMMYFUNCTION("""COMPUTED_VALUE"""),1754309.0)</f>
        <v>1754309</v>
      </c>
      <c r="G117" s="257">
        <f>IFERROR(__xludf.DUMMYFUNCTION("""COMPUTED_VALUE"""),17694.0)</f>
        <v>17694</v>
      </c>
      <c r="H117" s="257">
        <f>IFERROR(__xludf.DUMMYFUNCTION("""COMPUTED_VALUE"""),1851054.0)</f>
        <v>1851054</v>
      </c>
      <c r="I117" s="329">
        <f>IFERROR(__xludf.DUMMYFUNCTION("""COMPUTED_VALUE"""),1082.0)</f>
        <v>1082</v>
      </c>
      <c r="J117" s="329">
        <f>IFERROR(__xludf.DUMMYFUNCTION("""COMPUTED_VALUE"""),816.0)</f>
        <v>816</v>
      </c>
      <c r="K117" s="329">
        <f>IFERROR(__xludf.DUMMYFUNCTION("""COMPUTED_VALUE"""),79962.0)</f>
        <v>79962</v>
      </c>
      <c r="L117" s="329">
        <f>IFERROR(__xludf.DUMMYFUNCTION("""COMPUTED_VALUE"""),2983.0)</f>
        <v>2983</v>
      </c>
      <c r="M117" s="329">
        <f>IFERROR(__xludf.DUMMYFUNCTION("""COMPUTED_VALUE"""),499321.0)</f>
        <v>499321</v>
      </c>
      <c r="N117" s="329">
        <f>IFERROR(__xludf.DUMMYFUNCTION("""COMPUTED_VALUE"""),579283.0)</f>
        <v>579283</v>
      </c>
      <c r="O117" s="329">
        <f>IFERROR(__xludf.DUMMYFUNCTION("""COMPUTED_VALUE"""),60.0)</f>
        <v>60</v>
      </c>
      <c r="P117" s="329">
        <f>IFERROR(__xludf.DUMMYFUNCTION("""COMPUTED_VALUE"""),5937.0)</f>
        <v>5937</v>
      </c>
      <c r="Q117" s="329">
        <f>IFERROR(__xludf.DUMMYFUNCTION("""COMPUTED_VALUE"""),41.0)</f>
        <v>41</v>
      </c>
      <c r="R117" s="329">
        <f>IFERROR(__xludf.DUMMYFUNCTION("""COMPUTED_VALUE"""),4838.0)</f>
        <v>4838</v>
      </c>
      <c r="S117" s="329">
        <f>IFERROR(__xludf.DUMMYFUNCTION("""COMPUTED_VALUE"""),9.0)</f>
        <v>9</v>
      </c>
      <c r="T117" s="329">
        <f>IFERROR(__xludf.DUMMYFUNCTION("""COMPUTED_VALUE"""),636.0)</f>
        <v>636</v>
      </c>
      <c r="U117" s="329">
        <f>IFERROR(__xludf.DUMMYFUNCTION("""COMPUTED_VALUE"""),463.0)</f>
        <v>463</v>
      </c>
      <c r="V117" s="329">
        <f>IFERROR(__xludf.DUMMYFUNCTION("""COMPUTED_VALUE"""),463.0)</f>
        <v>463</v>
      </c>
      <c r="W117" s="329">
        <f>IFERROR(__xludf.DUMMYFUNCTION("""COMPUTED_VALUE"""),62.0)</f>
        <v>62</v>
      </c>
      <c r="X117" s="329">
        <f>IFERROR(__xludf.DUMMYFUNCTION("""COMPUTED_VALUE"""),40.0)</f>
        <v>40</v>
      </c>
      <c r="Y117" s="329">
        <f>IFERROR(__xludf.DUMMYFUNCTION("""COMPUTED_VALUE"""),20.0)</f>
        <v>20</v>
      </c>
      <c r="Z117" s="329">
        <f>IFERROR(__xludf.DUMMYFUNCTION("""COMPUTED_VALUE"""),1755.0)</f>
        <v>1755</v>
      </c>
      <c r="AA117" s="257">
        <f>IFERROR(__xludf.DUMMYFUNCTION("""COMPUTED_VALUE"""),1177.0)</f>
        <v>1177</v>
      </c>
      <c r="AB117" s="257">
        <f>IFERROR(__xludf.DUMMYFUNCTION("""COMPUTED_VALUE"""),0.0)</f>
        <v>0</v>
      </c>
      <c r="AC117" s="257">
        <f>IFERROR(__xludf.DUMMYFUNCTION("""COMPUTED_VALUE"""),1177.0)</f>
        <v>1177</v>
      </c>
      <c r="AD117" s="257">
        <f>IFERROR(__xludf.DUMMYFUNCTION("""COMPUTED_VALUE"""),4154.0)</f>
        <v>4154</v>
      </c>
      <c r="AE117" s="257">
        <f>IFERROR(__xludf.DUMMYFUNCTION("""COMPUTED_VALUE"""),1177.0)</f>
        <v>1177</v>
      </c>
      <c r="AF117" s="257">
        <f>IFERROR(__xludf.DUMMYFUNCTION("""COMPUTED_VALUE"""),4154.0)</f>
        <v>4154</v>
      </c>
      <c r="AG117" s="257">
        <f>IFERROR(__xludf.DUMMYFUNCTION("""COMPUTED_VALUE"""),0.0)</f>
        <v>0</v>
      </c>
      <c r="AH117" s="257">
        <f>IFERROR(__xludf.DUMMYFUNCTION("""COMPUTED_VALUE"""),0.0)</f>
        <v>0</v>
      </c>
    </row>
    <row r="118">
      <c r="A118" s="328">
        <f>IFERROR(__xludf.DUMMYFUNCTION("""COMPUTED_VALUE"""),44185.0)</f>
        <v>44185</v>
      </c>
      <c r="B118" s="329">
        <f>IFERROR(__xludf.DUMMYFUNCTION("""COMPUTED_VALUE"""),537.0)</f>
        <v>537</v>
      </c>
      <c r="C118" s="329">
        <f>IFERROR(__xludf.DUMMYFUNCTION("""COMPUTED_VALUE"""),989.0)</f>
        <v>989</v>
      </c>
      <c r="D118" s="329">
        <f>IFERROR(__xludf.DUMMYFUNCTION("""COMPUTED_VALUE"""),97282.0)</f>
        <v>97282</v>
      </c>
      <c r="E118" s="329">
        <f>IFERROR(__xludf.DUMMYFUNCTION("""COMPUTED_VALUE"""),6826.0)</f>
        <v>6826</v>
      </c>
      <c r="F118" s="257">
        <f>IFERROR(__xludf.DUMMYFUNCTION("""COMPUTED_VALUE"""),1761135.0)</f>
        <v>1761135</v>
      </c>
      <c r="G118" s="257">
        <f>IFERROR(__xludf.DUMMYFUNCTION("""COMPUTED_VALUE"""),7363.0)</f>
        <v>7363</v>
      </c>
      <c r="H118" s="257">
        <f>IFERROR(__xludf.DUMMYFUNCTION("""COMPUTED_VALUE"""),1858417.0)</f>
        <v>1858417</v>
      </c>
      <c r="I118" s="329">
        <f>IFERROR(__xludf.DUMMYFUNCTION("""COMPUTED_VALUE"""),439.0)</f>
        <v>439</v>
      </c>
      <c r="J118" s="329">
        <f>IFERROR(__xludf.DUMMYFUNCTION("""COMPUTED_VALUE"""),819.0)</f>
        <v>819</v>
      </c>
      <c r="K118" s="329">
        <f>IFERROR(__xludf.DUMMYFUNCTION("""COMPUTED_VALUE"""),80401.0)</f>
        <v>80401</v>
      </c>
      <c r="L118" s="329">
        <f>IFERROR(__xludf.DUMMYFUNCTION("""COMPUTED_VALUE"""),1610.0)</f>
        <v>1610</v>
      </c>
      <c r="M118" s="329">
        <f>IFERROR(__xludf.DUMMYFUNCTION("""COMPUTED_VALUE"""),500931.0)</f>
        <v>500931</v>
      </c>
      <c r="N118" s="329">
        <f>IFERROR(__xludf.DUMMYFUNCTION("""COMPUTED_VALUE"""),581332.0)</f>
        <v>581332</v>
      </c>
      <c r="O118" s="329">
        <f>IFERROR(__xludf.DUMMYFUNCTION("""COMPUTED_VALUE"""),59.0)</f>
        <v>59</v>
      </c>
      <c r="P118" s="329">
        <f>IFERROR(__xludf.DUMMYFUNCTION("""COMPUTED_VALUE"""),5996.0)</f>
        <v>5996</v>
      </c>
      <c r="Q118" s="329">
        <f>IFERROR(__xludf.DUMMYFUNCTION("""COMPUTED_VALUE"""),41.0)</f>
        <v>41</v>
      </c>
      <c r="R118" s="329">
        <f>IFERROR(__xludf.DUMMYFUNCTION("""COMPUTED_VALUE"""),4879.0)</f>
        <v>4879</v>
      </c>
      <c r="S118" s="329">
        <f>IFERROR(__xludf.DUMMYFUNCTION("""COMPUTED_VALUE"""),8.0)</f>
        <v>8</v>
      </c>
      <c r="T118" s="329">
        <f>IFERROR(__xludf.DUMMYFUNCTION("""COMPUTED_VALUE"""),644.0)</f>
        <v>644</v>
      </c>
      <c r="U118" s="329">
        <f>IFERROR(__xludf.DUMMYFUNCTION("""COMPUTED_VALUE"""),473.0)</f>
        <v>473</v>
      </c>
      <c r="V118" s="329">
        <f>IFERROR(__xludf.DUMMYFUNCTION("""COMPUTED_VALUE"""),463.0)</f>
        <v>463</v>
      </c>
      <c r="W118" s="329">
        <f>IFERROR(__xludf.DUMMYFUNCTION("""COMPUTED_VALUE"""),64.0)</f>
        <v>64</v>
      </c>
      <c r="X118" s="329">
        <f>IFERROR(__xludf.DUMMYFUNCTION("""COMPUTED_VALUE"""),43.0)</f>
        <v>43</v>
      </c>
      <c r="Y118" s="329">
        <f>IFERROR(__xludf.DUMMYFUNCTION("""COMPUTED_VALUE"""),14.0)</f>
        <v>14</v>
      </c>
      <c r="Z118" s="329">
        <f>IFERROR(__xludf.DUMMYFUNCTION("""COMPUTED_VALUE"""),1769.0)</f>
        <v>1769</v>
      </c>
      <c r="AA118" s="257">
        <f>IFERROR(__xludf.DUMMYFUNCTION("""COMPUTED_VALUE"""),803.0)</f>
        <v>803</v>
      </c>
      <c r="AB118" s="257">
        <f>IFERROR(__xludf.DUMMYFUNCTION("""COMPUTED_VALUE"""),0.0)</f>
        <v>0</v>
      </c>
      <c r="AC118" s="257">
        <f>IFERROR(__xludf.DUMMYFUNCTION("""COMPUTED_VALUE"""),803.0)</f>
        <v>803</v>
      </c>
      <c r="AD118" s="257">
        <f>IFERROR(__xludf.DUMMYFUNCTION("""COMPUTED_VALUE"""),4957.0)</f>
        <v>4957</v>
      </c>
      <c r="AE118" s="257">
        <f>IFERROR(__xludf.DUMMYFUNCTION("""COMPUTED_VALUE"""),803.0)</f>
        <v>803</v>
      </c>
      <c r="AF118" s="257">
        <f>IFERROR(__xludf.DUMMYFUNCTION("""COMPUTED_VALUE"""),4957.0)</f>
        <v>4957</v>
      </c>
      <c r="AG118" s="257">
        <f>IFERROR(__xludf.DUMMYFUNCTION("""COMPUTED_VALUE"""),0.0)</f>
        <v>0</v>
      </c>
      <c r="AH118" s="257">
        <f>IFERROR(__xludf.DUMMYFUNCTION("""COMPUTED_VALUE"""),0.0)</f>
        <v>0</v>
      </c>
    </row>
    <row r="119">
      <c r="A119" s="328">
        <f>IFERROR(__xludf.DUMMYFUNCTION("""COMPUTED_VALUE"""),44186.0)</f>
        <v>44186</v>
      </c>
      <c r="B119" s="329">
        <f>IFERROR(__xludf.DUMMYFUNCTION("""COMPUTED_VALUE"""),1108.0)</f>
        <v>1108</v>
      </c>
      <c r="C119" s="329">
        <f>IFERROR(__xludf.DUMMYFUNCTION("""COMPUTED_VALUE"""),987.0)</f>
        <v>987</v>
      </c>
      <c r="D119" s="329">
        <f>IFERROR(__xludf.DUMMYFUNCTION("""COMPUTED_VALUE"""),98390.0)</f>
        <v>98390</v>
      </c>
      <c r="E119" s="329">
        <f>IFERROR(__xludf.DUMMYFUNCTION("""COMPUTED_VALUE"""),12163.0)</f>
        <v>12163</v>
      </c>
      <c r="F119" s="257">
        <f>IFERROR(__xludf.DUMMYFUNCTION("""COMPUTED_VALUE"""),1773298.0)</f>
        <v>1773298</v>
      </c>
      <c r="G119" s="257">
        <f>IFERROR(__xludf.DUMMYFUNCTION("""COMPUTED_VALUE"""),13271.0)</f>
        <v>13271</v>
      </c>
      <c r="H119" s="257">
        <f>IFERROR(__xludf.DUMMYFUNCTION("""COMPUTED_VALUE"""),1871688.0)</f>
        <v>1871688</v>
      </c>
      <c r="I119" s="329">
        <f>IFERROR(__xludf.DUMMYFUNCTION("""COMPUTED_VALUE"""),932.0)</f>
        <v>932</v>
      </c>
      <c r="J119" s="329">
        <f>IFERROR(__xludf.DUMMYFUNCTION("""COMPUTED_VALUE"""),818.0)</f>
        <v>818</v>
      </c>
      <c r="K119" s="329">
        <f>IFERROR(__xludf.DUMMYFUNCTION("""COMPUTED_VALUE"""),81333.0)</f>
        <v>81333</v>
      </c>
      <c r="L119" s="329">
        <f>IFERROR(__xludf.DUMMYFUNCTION("""COMPUTED_VALUE"""),3465.0)</f>
        <v>3465</v>
      </c>
      <c r="M119" s="329">
        <f>IFERROR(__xludf.DUMMYFUNCTION("""COMPUTED_VALUE"""),504396.0)</f>
        <v>504396</v>
      </c>
      <c r="N119" s="329">
        <f>IFERROR(__xludf.DUMMYFUNCTION("""COMPUTED_VALUE"""),585729.0)</f>
        <v>585729</v>
      </c>
      <c r="O119" s="329">
        <f>IFERROR(__xludf.DUMMYFUNCTION("""COMPUTED_VALUE"""),73.0)</f>
        <v>73</v>
      </c>
      <c r="P119" s="329">
        <f>IFERROR(__xludf.DUMMYFUNCTION("""COMPUTED_VALUE"""),6069.0)</f>
        <v>6069</v>
      </c>
      <c r="Q119" s="329">
        <f>IFERROR(__xludf.DUMMYFUNCTION("""COMPUTED_VALUE"""),52.0)</f>
        <v>52</v>
      </c>
      <c r="R119" s="329">
        <f>IFERROR(__xludf.DUMMYFUNCTION("""COMPUTED_VALUE"""),4931.0)</f>
        <v>4931</v>
      </c>
      <c r="S119" s="329">
        <f>IFERROR(__xludf.DUMMYFUNCTION("""COMPUTED_VALUE"""),7.0)</f>
        <v>7</v>
      </c>
      <c r="T119" s="329">
        <f>IFERROR(__xludf.DUMMYFUNCTION("""COMPUTED_VALUE"""),651.0)</f>
        <v>651</v>
      </c>
      <c r="U119" s="329">
        <f>IFERROR(__xludf.DUMMYFUNCTION("""COMPUTED_VALUE"""),487.0)</f>
        <v>487</v>
      </c>
      <c r="V119" s="329">
        <f>IFERROR(__xludf.DUMMYFUNCTION("""COMPUTED_VALUE"""),474.0)</f>
        <v>474</v>
      </c>
      <c r="W119" s="329">
        <f>IFERROR(__xludf.DUMMYFUNCTION("""COMPUTED_VALUE"""),58.0)</f>
        <v>58</v>
      </c>
      <c r="X119" s="329">
        <f>IFERROR(__xludf.DUMMYFUNCTION("""COMPUTED_VALUE"""),40.0)</f>
        <v>40</v>
      </c>
      <c r="Y119" s="329">
        <f>IFERROR(__xludf.DUMMYFUNCTION("""COMPUTED_VALUE"""),11.0)</f>
        <v>11</v>
      </c>
      <c r="Z119" s="329">
        <f>IFERROR(__xludf.DUMMYFUNCTION("""COMPUTED_VALUE"""),1780.0)</f>
        <v>1780</v>
      </c>
      <c r="AA119" s="257">
        <f>IFERROR(__xludf.DUMMYFUNCTION("""COMPUTED_VALUE"""),1763.0)</f>
        <v>1763</v>
      </c>
      <c r="AB119" s="257">
        <f>IFERROR(__xludf.DUMMYFUNCTION("""COMPUTED_VALUE"""),0.0)</f>
        <v>0</v>
      </c>
      <c r="AC119" s="257">
        <f>IFERROR(__xludf.DUMMYFUNCTION("""COMPUTED_VALUE"""),1763.0)</f>
        <v>1763</v>
      </c>
      <c r="AD119" s="257">
        <f>IFERROR(__xludf.DUMMYFUNCTION("""COMPUTED_VALUE"""),6720.0)</f>
        <v>6720</v>
      </c>
      <c r="AE119" s="257">
        <f>IFERROR(__xludf.DUMMYFUNCTION("""COMPUTED_VALUE"""),1763.0)</f>
        <v>1763</v>
      </c>
      <c r="AF119" s="257">
        <f>IFERROR(__xludf.DUMMYFUNCTION("""COMPUTED_VALUE"""),6720.0)</f>
        <v>6720</v>
      </c>
      <c r="AG119" s="257">
        <f>IFERROR(__xludf.DUMMYFUNCTION("""COMPUTED_VALUE"""),0.0)</f>
        <v>0</v>
      </c>
      <c r="AH119" s="257">
        <f>IFERROR(__xludf.DUMMYFUNCTION("""COMPUTED_VALUE"""),0.0)</f>
        <v>0</v>
      </c>
    </row>
    <row r="120">
      <c r="A120" s="328">
        <f>IFERROR(__xludf.DUMMYFUNCTION("""COMPUTED_VALUE"""),44187.0)</f>
        <v>44187</v>
      </c>
      <c r="B120" s="329">
        <f>IFERROR(__xludf.DUMMYFUNCTION("""COMPUTED_VALUE"""),1079.0)</f>
        <v>1079</v>
      </c>
      <c r="C120" s="329">
        <f>IFERROR(__xludf.DUMMYFUNCTION("""COMPUTED_VALUE"""),908.0)</f>
        <v>908</v>
      </c>
      <c r="D120" s="329">
        <f>IFERROR(__xludf.DUMMYFUNCTION("""COMPUTED_VALUE"""),99469.0)</f>
        <v>99469</v>
      </c>
      <c r="E120" s="329">
        <f>IFERROR(__xludf.DUMMYFUNCTION("""COMPUTED_VALUE"""),16605.0)</f>
        <v>16605</v>
      </c>
      <c r="F120" s="257">
        <f>IFERROR(__xludf.DUMMYFUNCTION("""COMPUTED_VALUE"""),1789903.0)</f>
        <v>1789903</v>
      </c>
      <c r="G120" s="257">
        <f>IFERROR(__xludf.DUMMYFUNCTION("""COMPUTED_VALUE"""),17684.0)</f>
        <v>17684</v>
      </c>
      <c r="H120" s="257">
        <f>IFERROR(__xludf.DUMMYFUNCTION("""COMPUTED_VALUE"""),1889372.0)</f>
        <v>1889372</v>
      </c>
      <c r="I120" s="329">
        <f>IFERROR(__xludf.DUMMYFUNCTION("""COMPUTED_VALUE"""),928.0)</f>
        <v>928</v>
      </c>
      <c r="J120" s="329">
        <f>IFERROR(__xludf.DUMMYFUNCTION("""COMPUTED_VALUE"""),766.0)</f>
        <v>766</v>
      </c>
      <c r="K120" s="329">
        <f>IFERROR(__xludf.DUMMYFUNCTION("""COMPUTED_VALUE"""),82261.0)</f>
        <v>82261</v>
      </c>
      <c r="L120" s="329">
        <f>IFERROR(__xludf.DUMMYFUNCTION("""COMPUTED_VALUE"""),3307.0)</f>
        <v>3307</v>
      </c>
      <c r="M120" s="329">
        <f>IFERROR(__xludf.DUMMYFUNCTION("""COMPUTED_VALUE"""),507703.0)</f>
        <v>507703</v>
      </c>
      <c r="N120" s="329">
        <f>IFERROR(__xludf.DUMMYFUNCTION("""COMPUTED_VALUE"""),589964.0)</f>
        <v>589964</v>
      </c>
      <c r="O120" s="329">
        <f>IFERROR(__xludf.DUMMYFUNCTION("""COMPUTED_VALUE"""),51.0)</f>
        <v>51</v>
      </c>
      <c r="P120" s="329">
        <f>IFERROR(__xludf.DUMMYFUNCTION("""COMPUTED_VALUE"""),6120.0)</f>
        <v>6120</v>
      </c>
      <c r="Q120" s="329">
        <f>IFERROR(__xludf.DUMMYFUNCTION("""COMPUTED_VALUE"""),78.0)</f>
        <v>78</v>
      </c>
      <c r="R120" s="329">
        <f>IFERROR(__xludf.DUMMYFUNCTION("""COMPUTED_VALUE"""),5009.0)</f>
        <v>5009</v>
      </c>
      <c r="S120" s="329">
        <f>IFERROR(__xludf.DUMMYFUNCTION("""COMPUTED_VALUE"""),10.0)</f>
        <v>10</v>
      </c>
      <c r="T120" s="329">
        <f>IFERROR(__xludf.DUMMYFUNCTION("""COMPUTED_VALUE"""),661.0)</f>
        <v>661</v>
      </c>
      <c r="U120" s="329">
        <f>IFERROR(__xludf.DUMMYFUNCTION("""COMPUTED_VALUE"""),450.0)</f>
        <v>450</v>
      </c>
      <c r="V120" s="329">
        <f>IFERROR(__xludf.DUMMYFUNCTION("""COMPUTED_VALUE"""),470.0)</f>
        <v>470</v>
      </c>
      <c r="W120" s="329">
        <f>IFERROR(__xludf.DUMMYFUNCTION("""COMPUTED_VALUE"""),58.0)</f>
        <v>58</v>
      </c>
      <c r="X120" s="329">
        <f>IFERROR(__xludf.DUMMYFUNCTION("""COMPUTED_VALUE"""),40.0)</f>
        <v>40</v>
      </c>
      <c r="Y120" s="329">
        <f>IFERROR(__xludf.DUMMYFUNCTION("""COMPUTED_VALUE"""),18.0)</f>
        <v>18</v>
      </c>
      <c r="Z120" s="329">
        <f>IFERROR(__xludf.DUMMYFUNCTION("""COMPUTED_VALUE"""),1798.0)</f>
        <v>1798</v>
      </c>
      <c r="AA120" s="257">
        <f>IFERROR(__xludf.DUMMYFUNCTION("""COMPUTED_VALUE"""),1526.0)</f>
        <v>1526</v>
      </c>
      <c r="AB120" s="257">
        <f>IFERROR(__xludf.DUMMYFUNCTION("""COMPUTED_VALUE"""),0.0)</f>
        <v>0</v>
      </c>
      <c r="AC120" s="257">
        <f>IFERROR(__xludf.DUMMYFUNCTION("""COMPUTED_VALUE"""),1526.0)</f>
        <v>1526</v>
      </c>
      <c r="AD120" s="257">
        <f>IFERROR(__xludf.DUMMYFUNCTION("""COMPUTED_VALUE"""),8246.0)</f>
        <v>8246</v>
      </c>
      <c r="AE120" s="257">
        <f>IFERROR(__xludf.DUMMYFUNCTION("""COMPUTED_VALUE"""),1526.0)</f>
        <v>1526</v>
      </c>
      <c r="AF120" s="257">
        <f>IFERROR(__xludf.DUMMYFUNCTION("""COMPUTED_VALUE"""),8246.0)</f>
        <v>8246</v>
      </c>
      <c r="AG120" s="257">
        <f>IFERROR(__xludf.DUMMYFUNCTION("""COMPUTED_VALUE"""),0.0)</f>
        <v>0</v>
      </c>
      <c r="AH120" s="257">
        <f>IFERROR(__xludf.DUMMYFUNCTION("""COMPUTED_VALUE"""),0.0)</f>
        <v>0</v>
      </c>
    </row>
    <row r="121">
      <c r="A121" s="328">
        <f>IFERROR(__xludf.DUMMYFUNCTION("""COMPUTED_VALUE"""),44188.0)</f>
        <v>44188</v>
      </c>
      <c r="B121" s="329">
        <f>IFERROR(__xludf.DUMMYFUNCTION("""COMPUTED_VALUE"""),1092.0)</f>
        <v>1092</v>
      </c>
      <c r="C121" s="329">
        <f>IFERROR(__xludf.DUMMYFUNCTION("""COMPUTED_VALUE"""),1093.0)</f>
        <v>1093</v>
      </c>
      <c r="D121" s="329">
        <f>IFERROR(__xludf.DUMMYFUNCTION("""COMPUTED_VALUE"""),100561.0)</f>
        <v>100561</v>
      </c>
      <c r="E121" s="329">
        <f>IFERROR(__xludf.DUMMYFUNCTION("""COMPUTED_VALUE"""),19917.0)</f>
        <v>19917</v>
      </c>
      <c r="F121" s="257">
        <f>IFERROR(__xludf.DUMMYFUNCTION("""COMPUTED_VALUE"""),1809820.0)</f>
        <v>1809820</v>
      </c>
      <c r="G121" s="257">
        <f>IFERROR(__xludf.DUMMYFUNCTION("""COMPUTED_VALUE"""),21009.0)</f>
        <v>21009</v>
      </c>
      <c r="H121" s="257">
        <f>IFERROR(__xludf.DUMMYFUNCTION("""COMPUTED_VALUE"""),1910381.0)</f>
        <v>1910381</v>
      </c>
      <c r="I121" s="329">
        <f>IFERROR(__xludf.DUMMYFUNCTION("""COMPUTED_VALUE"""),953.0)</f>
        <v>953</v>
      </c>
      <c r="J121" s="329">
        <f>IFERROR(__xludf.DUMMYFUNCTION("""COMPUTED_VALUE"""),938.0)</f>
        <v>938</v>
      </c>
      <c r="K121" s="329">
        <f>IFERROR(__xludf.DUMMYFUNCTION("""COMPUTED_VALUE"""),83214.0)</f>
        <v>83214</v>
      </c>
      <c r="L121" s="329">
        <f>IFERROR(__xludf.DUMMYFUNCTION("""COMPUTED_VALUE"""),3690.0)</f>
        <v>3690</v>
      </c>
      <c r="M121" s="329">
        <f>IFERROR(__xludf.DUMMYFUNCTION("""COMPUTED_VALUE"""),511393.0)</f>
        <v>511393</v>
      </c>
      <c r="N121" s="329">
        <f>IFERROR(__xludf.DUMMYFUNCTION("""COMPUTED_VALUE"""),594607.0)</f>
        <v>594607</v>
      </c>
      <c r="O121" s="329">
        <f>IFERROR(__xludf.DUMMYFUNCTION("""COMPUTED_VALUE"""),61.0)</f>
        <v>61</v>
      </c>
      <c r="P121" s="329">
        <f>IFERROR(__xludf.DUMMYFUNCTION("""COMPUTED_VALUE"""),6181.0)</f>
        <v>6181</v>
      </c>
      <c r="Q121" s="329">
        <f>IFERROR(__xludf.DUMMYFUNCTION("""COMPUTED_VALUE"""),63.0)</f>
        <v>63</v>
      </c>
      <c r="R121" s="329">
        <f>IFERROR(__xludf.DUMMYFUNCTION("""COMPUTED_VALUE"""),5072.0)</f>
        <v>5072</v>
      </c>
      <c r="S121" s="329">
        <f>IFERROR(__xludf.DUMMYFUNCTION("""COMPUTED_VALUE"""),5.0)</f>
        <v>5</v>
      </c>
      <c r="T121" s="329">
        <f>IFERROR(__xludf.DUMMYFUNCTION("""COMPUTED_VALUE"""),666.0)</f>
        <v>666</v>
      </c>
      <c r="U121" s="329">
        <f>IFERROR(__xludf.DUMMYFUNCTION("""COMPUTED_VALUE"""),443.0)</f>
        <v>443</v>
      </c>
      <c r="V121" s="329">
        <f>IFERROR(__xludf.DUMMYFUNCTION("""COMPUTED_VALUE"""),460.0)</f>
        <v>460</v>
      </c>
      <c r="W121" s="329">
        <f>IFERROR(__xludf.DUMMYFUNCTION("""COMPUTED_VALUE"""),64.0)</f>
        <v>64</v>
      </c>
      <c r="X121" s="329">
        <f>IFERROR(__xludf.DUMMYFUNCTION("""COMPUTED_VALUE"""),41.0)</f>
        <v>41</v>
      </c>
      <c r="Y121" s="329">
        <f>IFERROR(__xludf.DUMMYFUNCTION("""COMPUTED_VALUE"""),10.0)</f>
        <v>10</v>
      </c>
      <c r="Z121" s="329">
        <f>IFERROR(__xludf.DUMMYFUNCTION("""COMPUTED_VALUE"""),1808.0)</f>
        <v>1808</v>
      </c>
      <c r="AA121" s="257">
        <f>IFERROR(__xludf.DUMMYFUNCTION("""COMPUTED_VALUE"""),1581.0)</f>
        <v>1581</v>
      </c>
      <c r="AB121" s="257">
        <f>IFERROR(__xludf.DUMMYFUNCTION("""COMPUTED_VALUE"""),0.0)</f>
        <v>0</v>
      </c>
      <c r="AC121" s="257">
        <f>IFERROR(__xludf.DUMMYFUNCTION("""COMPUTED_VALUE"""),1581.0)</f>
        <v>1581</v>
      </c>
      <c r="AD121" s="257">
        <f>IFERROR(__xludf.DUMMYFUNCTION("""COMPUTED_VALUE"""),9827.0)</f>
        <v>9827</v>
      </c>
      <c r="AE121" s="257">
        <f>IFERROR(__xludf.DUMMYFUNCTION("""COMPUTED_VALUE"""),1581.0)</f>
        <v>1581</v>
      </c>
      <c r="AF121" s="257">
        <f>IFERROR(__xludf.DUMMYFUNCTION("""COMPUTED_VALUE"""),9827.0)</f>
        <v>9827</v>
      </c>
      <c r="AG121" s="257">
        <f>IFERROR(__xludf.DUMMYFUNCTION("""COMPUTED_VALUE"""),0.0)</f>
        <v>0</v>
      </c>
      <c r="AH121" s="257">
        <f>IFERROR(__xludf.DUMMYFUNCTION("""COMPUTED_VALUE"""),0.0)</f>
        <v>0</v>
      </c>
    </row>
    <row r="122">
      <c r="A122" s="328">
        <f>IFERROR(__xludf.DUMMYFUNCTION("""COMPUTED_VALUE"""),44189.0)</f>
        <v>44189</v>
      </c>
      <c r="B122" s="329">
        <f>IFERROR(__xludf.DUMMYFUNCTION("""COMPUTED_VALUE"""),1076.0)</f>
        <v>1076</v>
      </c>
      <c r="C122" s="329">
        <f>IFERROR(__xludf.DUMMYFUNCTION("""COMPUTED_VALUE"""),1082.0)</f>
        <v>1082</v>
      </c>
      <c r="D122" s="329">
        <f>IFERROR(__xludf.DUMMYFUNCTION("""COMPUTED_VALUE"""),101637.0)</f>
        <v>101637</v>
      </c>
      <c r="E122" s="329">
        <f>IFERROR(__xludf.DUMMYFUNCTION("""COMPUTED_VALUE"""),17039.0)</f>
        <v>17039</v>
      </c>
      <c r="F122" s="257">
        <f>IFERROR(__xludf.DUMMYFUNCTION("""COMPUTED_VALUE"""),1826859.0)</f>
        <v>1826859</v>
      </c>
      <c r="G122" s="257">
        <f>IFERROR(__xludf.DUMMYFUNCTION("""COMPUTED_VALUE"""),18115.0)</f>
        <v>18115</v>
      </c>
      <c r="H122" s="257">
        <f>IFERROR(__xludf.DUMMYFUNCTION("""COMPUTED_VALUE"""),1928496.0)</f>
        <v>1928496</v>
      </c>
      <c r="I122" s="329">
        <f>IFERROR(__xludf.DUMMYFUNCTION("""COMPUTED_VALUE"""),892.0)</f>
        <v>892</v>
      </c>
      <c r="J122" s="329">
        <f>IFERROR(__xludf.DUMMYFUNCTION("""COMPUTED_VALUE"""),924.0)</f>
        <v>924</v>
      </c>
      <c r="K122" s="329">
        <f>IFERROR(__xludf.DUMMYFUNCTION("""COMPUTED_VALUE"""),84106.0)</f>
        <v>84106</v>
      </c>
      <c r="L122" s="329">
        <f>IFERROR(__xludf.DUMMYFUNCTION("""COMPUTED_VALUE"""),3353.0)</f>
        <v>3353</v>
      </c>
      <c r="M122" s="329">
        <f>IFERROR(__xludf.DUMMYFUNCTION("""COMPUTED_VALUE"""),514746.0)</f>
        <v>514746</v>
      </c>
      <c r="N122" s="329">
        <f>IFERROR(__xludf.DUMMYFUNCTION("""COMPUTED_VALUE"""),598852.0)</f>
        <v>598852</v>
      </c>
      <c r="O122" s="329">
        <f>IFERROR(__xludf.DUMMYFUNCTION("""COMPUTED_VALUE"""),52.0)</f>
        <v>52</v>
      </c>
      <c r="P122" s="329">
        <f>IFERROR(__xludf.DUMMYFUNCTION("""COMPUTED_VALUE"""),6233.0)</f>
        <v>6233</v>
      </c>
      <c r="Q122" s="329">
        <f>IFERROR(__xludf.DUMMYFUNCTION("""COMPUTED_VALUE"""),56.0)</f>
        <v>56</v>
      </c>
      <c r="R122" s="329">
        <f>IFERROR(__xludf.DUMMYFUNCTION("""COMPUTED_VALUE"""),5128.0)</f>
        <v>5128</v>
      </c>
      <c r="S122" s="329">
        <f>IFERROR(__xludf.DUMMYFUNCTION("""COMPUTED_VALUE"""),6.0)</f>
        <v>6</v>
      </c>
      <c r="T122" s="329">
        <f>IFERROR(__xludf.DUMMYFUNCTION("""COMPUTED_VALUE"""),672.0)</f>
        <v>672</v>
      </c>
      <c r="U122" s="329">
        <f>IFERROR(__xludf.DUMMYFUNCTION("""COMPUTED_VALUE"""),433.0)</f>
        <v>433</v>
      </c>
      <c r="V122" s="329">
        <f>IFERROR(__xludf.DUMMYFUNCTION("""COMPUTED_VALUE"""),442.0)</f>
        <v>442</v>
      </c>
      <c r="W122" s="329">
        <f>IFERROR(__xludf.DUMMYFUNCTION("""COMPUTED_VALUE"""),67.0)</f>
        <v>67</v>
      </c>
      <c r="X122" s="329">
        <f>IFERROR(__xludf.DUMMYFUNCTION("""COMPUTED_VALUE"""),44.0)</f>
        <v>44</v>
      </c>
      <c r="Y122" s="329">
        <f>IFERROR(__xludf.DUMMYFUNCTION("""COMPUTED_VALUE"""),17.0)</f>
        <v>17</v>
      </c>
      <c r="Z122" s="329">
        <f>IFERROR(__xludf.DUMMYFUNCTION("""COMPUTED_VALUE"""),1825.0)</f>
        <v>1825</v>
      </c>
      <c r="AA122" s="257">
        <f>IFERROR(__xludf.DUMMYFUNCTION("""COMPUTED_VALUE"""),639.0)</f>
        <v>639</v>
      </c>
      <c r="AB122" s="257">
        <f>IFERROR(__xludf.DUMMYFUNCTION("""COMPUTED_VALUE"""),0.0)</f>
        <v>0</v>
      </c>
      <c r="AC122" s="257">
        <f>IFERROR(__xludf.DUMMYFUNCTION("""COMPUTED_VALUE"""),639.0)</f>
        <v>639</v>
      </c>
      <c r="AD122" s="257">
        <f>IFERROR(__xludf.DUMMYFUNCTION("""COMPUTED_VALUE"""),10466.0)</f>
        <v>10466</v>
      </c>
      <c r="AE122" s="257">
        <f>IFERROR(__xludf.DUMMYFUNCTION("""COMPUTED_VALUE"""),639.0)</f>
        <v>639</v>
      </c>
      <c r="AF122" s="257">
        <f>IFERROR(__xludf.DUMMYFUNCTION("""COMPUTED_VALUE"""),10466.0)</f>
        <v>10466</v>
      </c>
      <c r="AG122" s="257">
        <f>IFERROR(__xludf.DUMMYFUNCTION("""COMPUTED_VALUE"""),0.0)</f>
        <v>0</v>
      </c>
      <c r="AH122" s="257">
        <f>IFERROR(__xludf.DUMMYFUNCTION("""COMPUTED_VALUE"""),0.0)</f>
        <v>0</v>
      </c>
    </row>
    <row r="123">
      <c r="A123" s="328">
        <f>IFERROR(__xludf.DUMMYFUNCTION("""COMPUTED_VALUE"""),44190.0)</f>
        <v>44190</v>
      </c>
      <c r="B123" s="329">
        <f>IFERROR(__xludf.DUMMYFUNCTION("""COMPUTED_VALUE"""),306.0)</f>
        <v>306</v>
      </c>
      <c r="C123" s="329">
        <f>IFERROR(__xludf.DUMMYFUNCTION("""COMPUTED_VALUE"""),825.0)</f>
        <v>825</v>
      </c>
      <c r="D123" s="329">
        <f>IFERROR(__xludf.DUMMYFUNCTION("""COMPUTED_VALUE"""),101943.0)</f>
        <v>101943</v>
      </c>
      <c r="E123" s="329">
        <f>IFERROR(__xludf.DUMMYFUNCTION("""COMPUTED_VALUE"""),3396.0)</f>
        <v>3396</v>
      </c>
      <c r="F123" s="257">
        <f>IFERROR(__xludf.DUMMYFUNCTION("""COMPUTED_VALUE"""),1830255.0)</f>
        <v>1830255</v>
      </c>
      <c r="G123" s="257">
        <f>IFERROR(__xludf.DUMMYFUNCTION("""COMPUTED_VALUE"""),3702.0)</f>
        <v>3702</v>
      </c>
      <c r="H123" s="257">
        <f>IFERROR(__xludf.DUMMYFUNCTION("""COMPUTED_VALUE"""),1932198.0)</f>
        <v>1932198</v>
      </c>
      <c r="I123" s="329">
        <f>IFERROR(__xludf.DUMMYFUNCTION("""COMPUTED_VALUE"""),244.0)</f>
        <v>244</v>
      </c>
      <c r="J123" s="329">
        <f>IFERROR(__xludf.DUMMYFUNCTION("""COMPUTED_VALUE"""),696.0)</f>
        <v>696</v>
      </c>
      <c r="K123" s="329">
        <f>IFERROR(__xludf.DUMMYFUNCTION("""COMPUTED_VALUE"""),84350.0)</f>
        <v>84350</v>
      </c>
      <c r="L123" s="329">
        <f>IFERROR(__xludf.DUMMYFUNCTION("""COMPUTED_VALUE"""),625.0)</f>
        <v>625</v>
      </c>
      <c r="M123" s="329">
        <f>IFERROR(__xludf.DUMMYFUNCTION("""COMPUTED_VALUE"""),515371.0)</f>
        <v>515371</v>
      </c>
      <c r="N123" s="329">
        <f>IFERROR(__xludf.DUMMYFUNCTION("""COMPUTED_VALUE"""),599721.0)</f>
        <v>599721</v>
      </c>
      <c r="O123" s="329">
        <f>IFERROR(__xludf.DUMMYFUNCTION("""COMPUTED_VALUE"""),51.0)</f>
        <v>51</v>
      </c>
      <c r="P123" s="329">
        <f>IFERROR(__xludf.DUMMYFUNCTION("""COMPUTED_VALUE"""),6284.0)</f>
        <v>6284</v>
      </c>
      <c r="Q123" s="329">
        <f>IFERROR(__xludf.DUMMYFUNCTION("""COMPUTED_VALUE"""),26.0)</f>
        <v>26</v>
      </c>
      <c r="R123" s="329">
        <f>IFERROR(__xludf.DUMMYFUNCTION("""COMPUTED_VALUE"""),5154.0)</f>
        <v>5154</v>
      </c>
      <c r="S123" s="329">
        <f>IFERROR(__xludf.DUMMYFUNCTION("""COMPUTED_VALUE"""),13.0)</f>
        <v>13</v>
      </c>
      <c r="T123" s="329">
        <f>IFERROR(__xludf.DUMMYFUNCTION("""COMPUTED_VALUE"""),685.0)</f>
        <v>685</v>
      </c>
      <c r="U123" s="329">
        <f>IFERROR(__xludf.DUMMYFUNCTION("""COMPUTED_VALUE"""),445.0)</f>
        <v>445</v>
      </c>
      <c r="V123" s="329">
        <f>IFERROR(__xludf.DUMMYFUNCTION("""COMPUTED_VALUE"""),440.0)</f>
        <v>440</v>
      </c>
      <c r="W123" s="329">
        <f>IFERROR(__xludf.DUMMYFUNCTION("""COMPUTED_VALUE"""),64.0)</f>
        <v>64</v>
      </c>
      <c r="X123" s="329">
        <f>IFERROR(__xludf.DUMMYFUNCTION("""COMPUTED_VALUE"""),45.0)</f>
        <v>45</v>
      </c>
      <c r="Y123" s="329">
        <f>IFERROR(__xludf.DUMMYFUNCTION("""COMPUTED_VALUE"""),21.0)</f>
        <v>21</v>
      </c>
      <c r="Z123" s="329">
        <f>IFERROR(__xludf.DUMMYFUNCTION("""COMPUTED_VALUE"""),1846.0)</f>
        <v>1846</v>
      </c>
      <c r="AA123" s="257">
        <f>IFERROR(__xludf.DUMMYFUNCTION("""COMPUTED_VALUE"""),1.0)</f>
        <v>1</v>
      </c>
      <c r="AB123" s="257">
        <f>IFERROR(__xludf.DUMMYFUNCTION("""COMPUTED_VALUE"""),0.0)</f>
        <v>0</v>
      </c>
      <c r="AC123" s="257">
        <f>IFERROR(__xludf.DUMMYFUNCTION("""COMPUTED_VALUE"""),1.0)</f>
        <v>1</v>
      </c>
      <c r="AD123" s="257">
        <f>IFERROR(__xludf.DUMMYFUNCTION("""COMPUTED_VALUE"""),10467.0)</f>
        <v>10467</v>
      </c>
      <c r="AE123" s="257">
        <f>IFERROR(__xludf.DUMMYFUNCTION("""COMPUTED_VALUE"""),1.0)</f>
        <v>1</v>
      </c>
      <c r="AF123" s="257">
        <f>IFERROR(__xludf.DUMMYFUNCTION("""COMPUTED_VALUE"""),10467.0)</f>
        <v>10467</v>
      </c>
      <c r="AG123" s="257">
        <f>IFERROR(__xludf.DUMMYFUNCTION("""COMPUTED_VALUE"""),0.0)</f>
        <v>0</v>
      </c>
      <c r="AH123" s="257">
        <f>IFERROR(__xludf.DUMMYFUNCTION("""COMPUTED_VALUE"""),0.0)</f>
        <v>0</v>
      </c>
    </row>
    <row r="124">
      <c r="A124" s="328">
        <f>IFERROR(__xludf.DUMMYFUNCTION("""COMPUTED_VALUE"""),44191.0)</f>
        <v>44191</v>
      </c>
      <c r="B124" s="329">
        <f>IFERROR(__xludf.DUMMYFUNCTION("""COMPUTED_VALUE"""),945.0)</f>
        <v>945</v>
      </c>
      <c r="C124" s="329">
        <f>IFERROR(__xludf.DUMMYFUNCTION("""COMPUTED_VALUE"""),776.0)</f>
        <v>776</v>
      </c>
      <c r="D124" s="329">
        <f>IFERROR(__xludf.DUMMYFUNCTION("""COMPUTED_VALUE"""),102888.0)</f>
        <v>102888</v>
      </c>
      <c r="E124" s="329">
        <f>IFERROR(__xludf.DUMMYFUNCTION("""COMPUTED_VALUE"""),10663.0)</f>
        <v>10663</v>
      </c>
      <c r="F124" s="257">
        <f>IFERROR(__xludf.DUMMYFUNCTION("""COMPUTED_VALUE"""),1840918.0)</f>
        <v>1840918</v>
      </c>
      <c r="G124" s="257">
        <f>IFERROR(__xludf.DUMMYFUNCTION("""COMPUTED_VALUE"""),11608.0)</f>
        <v>11608</v>
      </c>
      <c r="H124" s="257">
        <f>IFERROR(__xludf.DUMMYFUNCTION("""COMPUTED_VALUE"""),1943806.0)</f>
        <v>1943806</v>
      </c>
      <c r="I124" s="329">
        <f>IFERROR(__xludf.DUMMYFUNCTION("""COMPUTED_VALUE"""),815.0)</f>
        <v>815</v>
      </c>
      <c r="J124" s="329">
        <f>IFERROR(__xludf.DUMMYFUNCTION("""COMPUTED_VALUE"""),650.0)</f>
        <v>650</v>
      </c>
      <c r="K124" s="329">
        <f>IFERROR(__xludf.DUMMYFUNCTION("""COMPUTED_VALUE"""),85165.0)</f>
        <v>85165</v>
      </c>
      <c r="L124" s="329">
        <f>IFERROR(__xludf.DUMMYFUNCTION("""COMPUTED_VALUE"""),2161.0)</f>
        <v>2161</v>
      </c>
      <c r="M124" s="329">
        <f>IFERROR(__xludf.DUMMYFUNCTION("""COMPUTED_VALUE"""),517532.0)</f>
        <v>517532</v>
      </c>
      <c r="N124" s="329">
        <f>IFERROR(__xludf.DUMMYFUNCTION("""COMPUTED_VALUE"""),602697.0)</f>
        <v>602697</v>
      </c>
      <c r="O124" s="329">
        <f>IFERROR(__xludf.DUMMYFUNCTION("""COMPUTED_VALUE"""),57.0)</f>
        <v>57</v>
      </c>
      <c r="P124" s="329">
        <f>IFERROR(__xludf.DUMMYFUNCTION("""COMPUTED_VALUE"""),6341.0)</f>
        <v>6341</v>
      </c>
      <c r="Q124" s="329">
        <f>IFERROR(__xludf.DUMMYFUNCTION("""COMPUTED_VALUE"""),40.0)</f>
        <v>40</v>
      </c>
      <c r="R124" s="329">
        <f>IFERROR(__xludf.DUMMYFUNCTION("""COMPUTED_VALUE"""),5194.0)</f>
        <v>5194</v>
      </c>
      <c r="S124" s="329">
        <f>IFERROR(__xludf.DUMMYFUNCTION("""COMPUTED_VALUE"""),5.0)</f>
        <v>5</v>
      </c>
      <c r="T124" s="329">
        <f>IFERROR(__xludf.DUMMYFUNCTION("""COMPUTED_VALUE"""),690.0)</f>
        <v>690</v>
      </c>
      <c r="U124" s="329">
        <f>IFERROR(__xludf.DUMMYFUNCTION("""COMPUTED_VALUE"""),457.0)</f>
        <v>457</v>
      </c>
      <c r="V124" s="329">
        <f>IFERROR(__xludf.DUMMYFUNCTION("""COMPUTED_VALUE"""),445.0)</f>
        <v>445</v>
      </c>
      <c r="W124" s="329">
        <f>IFERROR(__xludf.DUMMYFUNCTION("""COMPUTED_VALUE"""),67.0)</f>
        <v>67</v>
      </c>
      <c r="X124" s="329">
        <f>IFERROR(__xludf.DUMMYFUNCTION("""COMPUTED_VALUE"""),54.0)</f>
        <v>54</v>
      </c>
      <c r="Y124" s="329">
        <f>IFERROR(__xludf.DUMMYFUNCTION("""COMPUTED_VALUE"""),11.0)</f>
        <v>11</v>
      </c>
      <c r="Z124" s="329">
        <f>IFERROR(__xludf.DUMMYFUNCTION("""COMPUTED_VALUE"""),1857.0)</f>
        <v>1857</v>
      </c>
      <c r="AA124" s="257">
        <f>IFERROR(__xludf.DUMMYFUNCTION("""COMPUTED_VALUE"""),973.0)</f>
        <v>973</v>
      </c>
      <c r="AB124" s="257">
        <f>IFERROR(__xludf.DUMMYFUNCTION("""COMPUTED_VALUE"""),0.0)</f>
        <v>0</v>
      </c>
      <c r="AC124" s="257">
        <f>IFERROR(__xludf.DUMMYFUNCTION("""COMPUTED_VALUE"""),973.0)</f>
        <v>973</v>
      </c>
      <c r="AD124" s="257">
        <f>IFERROR(__xludf.DUMMYFUNCTION("""COMPUTED_VALUE"""),11440.0)</f>
        <v>11440</v>
      </c>
      <c r="AE124" s="257">
        <f>IFERROR(__xludf.DUMMYFUNCTION("""COMPUTED_VALUE"""),973.0)</f>
        <v>973</v>
      </c>
      <c r="AF124" s="257">
        <f>IFERROR(__xludf.DUMMYFUNCTION("""COMPUTED_VALUE"""),11440.0)</f>
        <v>11440</v>
      </c>
      <c r="AG124" s="257">
        <f>IFERROR(__xludf.DUMMYFUNCTION("""COMPUTED_VALUE"""),0.0)</f>
        <v>0</v>
      </c>
      <c r="AH124" s="257">
        <f>IFERROR(__xludf.DUMMYFUNCTION("""COMPUTED_VALUE"""),0.0)</f>
        <v>0</v>
      </c>
    </row>
    <row r="125">
      <c r="A125" s="328">
        <f>IFERROR(__xludf.DUMMYFUNCTION("""COMPUTED_VALUE"""),44192.0)</f>
        <v>44192</v>
      </c>
      <c r="B125" s="329">
        <f>IFERROR(__xludf.DUMMYFUNCTION("""COMPUTED_VALUE"""),791.0)</f>
        <v>791</v>
      </c>
      <c r="C125" s="329">
        <f>IFERROR(__xludf.DUMMYFUNCTION("""COMPUTED_VALUE"""),681.0)</f>
        <v>681</v>
      </c>
      <c r="D125" s="329">
        <f>IFERROR(__xludf.DUMMYFUNCTION("""COMPUTED_VALUE"""),103679.0)</f>
        <v>103679</v>
      </c>
      <c r="E125" s="329">
        <f>IFERROR(__xludf.DUMMYFUNCTION("""COMPUTED_VALUE"""),7566.0)</f>
        <v>7566</v>
      </c>
      <c r="F125" s="257">
        <f>IFERROR(__xludf.DUMMYFUNCTION("""COMPUTED_VALUE"""),1848484.0)</f>
        <v>1848484</v>
      </c>
      <c r="G125" s="257">
        <f>IFERROR(__xludf.DUMMYFUNCTION("""COMPUTED_VALUE"""),8357.0)</f>
        <v>8357</v>
      </c>
      <c r="H125" s="257">
        <f>IFERROR(__xludf.DUMMYFUNCTION("""COMPUTED_VALUE"""),1952163.0)</f>
        <v>1952163</v>
      </c>
      <c r="I125" s="329">
        <f>IFERROR(__xludf.DUMMYFUNCTION("""COMPUTED_VALUE"""),689.0)</f>
        <v>689</v>
      </c>
      <c r="J125" s="329">
        <f>IFERROR(__xludf.DUMMYFUNCTION("""COMPUTED_VALUE"""),583.0)</f>
        <v>583</v>
      </c>
      <c r="K125" s="329">
        <f>IFERROR(__xludf.DUMMYFUNCTION("""COMPUTED_VALUE"""),85854.0)</f>
        <v>85854</v>
      </c>
      <c r="L125" s="329">
        <f>IFERROR(__xludf.DUMMYFUNCTION("""COMPUTED_VALUE"""),1899.0)</f>
        <v>1899</v>
      </c>
      <c r="M125" s="329">
        <f>IFERROR(__xludf.DUMMYFUNCTION("""COMPUTED_VALUE"""),519431.0)</f>
        <v>519431</v>
      </c>
      <c r="N125" s="329">
        <f>IFERROR(__xludf.DUMMYFUNCTION("""COMPUTED_VALUE"""),605285.0)</f>
        <v>605285</v>
      </c>
      <c r="O125" s="329">
        <f>IFERROR(__xludf.DUMMYFUNCTION("""COMPUTED_VALUE"""),45.0)</f>
        <v>45</v>
      </c>
      <c r="P125" s="329">
        <f>IFERROR(__xludf.DUMMYFUNCTION("""COMPUTED_VALUE"""),6386.0)</f>
        <v>6386</v>
      </c>
      <c r="Q125" s="329">
        <f>IFERROR(__xludf.DUMMYFUNCTION("""COMPUTED_VALUE"""),22.0)</f>
        <v>22</v>
      </c>
      <c r="R125" s="329">
        <f>IFERROR(__xludf.DUMMYFUNCTION("""COMPUTED_VALUE"""),5216.0)</f>
        <v>5216</v>
      </c>
      <c r="S125" s="329">
        <f>IFERROR(__xludf.DUMMYFUNCTION("""COMPUTED_VALUE"""),8.0)</f>
        <v>8</v>
      </c>
      <c r="T125" s="329">
        <f>IFERROR(__xludf.DUMMYFUNCTION("""COMPUTED_VALUE"""),698.0)</f>
        <v>698</v>
      </c>
      <c r="U125" s="329">
        <f>IFERROR(__xludf.DUMMYFUNCTION("""COMPUTED_VALUE"""),472.0)</f>
        <v>472</v>
      </c>
      <c r="V125" s="329">
        <f>IFERROR(__xludf.DUMMYFUNCTION("""COMPUTED_VALUE"""),458.0)</f>
        <v>458</v>
      </c>
      <c r="W125" s="329">
        <f>IFERROR(__xludf.DUMMYFUNCTION("""COMPUTED_VALUE"""),68.0)</f>
        <v>68</v>
      </c>
      <c r="X125" s="329">
        <f>IFERROR(__xludf.DUMMYFUNCTION("""COMPUTED_VALUE"""),51.0)</f>
        <v>51</v>
      </c>
      <c r="Y125" s="329">
        <f>IFERROR(__xludf.DUMMYFUNCTION("""COMPUTED_VALUE"""),13.0)</f>
        <v>13</v>
      </c>
      <c r="Z125" s="329">
        <f>IFERROR(__xludf.DUMMYFUNCTION("""COMPUTED_VALUE"""),1870.0)</f>
        <v>1870</v>
      </c>
      <c r="AA125" s="257">
        <f>IFERROR(__xludf.DUMMYFUNCTION("""COMPUTED_VALUE"""),835.0)</f>
        <v>835</v>
      </c>
      <c r="AB125" s="257">
        <f>IFERROR(__xludf.DUMMYFUNCTION("""COMPUTED_VALUE"""),0.0)</f>
        <v>0</v>
      </c>
      <c r="AC125" s="257">
        <f>IFERROR(__xludf.DUMMYFUNCTION("""COMPUTED_VALUE"""),835.0)</f>
        <v>835</v>
      </c>
      <c r="AD125" s="257">
        <f>IFERROR(__xludf.DUMMYFUNCTION("""COMPUTED_VALUE"""),12275.0)</f>
        <v>12275</v>
      </c>
      <c r="AE125" s="257">
        <f>IFERROR(__xludf.DUMMYFUNCTION("""COMPUTED_VALUE"""),835.0)</f>
        <v>835</v>
      </c>
      <c r="AF125" s="257">
        <f>IFERROR(__xludf.DUMMYFUNCTION("""COMPUTED_VALUE"""),12275.0)</f>
        <v>12275</v>
      </c>
      <c r="AG125" s="257">
        <f>IFERROR(__xludf.DUMMYFUNCTION("""COMPUTED_VALUE"""),0.0)</f>
        <v>0</v>
      </c>
      <c r="AH125" s="257">
        <f>IFERROR(__xludf.DUMMYFUNCTION("""COMPUTED_VALUE"""),0.0)</f>
        <v>0</v>
      </c>
    </row>
    <row r="126">
      <c r="A126" s="328">
        <f>IFERROR(__xludf.DUMMYFUNCTION("""COMPUTED_VALUE"""),44193.0)</f>
        <v>44193</v>
      </c>
      <c r="B126" s="329">
        <f>IFERROR(__xludf.DUMMYFUNCTION("""COMPUTED_VALUE"""),1500.0)</f>
        <v>1500</v>
      </c>
      <c r="C126" s="329">
        <f>IFERROR(__xludf.DUMMYFUNCTION("""COMPUTED_VALUE"""),1079.0)</f>
        <v>1079</v>
      </c>
      <c r="D126" s="329">
        <f>IFERROR(__xludf.DUMMYFUNCTION("""COMPUTED_VALUE"""),105179.0)</f>
        <v>105179</v>
      </c>
      <c r="E126" s="329">
        <f>IFERROR(__xludf.DUMMYFUNCTION("""COMPUTED_VALUE"""),12164.0)</f>
        <v>12164</v>
      </c>
      <c r="F126" s="257">
        <f>IFERROR(__xludf.DUMMYFUNCTION("""COMPUTED_VALUE"""),1860648.0)</f>
        <v>1860648</v>
      </c>
      <c r="G126" s="257">
        <f>IFERROR(__xludf.DUMMYFUNCTION("""COMPUTED_VALUE"""),13664.0)</f>
        <v>13664</v>
      </c>
      <c r="H126" s="257">
        <f>IFERROR(__xludf.DUMMYFUNCTION("""COMPUTED_VALUE"""),1965827.0)</f>
        <v>1965827</v>
      </c>
      <c r="I126" s="329">
        <f>IFERROR(__xludf.DUMMYFUNCTION("""COMPUTED_VALUE"""),1288.0)</f>
        <v>1288</v>
      </c>
      <c r="J126" s="329">
        <f>IFERROR(__xludf.DUMMYFUNCTION("""COMPUTED_VALUE"""),931.0)</f>
        <v>931</v>
      </c>
      <c r="K126" s="329">
        <f>IFERROR(__xludf.DUMMYFUNCTION("""COMPUTED_VALUE"""),87142.0)</f>
        <v>87142</v>
      </c>
      <c r="L126" s="329">
        <f>IFERROR(__xludf.DUMMYFUNCTION("""COMPUTED_VALUE"""),3212.0)</f>
        <v>3212</v>
      </c>
      <c r="M126" s="329">
        <f>IFERROR(__xludf.DUMMYFUNCTION("""COMPUTED_VALUE"""),522643.0)</f>
        <v>522643</v>
      </c>
      <c r="N126" s="329">
        <f>IFERROR(__xludf.DUMMYFUNCTION("""COMPUTED_VALUE"""),609785.0)</f>
        <v>609785</v>
      </c>
      <c r="O126" s="329">
        <f>IFERROR(__xludf.DUMMYFUNCTION("""COMPUTED_VALUE"""),56.0)</f>
        <v>56</v>
      </c>
      <c r="P126" s="329">
        <f>IFERROR(__xludf.DUMMYFUNCTION("""COMPUTED_VALUE"""),6442.0)</f>
        <v>6442</v>
      </c>
      <c r="Q126" s="329">
        <f>IFERROR(__xludf.DUMMYFUNCTION("""COMPUTED_VALUE"""),44.0)</f>
        <v>44</v>
      </c>
      <c r="R126" s="329">
        <f>IFERROR(__xludf.DUMMYFUNCTION("""COMPUTED_VALUE"""),5260.0)</f>
        <v>5260</v>
      </c>
      <c r="S126" s="329">
        <f>IFERROR(__xludf.DUMMYFUNCTION("""COMPUTED_VALUE"""),5.0)</f>
        <v>5</v>
      </c>
      <c r="T126" s="329">
        <f>IFERROR(__xludf.DUMMYFUNCTION("""COMPUTED_VALUE"""),703.0)</f>
        <v>703</v>
      </c>
      <c r="U126" s="329">
        <f>IFERROR(__xludf.DUMMYFUNCTION("""COMPUTED_VALUE"""),479.0)</f>
        <v>479</v>
      </c>
      <c r="V126" s="329">
        <f>IFERROR(__xludf.DUMMYFUNCTION("""COMPUTED_VALUE"""),469.0)</f>
        <v>469</v>
      </c>
      <c r="W126" s="329">
        <f>IFERROR(__xludf.DUMMYFUNCTION("""COMPUTED_VALUE"""),72.0)</f>
        <v>72</v>
      </c>
      <c r="X126" s="329">
        <f>IFERROR(__xludf.DUMMYFUNCTION("""COMPUTED_VALUE"""),50.0)</f>
        <v>50</v>
      </c>
      <c r="Y126" s="329">
        <f>IFERROR(__xludf.DUMMYFUNCTION("""COMPUTED_VALUE"""),14.0)</f>
        <v>14</v>
      </c>
      <c r="Z126" s="329">
        <f>IFERROR(__xludf.DUMMYFUNCTION("""COMPUTED_VALUE"""),1884.0)</f>
        <v>1884</v>
      </c>
      <c r="AA126" s="257">
        <f>IFERROR(__xludf.DUMMYFUNCTION("""COMPUTED_VALUE"""),3560.0)</f>
        <v>3560</v>
      </c>
      <c r="AB126" s="257">
        <f>IFERROR(__xludf.DUMMYFUNCTION("""COMPUTED_VALUE"""),0.0)</f>
        <v>0</v>
      </c>
      <c r="AC126" s="257">
        <f>IFERROR(__xludf.DUMMYFUNCTION("""COMPUTED_VALUE"""),3560.0)</f>
        <v>3560</v>
      </c>
      <c r="AD126" s="257">
        <f>IFERROR(__xludf.DUMMYFUNCTION("""COMPUTED_VALUE"""),15835.0)</f>
        <v>15835</v>
      </c>
      <c r="AE126" s="257">
        <f>IFERROR(__xludf.DUMMYFUNCTION("""COMPUTED_VALUE"""),3560.0)</f>
        <v>3560</v>
      </c>
      <c r="AF126" s="257">
        <f>IFERROR(__xludf.DUMMYFUNCTION("""COMPUTED_VALUE"""),15835.0)</f>
        <v>15835</v>
      </c>
      <c r="AG126" s="257">
        <f>IFERROR(__xludf.DUMMYFUNCTION("""COMPUTED_VALUE"""),0.0)</f>
        <v>0</v>
      </c>
      <c r="AH126" s="257">
        <f>IFERROR(__xludf.DUMMYFUNCTION("""COMPUTED_VALUE"""),0.0)</f>
        <v>0</v>
      </c>
    </row>
    <row r="127">
      <c r="A127" s="328">
        <f>IFERROR(__xludf.DUMMYFUNCTION("""COMPUTED_VALUE"""),44194.0)</f>
        <v>44194</v>
      </c>
      <c r="B127" s="329">
        <f>IFERROR(__xludf.DUMMYFUNCTION("""COMPUTED_VALUE"""),1357.0)</f>
        <v>1357</v>
      </c>
      <c r="C127" s="329">
        <f>IFERROR(__xludf.DUMMYFUNCTION("""COMPUTED_VALUE"""),1216.0)</f>
        <v>1216</v>
      </c>
      <c r="D127" s="329">
        <f>IFERROR(__xludf.DUMMYFUNCTION("""COMPUTED_VALUE"""),106536.0)</f>
        <v>106536</v>
      </c>
      <c r="E127" s="329">
        <f>IFERROR(__xludf.DUMMYFUNCTION("""COMPUTED_VALUE"""),13787.0)</f>
        <v>13787</v>
      </c>
      <c r="F127" s="257">
        <f>IFERROR(__xludf.DUMMYFUNCTION("""COMPUTED_VALUE"""),1874435.0)</f>
        <v>1874435</v>
      </c>
      <c r="G127" s="257">
        <f>IFERROR(__xludf.DUMMYFUNCTION("""COMPUTED_VALUE"""),15144.0)</f>
        <v>15144</v>
      </c>
      <c r="H127" s="257">
        <f>IFERROR(__xludf.DUMMYFUNCTION("""COMPUTED_VALUE"""),1980971.0)</f>
        <v>1980971</v>
      </c>
      <c r="I127" s="329">
        <f>IFERROR(__xludf.DUMMYFUNCTION("""COMPUTED_VALUE"""),1221.0)</f>
        <v>1221</v>
      </c>
      <c r="J127" s="329">
        <f>IFERROR(__xludf.DUMMYFUNCTION("""COMPUTED_VALUE"""),1066.0)</f>
        <v>1066</v>
      </c>
      <c r="K127" s="329">
        <f>IFERROR(__xludf.DUMMYFUNCTION("""COMPUTED_VALUE"""),88363.0)</f>
        <v>88363</v>
      </c>
      <c r="L127" s="329">
        <f>IFERROR(__xludf.DUMMYFUNCTION("""COMPUTED_VALUE"""),2753.0)</f>
        <v>2753</v>
      </c>
      <c r="M127" s="329">
        <f>IFERROR(__xludf.DUMMYFUNCTION("""COMPUTED_VALUE"""),525396.0)</f>
        <v>525396</v>
      </c>
      <c r="N127" s="329">
        <f>IFERROR(__xludf.DUMMYFUNCTION("""COMPUTED_VALUE"""),613759.0)</f>
        <v>613759</v>
      </c>
      <c r="O127" s="329">
        <f>IFERROR(__xludf.DUMMYFUNCTION("""COMPUTED_VALUE"""),59.0)</f>
        <v>59</v>
      </c>
      <c r="P127" s="329">
        <f>IFERROR(__xludf.DUMMYFUNCTION("""COMPUTED_VALUE"""),6501.0)</f>
        <v>6501</v>
      </c>
      <c r="Q127" s="329">
        <f>IFERROR(__xludf.DUMMYFUNCTION("""COMPUTED_VALUE"""),56.0)</f>
        <v>56</v>
      </c>
      <c r="R127" s="329">
        <f>IFERROR(__xludf.DUMMYFUNCTION("""COMPUTED_VALUE"""),5316.0)</f>
        <v>5316</v>
      </c>
      <c r="S127" s="329">
        <f>IFERROR(__xludf.DUMMYFUNCTION("""COMPUTED_VALUE"""),6.0)</f>
        <v>6</v>
      </c>
      <c r="T127" s="329">
        <f>IFERROR(__xludf.DUMMYFUNCTION("""COMPUTED_VALUE"""),709.0)</f>
        <v>709</v>
      </c>
      <c r="U127" s="329">
        <f>IFERROR(__xludf.DUMMYFUNCTION("""COMPUTED_VALUE"""),476.0)</f>
        <v>476</v>
      </c>
      <c r="V127" s="329">
        <f>IFERROR(__xludf.DUMMYFUNCTION("""COMPUTED_VALUE"""),476.0)</f>
        <v>476</v>
      </c>
      <c r="W127" s="329">
        <f>IFERROR(__xludf.DUMMYFUNCTION("""COMPUTED_VALUE"""),70.0)</f>
        <v>70</v>
      </c>
      <c r="X127" s="329">
        <f>IFERROR(__xludf.DUMMYFUNCTION("""COMPUTED_VALUE"""),53.0)</f>
        <v>53</v>
      </c>
      <c r="Y127" s="329">
        <f>IFERROR(__xludf.DUMMYFUNCTION("""COMPUTED_VALUE"""),17.0)</f>
        <v>17</v>
      </c>
      <c r="Z127" s="329">
        <f>IFERROR(__xludf.DUMMYFUNCTION("""COMPUTED_VALUE"""),1901.0)</f>
        <v>1901</v>
      </c>
      <c r="AA127" s="257">
        <f>IFERROR(__xludf.DUMMYFUNCTION("""COMPUTED_VALUE"""),3074.0)</f>
        <v>3074</v>
      </c>
      <c r="AB127" s="257">
        <f>IFERROR(__xludf.DUMMYFUNCTION("""COMPUTED_VALUE"""),0.0)</f>
        <v>0</v>
      </c>
      <c r="AC127" s="257">
        <f>IFERROR(__xludf.DUMMYFUNCTION("""COMPUTED_VALUE"""),3074.0)</f>
        <v>3074</v>
      </c>
      <c r="AD127" s="257">
        <f>IFERROR(__xludf.DUMMYFUNCTION("""COMPUTED_VALUE"""),18909.0)</f>
        <v>18909</v>
      </c>
      <c r="AE127" s="257">
        <f>IFERROR(__xludf.DUMMYFUNCTION("""COMPUTED_VALUE"""),3074.0)</f>
        <v>3074</v>
      </c>
      <c r="AF127" s="257">
        <f>IFERROR(__xludf.DUMMYFUNCTION("""COMPUTED_VALUE"""),18909.0)</f>
        <v>18909</v>
      </c>
      <c r="AG127" s="257">
        <f>IFERROR(__xludf.DUMMYFUNCTION("""COMPUTED_VALUE"""),0.0)</f>
        <v>0</v>
      </c>
      <c r="AH127" s="257">
        <f>IFERROR(__xludf.DUMMYFUNCTION("""COMPUTED_VALUE"""),0.0)</f>
        <v>0</v>
      </c>
    </row>
    <row r="128">
      <c r="A128" s="328">
        <f>IFERROR(__xludf.DUMMYFUNCTION("""COMPUTED_VALUE"""),44195.0)</f>
        <v>44195</v>
      </c>
      <c r="B128" s="329">
        <f>IFERROR(__xludf.DUMMYFUNCTION("""COMPUTED_VALUE"""),1539.0)</f>
        <v>1539</v>
      </c>
      <c r="C128" s="329">
        <f>IFERROR(__xludf.DUMMYFUNCTION("""COMPUTED_VALUE"""),1465.0)</f>
        <v>1465</v>
      </c>
      <c r="D128" s="329">
        <f>IFERROR(__xludf.DUMMYFUNCTION("""COMPUTED_VALUE"""),108075.0)</f>
        <v>108075</v>
      </c>
      <c r="E128" s="329">
        <f>IFERROR(__xludf.DUMMYFUNCTION("""COMPUTED_VALUE"""),20034.0)</f>
        <v>20034</v>
      </c>
      <c r="F128" s="257">
        <f>IFERROR(__xludf.DUMMYFUNCTION("""COMPUTED_VALUE"""),1894469.0)</f>
        <v>1894469</v>
      </c>
      <c r="G128" s="257">
        <f>IFERROR(__xludf.DUMMYFUNCTION("""COMPUTED_VALUE"""),21573.0)</f>
        <v>21573</v>
      </c>
      <c r="H128" s="257">
        <f>IFERROR(__xludf.DUMMYFUNCTION("""COMPUTED_VALUE"""),2002544.0)</f>
        <v>2002544</v>
      </c>
      <c r="I128" s="329">
        <f>IFERROR(__xludf.DUMMYFUNCTION("""COMPUTED_VALUE"""),1352.0)</f>
        <v>1352</v>
      </c>
      <c r="J128" s="329">
        <f>IFERROR(__xludf.DUMMYFUNCTION("""COMPUTED_VALUE"""),1287.0)</f>
        <v>1287</v>
      </c>
      <c r="K128" s="329">
        <f>IFERROR(__xludf.DUMMYFUNCTION("""COMPUTED_VALUE"""),89715.0)</f>
        <v>89715</v>
      </c>
      <c r="L128" s="329">
        <f>IFERROR(__xludf.DUMMYFUNCTION("""COMPUTED_VALUE"""),3473.0)</f>
        <v>3473</v>
      </c>
      <c r="M128" s="329">
        <f>IFERROR(__xludf.DUMMYFUNCTION("""COMPUTED_VALUE"""),528869.0)</f>
        <v>528869</v>
      </c>
      <c r="N128" s="329">
        <f>IFERROR(__xludf.DUMMYFUNCTION("""COMPUTED_VALUE"""),618584.0)</f>
        <v>618584</v>
      </c>
      <c r="O128" s="329">
        <f>IFERROR(__xludf.DUMMYFUNCTION("""COMPUTED_VALUE"""),60.0)</f>
        <v>60</v>
      </c>
      <c r="P128" s="329">
        <f>IFERROR(__xludf.DUMMYFUNCTION("""COMPUTED_VALUE"""),6561.0)</f>
        <v>6561</v>
      </c>
      <c r="Q128" s="329">
        <f>IFERROR(__xludf.DUMMYFUNCTION("""COMPUTED_VALUE"""),57.0)</f>
        <v>57</v>
      </c>
      <c r="R128" s="329">
        <f>IFERROR(__xludf.DUMMYFUNCTION("""COMPUTED_VALUE"""),5373.0)</f>
        <v>5373</v>
      </c>
      <c r="S128" s="329">
        <f>IFERROR(__xludf.DUMMYFUNCTION("""COMPUTED_VALUE"""),5.0)</f>
        <v>5</v>
      </c>
      <c r="T128" s="329">
        <f>IFERROR(__xludf.DUMMYFUNCTION("""COMPUTED_VALUE"""),714.0)</f>
        <v>714</v>
      </c>
      <c r="U128" s="329">
        <f>IFERROR(__xludf.DUMMYFUNCTION("""COMPUTED_VALUE"""),474.0)</f>
        <v>474</v>
      </c>
      <c r="V128" s="329">
        <f>IFERROR(__xludf.DUMMYFUNCTION("""COMPUTED_VALUE"""),476.0)</f>
        <v>476</v>
      </c>
      <c r="W128" s="329">
        <f>IFERROR(__xludf.DUMMYFUNCTION("""COMPUTED_VALUE"""),66.0)</f>
        <v>66</v>
      </c>
      <c r="X128" s="329">
        <f>IFERROR(__xludf.DUMMYFUNCTION("""COMPUTED_VALUE"""),49.0)</f>
        <v>49</v>
      </c>
      <c r="Y128" s="329">
        <f>IFERROR(__xludf.DUMMYFUNCTION("""COMPUTED_VALUE"""),11.0)</f>
        <v>11</v>
      </c>
      <c r="Z128" s="329">
        <f>IFERROR(__xludf.DUMMYFUNCTION("""COMPUTED_VALUE"""),1912.0)</f>
        <v>1912</v>
      </c>
      <c r="AA128" s="257">
        <f>IFERROR(__xludf.DUMMYFUNCTION("""COMPUTED_VALUE"""),3195.0)</f>
        <v>3195</v>
      </c>
      <c r="AB128" s="257">
        <f>IFERROR(__xludf.DUMMYFUNCTION("""COMPUTED_VALUE"""),0.0)</f>
        <v>0</v>
      </c>
      <c r="AC128" s="257">
        <f>IFERROR(__xludf.DUMMYFUNCTION("""COMPUTED_VALUE"""),3195.0)</f>
        <v>3195</v>
      </c>
      <c r="AD128" s="257">
        <f>IFERROR(__xludf.DUMMYFUNCTION("""COMPUTED_VALUE"""),22104.0)</f>
        <v>22104</v>
      </c>
      <c r="AE128" s="257">
        <f>IFERROR(__xludf.DUMMYFUNCTION("""COMPUTED_VALUE"""),3195.0)</f>
        <v>3195</v>
      </c>
      <c r="AF128" s="257">
        <f>IFERROR(__xludf.DUMMYFUNCTION("""COMPUTED_VALUE"""),22104.0)</f>
        <v>22104</v>
      </c>
      <c r="AG128" s="257">
        <f>IFERROR(__xludf.DUMMYFUNCTION("""COMPUTED_VALUE"""),0.0)</f>
        <v>0</v>
      </c>
      <c r="AH128" s="257">
        <f>IFERROR(__xludf.DUMMYFUNCTION("""COMPUTED_VALUE"""),0.0)</f>
        <v>0</v>
      </c>
    </row>
    <row r="129">
      <c r="A129" s="328">
        <f>IFERROR(__xludf.DUMMYFUNCTION("""COMPUTED_VALUE"""),44196.0)</f>
        <v>44196</v>
      </c>
      <c r="B129" s="329">
        <f>IFERROR(__xludf.DUMMYFUNCTION("""COMPUTED_VALUE"""),1008.0)</f>
        <v>1008</v>
      </c>
      <c r="C129" s="329">
        <f>IFERROR(__xludf.DUMMYFUNCTION("""COMPUTED_VALUE"""),1301.0)</f>
        <v>1301</v>
      </c>
      <c r="D129" s="329">
        <f>IFERROR(__xludf.DUMMYFUNCTION("""COMPUTED_VALUE"""),109083.0)</f>
        <v>109083</v>
      </c>
      <c r="E129" s="329">
        <f>IFERROR(__xludf.DUMMYFUNCTION("""COMPUTED_VALUE"""),13996.0)</f>
        <v>13996</v>
      </c>
      <c r="F129" s="257">
        <f>IFERROR(__xludf.DUMMYFUNCTION("""COMPUTED_VALUE"""),1908465.0)</f>
        <v>1908465</v>
      </c>
      <c r="G129" s="257">
        <f>IFERROR(__xludf.DUMMYFUNCTION("""COMPUTED_VALUE"""),15004.0)</f>
        <v>15004</v>
      </c>
      <c r="H129" s="257">
        <f>IFERROR(__xludf.DUMMYFUNCTION("""COMPUTED_VALUE"""),2017548.0)</f>
        <v>2017548</v>
      </c>
      <c r="I129" s="329">
        <f>IFERROR(__xludf.DUMMYFUNCTION("""COMPUTED_VALUE"""),875.0)</f>
        <v>875</v>
      </c>
      <c r="J129" s="329">
        <f>IFERROR(__xludf.DUMMYFUNCTION("""COMPUTED_VALUE"""),1149.0)</f>
        <v>1149</v>
      </c>
      <c r="K129" s="329">
        <f>IFERROR(__xludf.DUMMYFUNCTION("""COMPUTED_VALUE"""),90590.0)</f>
        <v>90590</v>
      </c>
      <c r="L129" s="329">
        <f>IFERROR(__xludf.DUMMYFUNCTION("""COMPUTED_VALUE"""),2917.0)</f>
        <v>2917</v>
      </c>
      <c r="M129" s="329">
        <f>IFERROR(__xludf.DUMMYFUNCTION("""COMPUTED_VALUE"""),531786.0)</f>
        <v>531786</v>
      </c>
      <c r="N129" s="329">
        <f>IFERROR(__xludf.DUMMYFUNCTION("""COMPUTED_VALUE"""),622376.0)</f>
        <v>622376</v>
      </c>
      <c r="O129" s="329">
        <f>IFERROR(__xludf.DUMMYFUNCTION("""COMPUTED_VALUE"""),57.0)</f>
        <v>57</v>
      </c>
      <c r="P129" s="329">
        <f>IFERROR(__xludf.DUMMYFUNCTION("""COMPUTED_VALUE"""),6618.0)</f>
        <v>6618</v>
      </c>
      <c r="Q129" s="329">
        <f>IFERROR(__xludf.DUMMYFUNCTION("""COMPUTED_VALUE"""),60.0)</f>
        <v>60</v>
      </c>
      <c r="R129" s="329">
        <f>IFERROR(__xludf.DUMMYFUNCTION("""COMPUTED_VALUE"""),5433.0)</f>
        <v>5433</v>
      </c>
      <c r="S129" s="329">
        <f>IFERROR(__xludf.DUMMYFUNCTION("""COMPUTED_VALUE"""),14.0)</f>
        <v>14</v>
      </c>
      <c r="T129" s="329">
        <f>IFERROR(__xludf.DUMMYFUNCTION("""COMPUTED_VALUE"""),728.0)</f>
        <v>728</v>
      </c>
      <c r="U129" s="329">
        <f>IFERROR(__xludf.DUMMYFUNCTION("""COMPUTED_VALUE"""),457.0)</f>
        <v>457</v>
      </c>
      <c r="V129" s="329">
        <f>IFERROR(__xludf.DUMMYFUNCTION("""COMPUTED_VALUE"""),469.0)</f>
        <v>469</v>
      </c>
      <c r="W129" s="329">
        <f>IFERROR(__xludf.DUMMYFUNCTION("""COMPUTED_VALUE"""),60.0)</f>
        <v>60</v>
      </c>
      <c r="X129" s="329">
        <f>IFERROR(__xludf.DUMMYFUNCTION("""COMPUTED_VALUE"""),44.0)</f>
        <v>44</v>
      </c>
      <c r="Y129" s="329">
        <f>IFERROR(__xludf.DUMMYFUNCTION("""COMPUTED_VALUE"""),19.0)</f>
        <v>19</v>
      </c>
      <c r="Z129" s="329">
        <f>IFERROR(__xludf.DUMMYFUNCTION("""COMPUTED_VALUE"""),1931.0)</f>
        <v>1931</v>
      </c>
      <c r="AA129" s="257">
        <f>IFERROR(__xludf.DUMMYFUNCTION("""COMPUTED_VALUE"""),794.0)</f>
        <v>794</v>
      </c>
      <c r="AB129" s="257">
        <f>IFERROR(__xludf.DUMMYFUNCTION("""COMPUTED_VALUE"""),0.0)</f>
        <v>0</v>
      </c>
      <c r="AC129" s="257">
        <f>IFERROR(__xludf.DUMMYFUNCTION("""COMPUTED_VALUE"""),794.0)</f>
        <v>794</v>
      </c>
      <c r="AD129" s="257">
        <f>IFERROR(__xludf.DUMMYFUNCTION("""COMPUTED_VALUE"""),22898.0)</f>
        <v>22898</v>
      </c>
      <c r="AE129" s="257">
        <f>IFERROR(__xludf.DUMMYFUNCTION("""COMPUTED_VALUE"""),794.0)</f>
        <v>794</v>
      </c>
      <c r="AF129" s="257">
        <f>IFERROR(__xludf.DUMMYFUNCTION("""COMPUTED_VALUE"""),22898.0)</f>
        <v>22898</v>
      </c>
      <c r="AG129" s="257">
        <f>IFERROR(__xludf.DUMMYFUNCTION("""COMPUTED_VALUE"""),0.0)</f>
        <v>0</v>
      </c>
      <c r="AH129" s="257">
        <f>IFERROR(__xludf.DUMMYFUNCTION("""COMPUTED_VALUE"""),0.0)</f>
        <v>0</v>
      </c>
    </row>
    <row r="130">
      <c r="A130" s="328">
        <f>IFERROR(__xludf.DUMMYFUNCTION("""COMPUTED_VALUE"""),44197.0)</f>
        <v>44197</v>
      </c>
      <c r="B130" s="329">
        <f>IFERROR(__xludf.DUMMYFUNCTION("""COMPUTED_VALUE"""),928.0)</f>
        <v>928</v>
      </c>
      <c r="C130" s="329">
        <f>IFERROR(__xludf.DUMMYFUNCTION("""COMPUTED_VALUE"""),1158.0)</f>
        <v>1158</v>
      </c>
      <c r="D130" s="329">
        <f>IFERROR(__xludf.DUMMYFUNCTION("""COMPUTED_VALUE"""),110011.0)</f>
        <v>110011</v>
      </c>
      <c r="E130" s="329">
        <f>IFERROR(__xludf.DUMMYFUNCTION("""COMPUTED_VALUE"""),10823.0)</f>
        <v>10823</v>
      </c>
      <c r="F130" s="257">
        <f>IFERROR(__xludf.DUMMYFUNCTION("""COMPUTED_VALUE"""),1919288.0)</f>
        <v>1919288</v>
      </c>
      <c r="G130" s="257">
        <f>IFERROR(__xludf.DUMMYFUNCTION("""COMPUTED_VALUE"""),11751.0)</f>
        <v>11751</v>
      </c>
      <c r="H130" s="257">
        <f>IFERROR(__xludf.DUMMYFUNCTION("""COMPUTED_VALUE"""),2029299.0)</f>
        <v>2029299</v>
      </c>
      <c r="I130" s="329">
        <f>IFERROR(__xludf.DUMMYFUNCTION("""COMPUTED_VALUE"""),806.0)</f>
        <v>806</v>
      </c>
      <c r="J130" s="329">
        <f>IFERROR(__xludf.DUMMYFUNCTION("""COMPUTED_VALUE"""),1011.0)</f>
        <v>1011</v>
      </c>
      <c r="K130" s="329">
        <f>IFERROR(__xludf.DUMMYFUNCTION("""COMPUTED_VALUE"""),91396.0)</f>
        <v>91396</v>
      </c>
      <c r="L130" s="329">
        <f>IFERROR(__xludf.DUMMYFUNCTION("""COMPUTED_VALUE"""),1924.0)</f>
        <v>1924</v>
      </c>
      <c r="M130" s="329">
        <f>IFERROR(__xludf.DUMMYFUNCTION("""COMPUTED_VALUE"""),533710.0)</f>
        <v>533710</v>
      </c>
      <c r="N130" s="329">
        <f>IFERROR(__xludf.DUMMYFUNCTION("""COMPUTED_VALUE"""),625106.0)</f>
        <v>625106</v>
      </c>
      <c r="O130" s="329">
        <f>IFERROR(__xludf.DUMMYFUNCTION("""COMPUTED_VALUE"""),52.0)</f>
        <v>52</v>
      </c>
      <c r="P130" s="329">
        <f>IFERROR(__xludf.DUMMYFUNCTION("""COMPUTED_VALUE"""),6670.0)</f>
        <v>6670</v>
      </c>
      <c r="Q130" s="329">
        <f>IFERROR(__xludf.DUMMYFUNCTION("""COMPUTED_VALUE"""),47.0)</f>
        <v>47</v>
      </c>
      <c r="R130" s="329">
        <f>IFERROR(__xludf.DUMMYFUNCTION("""COMPUTED_VALUE"""),5480.0)</f>
        <v>5480</v>
      </c>
      <c r="S130" s="329">
        <f>IFERROR(__xludf.DUMMYFUNCTION("""COMPUTED_VALUE"""),9.0)</f>
        <v>9</v>
      </c>
      <c r="T130" s="329">
        <f>IFERROR(__xludf.DUMMYFUNCTION("""COMPUTED_VALUE"""),737.0)</f>
        <v>737</v>
      </c>
      <c r="U130" s="329">
        <f>IFERROR(__xludf.DUMMYFUNCTION("""COMPUTED_VALUE"""),453.0)</f>
        <v>453</v>
      </c>
      <c r="V130" s="329">
        <f>IFERROR(__xludf.DUMMYFUNCTION("""COMPUTED_VALUE"""),461.0)</f>
        <v>461</v>
      </c>
      <c r="W130" s="329">
        <f>IFERROR(__xludf.DUMMYFUNCTION("""COMPUTED_VALUE"""),60.0)</f>
        <v>60</v>
      </c>
      <c r="X130" s="329">
        <f>IFERROR(__xludf.DUMMYFUNCTION("""COMPUTED_VALUE"""),46.0)</f>
        <v>46</v>
      </c>
      <c r="Y130" s="329">
        <f>IFERROR(__xludf.DUMMYFUNCTION("""COMPUTED_VALUE"""),14.0)</f>
        <v>14</v>
      </c>
      <c r="Z130" s="329">
        <f>IFERROR(__xludf.DUMMYFUNCTION("""COMPUTED_VALUE"""),1945.0)</f>
        <v>1945</v>
      </c>
      <c r="AA130" s="257">
        <f>IFERROR(__xludf.DUMMYFUNCTION("""COMPUTED_VALUE"""),63.0)</f>
        <v>63</v>
      </c>
      <c r="AB130" s="257">
        <f>IFERROR(__xludf.DUMMYFUNCTION("""COMPUTED_VALUE"""),0.0)</f>
        <v>0</v>
      </c>
      <c r="AC130" s="257">
        <f>IFERROR(__xludf.DUMMYFUNCTION("""COMPUTED_VALUE"""),63.0)</f>
        <v>63</v>
      </c>
      <c r="AD130" s="257">
        <f>IFERROR(__xludf.DUMMYFUNCTION("""COMPUTED_VALUE"""),22961.0)</f>
        <v>22961</v>
      </c>
      <c r="AE130" s="257">
        <f>IFERROR(__xludf.DUMMYFUNCTION("""COMPUTED_VALUE"""),63.0)</f>
        <v>63</v>
      </c>
      <c r="AF130" s="257">
        <f>IFERROR(__xludf.DUMMYFUNCTION("""COMPUTED_VALUE"""),22961.0)</f>
        <v>22961</v>
      </c>
      <c r="AG130" s="257">
        <f>IFERROR(__xludf.DUMMYFUNCTION("""COMPUTED_VALUE"""),0.0)</f>
        <v>0</v>
      </c>
      <c r="AH130" s="257">
        <f>IFERROR(__xludf.DUMMYFUNCTION("""COMPUTED_VALUE"""),0.0)</f>
        <v>0</v>
      </c>
    </row>
    <row r="131">
      <c r="A131" s="328">
        <f>IFERROR(__xludf.DUMMYFUNCTION("""COMPUTED_VALUE"""),44198.0)</f>
        <v>44198</v>
      </c>
      <c r="B131" s="329">
        <f>IFERROR(__xludf.DUMMYFUNCTION("""COMPUTED_VALUE"""),1027.0)</f>
        <v>1027</v>
      </c>
      <c r="C131" s="329">
        <f>IFERROR(__xludf.DUMMYFUNCTION("""COMPUTED_VALUE"""),988.0)</f>
        <v>988</v>
      </c>
      <c r="D131" s="329">
        <f>IFERROR(__xludf.DUMMYFUNCTION("""COMPUTED_VALUE"""),111038.0)</f>
        <v>111038</v>
      </c>
      <c r="E131" s="329">
        <f>IFERROR(__xludf.DUMMYFUNCTION("""COMPUTED_VALUE"""),9835.0)</f>
        <v>9835</v>
      </c>
      <c r="F131" s="257">
        <f>IFERROR(__xludf.DUMMYFUNCTION("""COMPUTED_VALUE"""),1929123.0)</f>
        <v>1929123</v>
      </c>
      <c r="G131" s="257">
        <f>IFERROR(__xludf.DUMMYFUNCTION("""COMPUTED_VALUE"""),10862.0)</f>
        <v>10862</v>
      </c>
      <c r="H131" s="257">
        <f>IFERROR(__xludf.DUMMYFUNCTION("""COMPUTED_VALUE"""),2040161.0)</f>
        <v>2040161</v>
      </c>
      <c r="I131" s="329">
        <f>IFERROR(__xludf.DUMMYFUNCTION("""COMPUTED_VALUE"""),901.0)</f>
        <v>901</v>
      </c>
      <c r="J131" s="329">
        <f>IFERROR(__xludf.DUMMYFUNCTION("""COMPUTED_VALUE"""),861.0)</f>
        <v>861</v>
      </c>
      <c r="K131" s="329">
        <f>IFERROR(__xludf.DUMMYFUNCTION("""COMPUTED_VALUE"""),92297.0)</f>
        <v>92297</v>
      </c>
      <c r="L131" s="329">
        <f>IFERROR(__xludf.DUMMYFUNCTION("""COMPUTED_VALUE"""),2177.0)</f>
        <v>2177</v>
      </c>
      <c r="M131" s="329">
        <f>IFERROR(__xludf.DUMMYFUNCTION("""COMPUTED_VALUE"""),535887.0)</f>
        <v>535887</v>
      </c>
      <c r="N131" s="329">
        <f>IFERROR(__xludf.DUMMYFUNCTION("""COMPUTED_VALUE"""),628184.0)</f>
        <v>628184</v>
      </c>
      <c r="O131" s="329">
        <f>IFERROR(__xludf.DUMMYFUNCTION("""COMPUTED_VALUE"""),51.0)</f>
        <v>51</v>
      </c>
      <c r="P131" s="329">
        <f>IFERROR(__xludf.DUMMYFUNCTION("""COMPUTED_VALUE"""),6721.0)</f>
        <v>6721</v>
      </c>
      <c r="Q131" s="329">
        <f>IFERROR(__xludf.DUMMYFUNCTION("""COMPUTED_VALUE"""),33.0)</f>
        <v>33</v>
      </c>
      <c r="R131" s="329">
        <f>IFERROR(__xludf.DUMMYFUNCTION("""COMPUTED_VALUE"""),5513.0)</f>
        <v>5513</v>
      </c>
      <c r="S131" s="329">
        <f>IFERROR(__xludf.DUMMYFUNCTION("""COMPUTED_VALUE"""),5.0)</f>
        <v>5</v>
      </c>
      <c r="T131" s="329">
        <f>IFERROR(__xludf.DUMMYFUNCTION("""COMPUTED_VALUE"""),742.0)</f>
        <v>742</v>
      </c>
      <c r="U131" s="329">
        <f>IFERROR(__xludf.DUMMYFUNCTION("""COMPUTED_VALUE"""),466.0)</f>
        <v>466</v>
      </c>
      <c r="V131" s="329">
        <f>IFERROR(__xludf.DUMMYFUNCTION("""COMPUTED_VALUE"""),459.0)</f>
        <v>459</v>
      </c>
      <c r="W131" s="329">
        <f>IFERROR(__xludf.DUMMYFUNCTION("""COMPUTED_VALUE"""),59.0)</f>
        <v>59</v>
      </c>
      <c r="X131" s="329">
        <f>IFERROR(__xludf.DUMMYFUNCTION("""COMPUTED_VALUE"""),42.0)</f>
        <v>42</v>
      </c>
      <c r="Y131" s="329">
        <f>IFERROR(__xludf.DUMMYFUNCTION("""COMPUTED_VALUE"""),13.0)</f>
        <v>13</v>
      </c>
      <c r="Z131" s="329">
        <f>IFERROR(__xludf.DUMMYFUNCTION("""COMPUTED_VALUE"""),1958.0)</f>
        <v>1958</v>
      </c>
      <c r="AA131" s="257">
        <f>IFERROR(__xludf.DUMMYFUNCTION("""COMPUTED_VALUE"""),1746.0)</f>
        <v>1746</v>
      </c>
      <c r="AB131" s="257">
        <f>IFERROR(__xludf.DUMMYFUNCTION("""COMPUTED_VALUE"""),20.0)</f>
        <v>20</v>
      </c>
      <c r="AC131" s="257">
        <f>IFERROR(__xludf.DUMMYFUNCTION("""COMPUTED_VALUE"""),1766.0)</f>
        <v>1766</v>
      </c>
      <c r="AD131" s="257">
        <f>IFERROR(__xludf.DUMMYFUNCTION("""COMPUTED_VALUE"""),24727.0)</f>
        <v>24727</v>
      </c>
      <c r="AE131" s="257">
        <f>IFERROR(__xludf.DUMMYFUNCTION("""COMPUTED_VALUE"""),1746.0)</f>
        <v>1746</v>
      </c>
      <c r="AF131" s="257">
        <f>IFERROR(__xludf.DUMMYFUNCTION("""COMPUTED_VALUE"""),24707.0)</f>
        <v>24707</v>
      </c>
      <c r="AG131" s="257">
        <f>IFERROR(__xludf.DUMMYFUNCTION("""COMPUTED_VALUE"""),20.0)</f>
        <v>20</v>
      </c>
      <c r="AH131" s="257">
        <f>IFERROR(__xludf.DUMMYFUNCTION("""COMPUTED_VALUE"""),20.0)</f>
        <v>20</v>
      </c>
    </row>
    <row r="132">
      <c r="A132" s="328">
        <f>IFERROR(__xludf.DUMMYFUNCTION("""COMPUTED_VALUE"""),44199.0)</f>
        <v>44199</v>
      </c>
      <c r="B132" s="329">
        <f>IFERROR(__xludf.DUMMYFUNCTION("""COMPUTED_VALUE"""),760.0)</f>
        <v>760</v>
      </c>
      <c r="C132" s="329">
        <f>IFERROR(__xludf.DUMMYFUNCTION("""COMPUTED_VALUE"""),905.0)</f>
        <v>905</v>
      </c>
      <c r="D132" s="329">
        <f>IFERROR(__xludf.DUMMYFUNCTION("""COMPUTED_VALUE"""),111798.0)</f>
        <v>111798</v>
      </c>
      <c r="E132" s="329">
        <f>IFERROR(__xludf.DUMMYFUNCTION("""COMPUTED_VALUE"""),8247.0)</f>
        <v>8247</v>
      </c>
      <c r="F132" s="257">
        <f>IFERROR(__xludf.DUMMYFUNCTION("""COMPUTED_VALUE"""),1937370.0)</f>
        <v>1937370</v>
      </c>
      <c r="G132" s="257">
        <f>IFERROR(__xludf.DUMMYFUNCTION("""COMPUTED_VALUE"""),9007.0)</f>
        <v>9007</v>
      </c>
      <c r="H132" s="257">
        <f>IFERROR(__xludf.DUMMYFUNCTION("""COMPUTED_VALUE"""),2049168.0)</f>
        <v>2049168</v>
      </c>
      <c r="I132" s="329">
        <f>IFERROR(__xludf.DUMMYFUNCTION("""COMPUTED_VALUE"""),651.0)</f>
        <v>651</v>
      </c>
      <c r="J132" s="329">
        <f>IFERROR(__xludf.DUMMYFUNCTION("""COMPUTED_VALUE"""),786.0)</f>
        <v>786</v>
      </c>
      <c r="K132" s="329">
        <f>IFERROR(__xludf.DUMMYFUNCTION("""COMPUTED_VALUE"""),92948.0)</f>
        <v>92948</v>
      </c>
      <c r="L132" s="329">
        <f>IFERROR(__xludf.DUMMYFUNCTION("""COMPUTED_VALUE"""),2123.0)</f>
        <v>2123</v>
      </c>
      <c r="M132" s="329">
        <f>IFERROR(__xludf.DUMMYFUNCTION("""COMPUTED_VALUE"""),538010.0)</f>
        <v>538010</v>
      </c>
      <c r="N132" s="329">
        <f>IFERROR(__xludf.DUMMYFUNCTION("""COMPUTED_VALUE"""),630958.0)</f>
        <v>630958</v>
      </c>
      <c r="O132" s="329">
        <f>IFERROR(__xludf.DUMMYFUNCTION("""COMPUTED_VALUE"""),39.0)</f>
        <v>39</v>
      </c>
      <c r="P132" s="329">
        <f>IFERROR(__xludf.DUMMYFUNCTION("""COMPUTED_VALUE"""),6760.0)</f>
        <v>6760</v>
      </c>
      <c r="Q132" s="329">
        <f>IFERROR(__xludf.DUMMYFUNCTION("""COMPUTED_VALUE"""),40.0)</f>
        <v>40</v>
      </c>
      <c r="R132" s="329">
        <f>IFERROR(__xludf.DUMMYFUNCTION("""COMPUTED_VALUE"""),5553.0)</f>
        <v>5553</v>
      </c>
      <c r="S132" s="329">
        <f>IFERROR(__xludf.DUMMYFUNCTION("""COMPUTED_VALUE"""),9.0)</f>
        <v>9</v>
      </c>
      <c r="T132" s="329">
        <f>IFERROR(__xludf.DUMMYFUNCTION("""COMPUTED_VALUE"""),751.0)</f>
        <v>751</v>
      </c>
      <c r="U132" s="329">
        <f>IFERROR(__xludf.DUMMYFUNCTION("""COMPUTED_VALUE"""),456.0)</f>
        <v>456</v>
      </c>
      <c r="V132" s="329">
        <f>IFERROR(__xludf.DUMMYFUNCTION("""COMPUTED_VALUE"""),458.0)</f>
        <v>458</v>
      </c>
      <c r="W132" s="329">
        <f>IFERROR(__xludf.DUMMYFUNCTION("""COMPUTED_VALUE"""),61.0)</f>
        <v>61</v>
      </c>
      <c r="X132" s="329">
        <f>IFERROR(__xludf.DUMMYFUNCTION("""COMPUTED_VALUE"""),42.0)</f>
        <v>42</v>
      </c>
      <c r="Y132" s="329">
        <f>IFERROR(__xludf.DUMMYFUNCTION("""COMPUTED_VALUE"""),17.0)</f>
        <v>17</v>
      </c>
      <c r="Z132" s="329">
        <f>IFERROR(__xludf.DUMMYFUNCTION("""COMPUTED_VALUE"""),1975.0)</f>
        <v>1975</v>
      </c>
      <c r="AA132" s="257">
        <f>IFERROR(__xludf.DUMMYFUNCTION("""COMPUTED_VALUE"""),1723.0)</f>
        <v>1723</v>
      </c>
      <c r="AB132" s="257">
        <f>IFERROR(__xludf.DUMMYFUNCTION("""COMPUTED_VALUE"""),102.0)</f>
        <v>102</v>
      </c>
      <c r="AC132" s="257">
        <f>IFERROR(__xludf.DUMMYFUNCTION("""COMPUTED_VALUE"""),1825.0)</f>
        <v>1825</v>
      </c>
      <c r="AD132" s="257">
        <f>IFERROR(__xludf.DUMMYFUNCTION("""COMPUTED_VALUE"""),26552.0)</f>
        <v>26552</v>
      </c>
      <c r="AE132" s="257">
        <f>IFERROR(__xludf.DUMMYFUNCTION("""COMPUTED_VALUE"""),1723.0)</f>
        <v>1723</v>
      </c>
      <c r="AF132" s="257">
        <f>IFERROR(__xludf.DUMMYFUNCTION("""COMPUTED_VALUE"""),26430.0)</f>
        <v>26430</v>
      </c>
      <c r="AG132" s="257">
        <f>IFERROR(__xludf.DUMMYFUNCTION("""COMPUTED_VALUE"""),102.0)</f>
        <v>102</v>
      </c>
      <c r="AH132" s="257">
        <f>IFERROR(__xludf.DUMMYFUNCTION("""COMPUTED_VALUE"""),122.0)</f>
        <v>122</v>
      </c>
    </row>
    <row r="133">
      <c r="A133" s="328">
        <f>IFERROR(__xludf.DUMMYFUNCTION("""COMPUTED_VALUE"""),44200.0)</f>
        <v>44200</v>
      </c>
      <c r="B133" s="329">
        <f>IFERROR(__xludf.DUMMYFUNCTION("""COMPUTED_VALUE"""),1264.0)</f>
        <v>1264</v>
      </c>
      <c r="C133" s="329">
        <f>IFERROR(__xludf.DUMMYFUNCTION("""COMPUTED_VALUE"""),1017.0)</f>
        <v>1017</v>
      </c>
      <c r="D133" s="329">
        <f>IFERROR(__xludf.DUMMYFUNCTION("""COMPUTED_VALUE"""),113062.0)</f>
        <v>113062</v>
      </c>
      <c r="E133" s="329">
        <f>IFERROR(__xludf.DUMMYFUNCTION("""COMPUTED_VALUE"""),11850.0)</f>
        <v>11850</v>
      </c>
      <c r="F133" s="257">
        <f>IFERROR(__xludf.DUMMYFUNCTION("""COMPUTED_VALUE"""),1949220.0)</f>
        <v>1949220</v>
      </c>
      <c r="G133" s="257">
        <f>IFERROR(__xludf.DUMMYFUNCTION("""COMPUTED_VALUE"""),13114.0)</f>
        <v>13114</v>
      </c>
      <c r="H133" s="257">
        <f>IFERROR(__xludf.DUMMYFUNCTION("""COMPUTED_VALUE"""),2062282.0)</f>
        <v>2062282</v>
      </c>
      <c r="I133" s="329">
        <f>IFERROR(__xludf.DUMMYFUNCTION("""COMPUTED_VALUE"""),1128.0)</f>
        <v>1128</v>
      </c>
      <c r="J133" s="329">
        <f>IFERROR(__xludf.DUMMYFUNCTION("""COMPUTED_VALUE"""),893.0)</f>
        <v>893</v>
      </c>
      <c r="K133" s="329">
        <f>IFERROR(__xludf.DUMMYFUNCTION("""COMPUTED_VALUE"""),94076.0)</f>
        <v>94076</v>
      </c>
      <c r="L133" s="329">
        <f>IFERROR(__xludf.DUMMYFUNCTION("""COMPUTED_VALUE"""),2959.0)</f>
        <v>2959</v>
      </c>
      <c r="M133" s="329">
        <f>IFERROR(__xludf.DUMMYFUNCTION("""COMPUTED_VALUE"""),540969.0)</f>
        <v>540969</v>
      </c>
      <c r="N133" s="329">
        <f>IFERROR(__xludf.DUMMYFUNCTION("""COMPUTED_VALUE"""),635045.0)</f>
        <v>635045</v>
      </c>
      <c r="O133" s="329">
        <f>IFERROR(__xludf.DUMMYFUNCTION("""COMPUTED_VALUE"""),68.0)</f>
        <v>68</v>
      </c>
      <c r="P133" s="329">
        <f>IFERROR(__xludf.DUMMYFUNCTION("""COMPUTED_VALUE"""),6828.0)</f>
        <v>6828</v>
      </c>
      <c r="Q133" s="329">
        <f>IFERROR(__xludf.DUMMYFUNCTION("""COMPUTED_VALUE"""),60.0)</f>
        <v>60</v>
      </c>
      <c r="R133" s="329">
        <f>IFERROR(__xludf.DUMMYFUNCTION("""COMPUTED_VALUE"""),5613.0)</f>
        <v>5613</v>
      </c>
      <c r="S133" s="329">
        <f>IFERROR(__xludf.DUMMYFUNCTION("""COMPUTED_VALUE"""),12.0)</f>
        <v>12</v>
      </c>
      <c r="T133" s="329">
        <f>IFERROR(__xludf.DUMMYFUNCTION("""COMPUTED_VALUE"""),763.0)</f>
        <v>763</v>
      </c>
      <c r="U133" s="329">
        <f>IFERROR(__xludf.DUMMYFUNCTION("""COMPUTED_VALUE"""),452.0)</f>
        <v>452</v>
      </c>
      <c r="V133" s="329">
        <f>IFERROR(__xludf.DUMMYFUNCTION("""COMPUTED_VALUE"""),458.0)</f>
        <v>458</v>
      </c>
      <c r="W133" s="329">
        <f>IFERROR(__xludf.DUMMYFUNCTION("""COMPUTED_VALUE"""),64.0)</f>
        <v>64</v>
      </c>
      <c r="X133" s="329">
        <f>IFERROR(__xludf.DUMMYFUNCTION("""COMPUTED_VALUE"""),42.0)</f>
        <v>42</v>
      </c>
      <c r="Y133" s="329">
        <f>IFERROR(__xludf.DUMMYFUNCTION("""COMPUTED_VALUE"""),19.0)</f>
        <v>19</v>
      </c>
      <c r="Z133" s="329">
        <f>IFERROR(__xludf.DUMMYFUNCTION("""COMPUTED_VALUE"""),1994.0)</f>
        <v>1994</v>
      </c>
      <c r="AA133" s="257">
        <f>IFERROR(__xludf.DUMMYFUNCTION("""COMPUTED_VALUE"""),2335.0)</f>
        <v>2335</v>
      </c>
      <c r="AB133" s="257">
        <f>IFERROR(__xludf.DUMMYFUNCTION("""COMPUTED_VALUE"""),282.0)</f>
        <v>282</v>
      </c>
      <c r="AC133" s="257">
        <f>IFERROR(__xludf.DUMMYFUNCTION("""COMPUTED_VALUE"""),2617.0)</f>
        <v>2617</v>
      </c>
      <c r="AD133" s="257">
        <f>IFERROR(__xludf.DUMMYFUNCTION("""COMPUTED_VALUE"""),29169.0)</f>
        <v>29169</v>
      </c>
      <c r="AE133" s="257">
        <f>IFERROR(__xludf.DUMMYFUNCTION("""COMPUTED_VALUE"""),2335.0)</f>
        <v>2335</v>
      </c>
      <c r="AF133" s="257">
        <f>IFERROR(__xludf.DUMMYFUNCTION("""COMPUTED_VALUE"""),28765.0)</f>
        <v>28765</v>
      </c>
      <c r="AG133" s="257">
        <f>IFERROR(__xludf.DUMMYFUNCTION("""COMPUTED_VALUE"""),282.0)</f>
        <v>282</v>
      </c>
      <c r="AH133" s="257">
        <f>IFERROR(__xludf.DUMMYFUNCTION("""COMPUTED_VALUE"""),404.0)</f>
        <v>404</v>
      </c>
    </row>
    <row r="134">
      <c r="A134" s="328">
        <f>IFERROR(__xludf.DUMMYFUNCTION("""COMPUTED_VALUE"""),44201.0)</f>
        <v>44201</v>
      </c>
      <c r="B134" s="329">
        <f>IFERROR(__xludf.DUMMYFUNCTION("""COMPUTED_VALUE"""),1884.0)</f>
        <v>1884</v>
      </c>
      <c r="C134" s="329">
        <f>IFERROR(__xludf.DUMMYFUNCTION("""COMPUTED_VALUE"""),1303.0)</f>
        <v>1303</v>
      </c>
      <c r="D134" s="329">
        <f>IFERROR(__xludf.DUMMYFUNCTION("""COMPUTED_VALUE"""),114946.0)</f>
        <v>114946</v>
      </c>
      <c r="E134" s="329">
        <f>IFERROR(__xludf.DUMMYFUNCTION("""COMPUTED_VALUE"""),19204.0)</f>
        <v>19204</v>
      </c>
      <c r="F134" s="257">
        <f>IFERROR(__xludf.DUMMYFUNCTION("""COMPUTED_VALUE"""),1968424.0)</f>
        <v>1968424</v>
      </c>
      <c r="G134" s="257">
        <f>IFERROR(__xludf.DUMMYFUNCTION("""COMPUTED_VALUE"""),21088.0)</f>
        <v>21088</v>
      </c>
      <c r="H134" s="257">
        <f>IFERROR(__xludf.DUMMYFUNCTION("""COMPUTED_VALUE"""),2083370.0)</f>
        <v>2083370</v>
      </c>
      <c r="I134" s="329">
        <f>IFERROR(__xludf.DUMMYFUNCTION("""COMPUTED_VALUE"""),1622.0)</f>
        <v>1622</v>
      </c>
      <c r="J134" s="329">
        <f>IFERROR(__xludf.DUMMYFUNCTION("""COMPUTED_VALUE"""),1134.0)</f>
        <v>1134</v>
      </c>
      <c r="K134" s="329">
        <f>IFERROR(__xludf.DUMMYFUNCTION("""COMPUTED_VALUE"""),95698.0)</f>
        <v>95698</v>
      </c>
      <c r="L134" s="329">
        <f>IFERROR(__xludf.DUMMYFUNCTION("""COMPUTED_VALUE"""),3858.0)</f>
        <v>3858</v>
      </c>
      <c r="M134" s="329">
        <f>IFERROR(__xludf.DUMMYFUNCTION("""COMPUTED_VALUE"""),544827.0)</f>
        <v>544827</v>
      </c>
      <c r="N134" s="329">
        <f>IFERROR(__xludf.DUMMYFUNCTION("""COMPUTED_VALUE"""),640525.0)</f>
        <v>640525</v>
      </c>
      <c r="O134" s="329">
        <f>IFERROR(__xludf.DUMMYFUNCTION("""COMPUTED_VALUE"""),57.0)</f>
        <v>57</v>
      </c>
      <c r="P134" s="329">
        <f>IFERROR(__xludf.DUMMYFUNCTION("""COMPUTED_VALUE"""),6885.0)</f>
        <v>6885</v>
      </c>
      <c r="Q134" s="329">
        <f>IFERROR(__xludf.DUMMYFUNCTION("""COMPUTED_VALUE"""),55.0)</f>
        <v>55</v>
      </c>
      <c r="R134" s="329">
        <f>IFERROR(__xludf.DUMMYFUNCTION("""COMPUTED_VALUE"""),5668.0)</f>
        <v>5668</v>
      </c>
      <c r="S134" s="329">
        <f>IFERROR(__xludf.DUMMYFUNCTION("""COMPUTED_VALUE"""),7.0)</f>
        <v>7</v>
      </c>
      <c r="T134" s="329">
        <f>IFERROR(__xludf.DUMMYFUNCTION("""COMPUTED_VALUE"""),770.0)</f>
        <v>770</v>
      </c>
      <c r="U134" s="329">
        <f>IFERROR(__xludf.DUMMYFUNCTION("""COMPUTED_VALUE"""),447.0)</f>
        <v>447</v>
      </c>
      <c r="V134" s="329">
        <f>IFERROR(__xludf.DUMMYFUNCTION("""COMPUTED_VALUE"""),452.0)</f>
        <v>452</v>
      </c>
      <c r="W134" s="329">
        <f>IFERROR(__xludf.DUMMYFUNCTION("""COMPUTED_VALUE"""),63.0)</f>
        <v>63</v>
      </c>
      <c r="X134" s="329">
        <f>IFERROR(__xludf.DUMMYFUNCTION("""COMPUTED_VALUE"""),41.0)</f>
        <v>41</v>
      </c>
      <c r="Y134" s="329">
        <f>IFERROR(__xludf.DUMMYFUNCTION("""COMPUTED_VALUE"""),13.0)</f>
        <v>13</v>
      </c>
      <c r="Z134" s="329">
        <f>IFERROR(__xludf.DUMMYFUNCTION("""COMPUTED_VALUE"""),2007.0)</f>
        <v>2007</v>
      </c>
      <c r="AA134" s="257">
        <f>IFERROR(__xludf.DUMMYFUNCTION("""COMPUTED_VALUE"""),2513.0)</f>
        <v>2513</v>
      </c>
      <c r="AB134" s="257">
        <f>IFERROR(__xludf.DUMMYFUNCTION("""COMPUTED_VALUE"""),239.0)</f>
        <v>239</v>
      </c>
      <c r="AC134" s="257">
        <f>IFERROR(__xludf.DUMMYFUNCTION("""COMPUTED_VALUE"""),2752.0)</f>
        <v>2752</v>
      </c>
      <c r="AD134" s="257">
        <f>IFERROR(__xludf.DUMMYFUNCTION("""COMPUTED_VALUE"""),31921.0)</f>
        <v>31921</v>
      </c>
      <c r="AE134" s="257">
        <f>IFERROR(__xludf.DUMMYFUNCTION("""COMPUTED_VALUE"""),2513.0)</f>
        <v>2513</v>
      </c>
      <c r="AF134" s="257">
        <f>IFERROR(__xludf.DUMMYFUNCTION("""COMPUTED_VALUE"""),31278.0)</f>
        <v>31278</v>
      </c>
      <c r="AG134" s="257">
        <f>IFERROR(__xludf.DUMMYFUNCTION("""COMPUTED_VALUE"""),239.0)</f>
        <v>239</v>
      </c>
      <c r="AH134" s="257">
        <f>IFERROR(__xludf.DUMMYFUNCTION("""COMPUTED_VALUE"""),643.0)</f>
        <v>643</v>
      </c>
    </row>
    <row r="135">
      <c r="A135" s="328">
        <f>IFERROR(__xludf.DUMMYFUNCTION("""COMPUTED_VALUE"""),44202.0)</f>
        <v>44202</v>
      </c>
      <c r="B135" s="329">
        <f>IFERROR(__xludf.DUMMYFUNCTION("""COMPUTED_VALUE"""),1373.0)</f>
        <v>1373</v>
      </c>
      <c r="C135" s="329">
        <f>IFERROR(__xludf.DUMMYFUNCTION("""COMPUTED_VALUE"""),1507.0)</f>
        <v>1507</v>
      </c>
      <c r="D135" s="329">
        <f>IFERROR(__xludf.DUMMYFUNCTION("""COMPUTED_VALUE"""),116319.0)</f>
        <v>116319</v>
      </c>
      <c r="E135" s="329">
        <f>IFERROR(__xludf.DUMMYFUNCTION("""COMPUTED_VALUE"""),18324.0)</f>
        <v>18324</v>
      </c>
      <c r="F135" s="257">
        <f>IFERROR(__xludf.DUMMYFUNCTION("""COMPUTED_VALUE"""),1986748.0)</f>
        <v>1986748</v>
      </c>
      <c r="G135" s="257">
        <f>IFERROR(__xludf.DUMMYFUNCTION("""COMPUTED_VALUE"""),19697.0)</f>
        <v>19697</v>
      </c>
      <c r="H135" s="257">
        <f>IFERROR(__xludf.DUMMYFUNCTION("""COMPUTED_VALUE"""),2103067.0)</f>
        <v>2103067</v>
      </c>
      <c r="I135" s="329">
        <f>IFERROR(__xludf.DUMMYFUNCTION("""COMPUTED_VALUE"""),1222.0)</f>
        <v>1222</v>
      </c>
      <c r="J135" s="329">
        <f>IFERROR(__xludf.DUMMYFUNCTION("""COMPUTED_VALUE"""),1324.0)</f>
        <v>1324</v>
      </c>
      <c r="K135" s="329">
        <f>IFERROR(__xludf.DUMMYFUNCTION("""COMPUTED_VALUE"""),96920.0)</f>
        <v>96920</v>
      </c>
      <c r="L135" s="329">
        <f>IFERROR(__xludf.DUMMYFUNCTION("""COMPUTED_VALUE"""),3062.0)</f>
        <v>3062</v>
      </c>
      <c r="M135" s="329">
        <f>IFERROR(__xludf.DUMMYFUNCTION("""COMPUTED_VALUE"""),547889.0)</f>
        <v>547889</v>
      </c>
      <c r="N135" s="329">
        <f>IFERROR(__xludf.DUMMYFUNCTION("""COMPUTED_VALUE"""),644809.0)</f>
        <v>644809</v>
      </c>
      <c r="O135" s="329">
        <f>IFERROR(__xludf.DUMMYFUNCTION("""COMPUTED_VALUE"""),59.0)</f>
        <v>59</v>
      </c>
      <c r="P135" s="329">
        <f>IFERROR(__xludf.DUMMYFUNCTION("""COMPUTED_VALUE"""),6944.0)</f>
        <v>6944</v>
      </c>
      <c r="Q135" s="329">
        <f>IFERROR(__xludf.DUMMYFUNCTION("""COMPUTED_VALUE"""),60.0)</f>
        <v>60</v>
      </c>
      <c r="R135" s="329">
        <f>IFERROR(__xludf.DUMMYFUNCTION("""COMPUTED_VALUE"""),5728.0)</f>
        <v>5728</v>
      </c>
      <c r="S135" s="329">
        <f>IFERROR(__xludf.DUMMYFUNCTION("""COMPUTED_VALUE"""),12.0)</f>
        <v>12</v>
      </c>
      <c r="T135" s="329">
        <f>IFERROR(__xludf.DUMMYFUNCTION("""COMPUTED_VALUE"""),782.0)</f>
        <v>782</v>
      </c>
      <c r="U135" s="329">
        <f>IFERROR(__xludf.DUMMYFUNCTION("""COMPUTED_VALUE"""),434.0)</f>
        <v>434</v>
      </c>
      <c r="V135" s="329">
        <f>IFERROR(__xludf.DUMMYFUNCTION("""COMPUTED_VALUE"""),444.0)</f>
        <v>444</v>
      </c>
      <c r="W135" s="329">
        <f>IFERROR(__xludf.DUMMYFUNCTION("""COMPUTED_VALUE"""),58.0)</f>
        <v>58</v>
      </c>
      <c r="X135" s="329">
        <f>IFERROR(__xludf.DUMMYFUNCTION("""COMPUTED_VALUE"""),39.0)</f>
        <v>39</v>
      </c>
      <c r="Y135" s="329">
        <f>IFERROR(__xludf.DUMMYFUNCTION("""COMPUTED_VALUE"""),19.0)</f>
        <v>19</v>
      </c>
      <c r="Z135" s="329">
        <f>IFERROR(__xludf.DUMMYFUNCTION("""COMPUTED_VALUE"""),2026.0)</f>
        <v>2026</v>
      </c>
      <c r="AA135" s="257">
        <f>IFERROR(__xludf.DUMMYFUNCTION("""COMPUTED_VALUE"""),1633.0)</f>
        <v>1633</v>
      </c>
      <c r="AB135" s="257">
        <f>IFERROR(__xludf.DUMMYFUNCTION("""COMPUTED_VALUE"""),469.0)</f>
        <v>469</v>
      </c>
      <c r="AC135" s="257">
        <f>IFERROR(__xludf.DUMMYFUNCTION("""COMPUTED_VALUE"""),2102.0)</f>
        <v>2102</v>
      </c>
      <c r="AD135" s="257">
        <f>IFERROR(__xludf.DUMMYFUNCTION("""COMPUTED_VALUE"""),34023.0)</f>
        <v>34023</v>
      </c>
      <c r="AE135" s="257">
        <f>IFERROR(__xludf.DUMMYFUNCTION("""COMPUTED_VALUE"""),1633.0)</f>
        <v>1633</v>
      </c>
      <c r="AF135" s="257">
        <f>IFERROR(__xludf.DUMMYFUNCTION("""COMPUTED_VALUE"""),32911.0)</f>
        <v>32911</v>
      </c>
      <c r="AG135" s="257">
        <f>IFERROR(__xludf.DUMMYFUNCTION("""COMPUTED_VALUE"""),469.0)</f>
        <v>469</v>
      </c>
      <c r="AH135" s="257">
        <f>IFERROR(__xludf.DUMMYFUNCTION("""COMPUTED_VALUE"""),1112.0)</f>
        <v>1112</v>
      </c>
    </row>
    <row r="136">
      <c r="A136" s="328">
        <f>IFERROR(__xludf.DUMMYFUNCTION("""COMPUTED_VALUE"""),44203.0)</f>
        <v>44203</v>
      </c>
      <c r="B136" s="329">
        <f>IFERROR(__xludf.DUMMYFUNCTION("""COMPUTED_VALUE"""),1262.0)</f>
        <v>1262</v>
      </c>
      <c r="C136" s="329">
        <f>IFERROR(__xludf.DUMMYFUNCTION("""COMPUTED_VALUE"""),1506.0)</f>
        <v>1506</v>
      </c>
      <c r="D136" s="329">
        <f>IFERROR(__xludf.DUMMYFUNCTION("""COMPUTED_VALUE"""),117581.0)</f>
        <v>117581</v>
      </c>
      <c r="E136" s="329">
        <f>IFERROR(__xludf.DUMMYFUNCTION("""COMPUTED_VALUE"""),17441.0)</f>
        <v>17441</v>
      </c>
      <c r="F136" s="257">
        <f>IFERROR(__xludf.DUMMYFUNCTION("""COMPUTED_VALUE"""),2004189.0)</f>
        <v>2004189</v>
      </c>
      <c r="G136" s="257">
        <f>IFERROR(__xludf.DUMMYFUNCTION("""COMPUTED_VALUE"""),18703.0)</f>
        <v>18703</v>
      </c>
      <c r="H136" s="257">
        <f>IFERROR(__xludf.DUMMYFUNCTION("""COMPUTED_VALUE"""),2121770.0)</f>
        <v>2121770</v>
      </c>
      <c r="I136" s="329">
        <f>IFERROR(__xludf.DUMMYFUNCTION("""COMPUTED_VALUE"""),1121.0)</f>
        <v>1121</v>
      </c>
      <c r="J136" s="329">
        <f>IFERROR(__xludf.DUMMYFUNCTION("""COMPUTED_VALUE"""),1322.0)</f>
        <v>1322</v>
      </c>
      <c r="K136" s="329">
        <f>IFERROR(__xludf.DUMMYFUNCTION("""COMPUTED_VALUE"""),98041.0)</f>
        <v>98041</v>
      </c>
      <c r="L136" s="329">
        <f>IFERROR(__xludf.DUMMYFUNCTION("""COMPUTED_VALUE"""),3265.0)</f>
        <v>3265</v>
      </c>
      <c r="M136" s="329">
        <f>IFERROR(__xludf.DUMMYFUNCTION("""COMPUTED_VALUE"""),551154.0)</f>
        <v>551154</v>
      </c>
      <c r="N136" s="329">
        <f>IFERROR(__xludf.DUMMYFUNCTION("""COMPUTED_VALUE"""),649195.0)</f>
        <v>649195</v>
      </c>
      <c r="O136" s="329">
        <f>IFERROR(__xludf.DUMMYFUNCTION("""COMPUTED_VALUE"""),51.0)</f>
        <v>51</v>
      </c>
      <c r="P136" s="329">
        <f>IFERROR(__xludf.DUMMYFUNCTION("""COMPUTED_VALUE"""),6995.0)</f>
        <v>6995</v>
      </c>
      <c r="Q136" s="329">
        <f>IFERROR(__xludf.DUMMYFUNCTION("""COMPUTED_VALUE"""),56.0)</f>
        <v>56</v>
      </c>
      <c r="R136" s="329">
        <f>IFERROR(__xludf.DUMMYFUNCTION("""COMPUTED_VALUE"""),5784.0)</f>
        <v>5784</v>
      </c>
      <c r="S136" s="329">
        <f>IFERROR(__xludf.DUMMYFUNCTION("""COMPUTED_VALUE"""),4.0)</f>
        <v>4</v>
      </c>
      <c r="T136" s="329">
        <f>IFERROR(__xludf.DUMMYFUNCTION("""COMPUTED_VALUE"""),786.0)</f>
        <v>786</v>
      </c>
      <c r="U136" s="329">
        <f>IFERROR(__xludf.DUMMYFUNCTION("""COMPUTED_VALUE"""),425.0)</f>
        <v>425</v>
      </c>
      <c r="V136" s="329">
        <f>IFERROR(__xludf.DUMMYFUNCTION("""COMPUTED_VALUE"""),435.0)</f>
        <v>435</v>
      </c>
      <c r="W136" s="329">
        <f>IFERROR(__xludf.DUMMYFUNCTION("""COMPUTED_VALUE"""),57.0)</f>
        <v>57</v>
      </c>
      <c r="X136" s="329">
        <f>IFERROR(__xludf.DUMMYFUNCTION("""COMPUTED_VALUE"""),36.0)</f>
        <v>36</v>
      </c>
      <c r="Y136" s="329">
        <f>IFERROR(__xludf.DUMMYFUNCTION("""COMPUTED_VALUE"""),11.0)</f>
        <v>11</v>
      </c>
      <c r="Z136" s="329">
        <f>IFERROR(__xludf.DUMMYFUNCTION("""COMPUTED_VALUE"""),2037.0)</f>
        <v>2037</v>
      </c>
      <c r="AA136" s="257">
        <f>IFERROR(__xludf.DUMMYFUNCTION("""COMPUTED_VALUE"""),1746.0)</f>
        <v>1746</v>
      </c>
      <c r="AB136" s="257">
        <f>IFERROR(__xludf.DUMMYFUNCTION("""COMPUTED_VALUE"""),705.0)</f>
        <v>705</v>
      </c>
      <c r="AC136" s="257">
        <f>IFERROR(__xludf.DUMMYFUNCTION("""COMPUTED_VALUE"""),2451.0)</f>
        <v>2451</v>
      </c>
      <c r="AD136" s="257">
        <f>IFERROR(__xludf.DUMMYFUNCTION("""COMPUTED_VALUE"""),36474.0)</f>
        <v>36474</v>
      </c>
      <c r="AE136" s="257">
        <f>IFERROR(__xludf.DUMMYFUNCTION("""COMPUTED_VALUE"""),1746.0)</f>
        <v>1746</v>
      </c>
      <c r="AF136" s="257">
        <f>IFERROR(__xludf.DUMMYFUNCTION("""COMPUTED_VALUE"""),34657.0)</f>
        <v>34657</v>
      </c>
      <c r="AG136" s="257">
        <f>IFERROR(__xludf.DUMMYFUNCTION("""COMPUTED_VALUE"""),705.0)</f>
        <v>705</v>
      </c>
      <c r="AH136" s="257">
        <f>IFERROR(__xludf.DUMMYFUNCTION("""COMPUTED_VALUE"""),1817.0)</f>
        <v>1817</v>
      </c>
    </row>
    <row r="137">
      <c r="A137" s="328">
        <f>IFERROR(__xludf.DUMMYFUNCTION("""COMPUTED_VALUE"""),44204.0)</f>
        <v>44204</v>
      </c>
      <c r="B137" s="329">
        <f>IFERROR(__xludf.DUMMYFUNCTION("""COMPUTED_VALUE"""),1422.0)</f>
        <v>1422</v>
      </c>
      <c r="C137" s="329">
        <f>IFERROR(__xludf.DUMMYFUNCTION("""COMPUTED_VALUE"""),1352.0)</f>
        <v>1352</v>
      </c>
      <c r="D137" s="329">
        <f>IFERROR(__xludf.DUMMYFUNCTION("""COMPUTED_VALUE"""),119003.0)</f>
        <v>119003</v>
      </c>
      <c r="E137" s="329">
        <f>IFERROR(__xludf.DUMMYFUNCTION("""COMPUTED_VALUE"""),20467.0)</f>
        <v>20467</v>
      </c>
      <c r="F137" s="257">
        <f>IFERROR(__xludf.DUMMYFUNCTION("""COMPUTED_VALUE"""),2024656.0)</f>
        <v>2024656</v>
      </c>
      <c r="G137" s="257">
        <f>IFERROR(__xludf.DUMMYFUNCTION("""COMPUTED_VALUE"""),21889.0)</f>
        <v>21889</v>
      </c>
      <c r="H137" s="257">
        <f>IFERROR(__xludf.DUMMYFUNCTION("""COMPUTED_VALUE"""),2143659.0)</f>
        <v>2143659</v>
      </c>
      <c r="I137" s="329">
        <f>IFERROR(__xludf.DUMMYFUNCTION("""COMPUTED_VALUE"""),1241.0)</f>
        <v>1241</v>
      </c>
      <c r="J137" s="329">
        <f>IFERROR(__xludf.DUMMYFUNCTION("""COMPUTED_VALUE"""),1195.0)</f>
        <v>1195</v>
      </c>
      <c r="K137" s="329">
        <f>IFERROR(__xludf.DUMMYFUNCTION("""COMPUTED_VALUE"""),99282.0)</f>
        <v>99282</v>
      </c>
      <c r="L137" s="329">
        <f>IFERROR(__xludf.DUMMYFUNCTION("""COMPUTED_VALUE"""),3888.0)</f>
        <v>3888</v>
      </c>
      <c r="M137" s="329">
        <f>IFERROR(__xludf.DUMMYFUNCTION("""COMPUTED_VALUE"""),555042.0)</f>
        <v>555042</v>
      </c>
      <c r="N137" s="329">
        <f>IFERROR(__xludf.DUMMYFUNCTION("""COMPUTED_VALUE"""),654324.0)</f>
        <v>654324</v>
      </c>
      <c r="O137" s="329">
        <f>IFERROR(__xludf.DUMMYFUNCTION("""COMPUTED_VALUE"""),56.0)</f>
        <v>56</v>
      </c>
      <c r="P137" s="329">
        <f>IFERROR(__xludf.DUMMYFUNCTION("""COMPUTED_VALUE"""),7051.0)</f>
        <v>7051</v>
      </c>
      <c r="Q137" s="329">
        <f>IFERROR(__xludf.DUMMYFUNCTION("""COMPUTED_VALUE"""),51.0)</f>
        <v>51</v>
      </c>
      <c r="R137" s="329">
        <f>IFERROR(__xludf.DUMMYFUNCTION("""COMPUTED_VALUE"""),5835.0)</f>
        <v>5835</v>
      </c>
      <c r="S137" s="329">
        <f>IFERROR(__xludf.DUMMYFUNCTION("""COMPUTED_VALUE"""),6.0)</f>
        <v>6</v>
      </c>
      <c r="T137" s="329">
        <f>IFERROR(__xludf.DUMMYFUNCTION("""COMPUTED_VALUE"""),792.0)</f>
        <v>792</v>
      </c>
      <c r="U137" s="329">
        <f>IFERROR(__xludf.DUMMYFUNCTION("""COMPUTED_VALUE"""),424.0)</f>
        <v>424</v>
      </c>
      <c r="V137" s="329">
        <f>IFERROR(__xludf.DUMMYFUNCTION("""COMPUTED_VALUE"""),428.0)</f>
        <v>428</v>
      </c>
      <c r="W137" s="329">
        <f>IFERROR(__xludf.DUMMYFUNCTION("""COMPUTED_VALUE"""),54.0)</f>
        <v>54</v>
      </c>
      <c r="X137" s="329">
        <f>IFERROR(__xludf.DUMMYFUNCTION("""COMPUTED_VALUE"""),35.0)</f>
        <v>35</v>
      </c>
      <c r="Y137" s="329">
        <f>IFERROR(__xludf.DUMMYFUNCTION("""COMPUTED_VALUE"""),13.0)</f>
        <v>13</v>
      </c>
      <c r="Z137" s="329">
        <f>IFERROR(__xludf.DUMMYFUNCTION("""COMPUTED_VALUE"""),2050.0)</f>
        <v>2050</v>
      </c>
      <c r="AA137" s="257">
        <f>IFERROR(__xludf.DUMMYFUNCTION("""COMPUTED_VALUE"""),1788.0)</f>
        <v>1788</v>
      </c>
      <c r="AB137" s="257">
        <f>IFERROR(__xludf.DUMMYFUNCTION("""COMPUTED_VALUE"""),1553.0)</f>
        <v>1553</v>
      </c>
      <c r="AC137" s="257">
        <f>IFERROR(__xludf.DUMMYFUNCTION("""COMPUTED_VALUE"""),3341.0)</f>
        <v>3341</v>
      </c>
      <c r="AD137" s="257">
        <f>IFERROR(__xludf.DUMMYFUNCTION("""COMPUTED_VALUE"""),39815.0)</f>
        <v>39815</v>
      </c>
      <c r="AE137" s="257">
        <f>IFERROR(__xludf.DUMMYFUNCTION("""COMPUTED_VALUE"""),1788.0)</f>
        <v>1788</v>
      </c>
      <c r="AF137" s="257">
        <f>IFERROR(__xludf.DUMMYFUNCTION("""COMPUTED_VALUE"""),36445.0)</f>
        <v>36445</v>
      </c>
      <c r="AG137" s="257">
        <f>IFERROR(__xludf.DUMMYFUNCTION("""COMPUTED_VALUE"""),1553.0)</f>
        <v>1553</v>
      </c>
      <c r="AH137" s="257">
        <f>IFERROR(__xludf.DUMMYFUNCTION("""COMPUTED_VALUE"""),3370.0)</f>
        <v>3370</v>
      </c>
    </row>
    <row r="138">
      <c r="A138" s="328">
        <f>IFERROR(__xludf.DUMMYFUNCTION("""COMPUTED_VALUE"""),44205.0)</f>
        <v>44205</v>
      </c>
      <c r="B138" s="329">
        <f>IFERROR(__xludf.DUMMYFUNCTION("""COMPUTED_VALUE"""),1287.0)</f>
        <v>1287</v>
      </c>
      <c r="C138" s="329">
        <f>IFERROR(__xludf.DUMMYFUNCTION("""COMPUTED_VALUE"""),1324.0)</f>
        <v>1324</v>
      </c>
      <c r="D138" s="329">
        <f>IFERROR(__xludf.DUMMYFUNCTION("""COMPUTED_VALUE"""),120290.0)</f>
        <v>120290</v>
      </c>
      <c r="E138" s="329">
        <f>IFERROR(__xludf.DUMMYFUNCTION("""COMPUTED_VALUE"""),17328.0)</f>
        <v>17328</v>
      </c>
      <c r="F138" s="257">
        <f>IFERROR(__xludf.DUMMYFUNCTION("""COMPUTED_VALUE"""),2041984.0)</f>
        <v>2041984</v>
      </c>
      <c r="G138" s="257">
        <f>IFERROR(__xludf.DUMMYFUNCTION("""COMPUTED_VALUE"""),18615.0)</f>
        <v>18615</v>
      </c>
      <c r="H138" s="257">
        <f>IFERROR(__xludf.DUMMYFUNCTION("""COMPUTED_VALUE"""),2162274.0)</f>
        <v>2162274</v>
      </c>
      <c r="I138" s="329">
        <f>IFERROR(__xludf.DUMMYFUNCTION("""COMPUTED_VALUE"""),1084.0)</f>
        <v>1084</v>
      </c>
      <c r="J138" s="329">
        <f>IFERROR(__xludf.DUMMYFUNCTION("""COMPUTED_VALUE"""),1149.0)</f>
        <v>1149</v>
      </c>
      <c r="K138" s="329">
        <f>IFERROR(__xludf.DUMMYFUNCTION("""COMPUTED_VALUE"""),100366.0)</f>
        <v>100366</v>
      </c>
      <c r="L138" s="329">
        <f>IFERROR(__xludf.DUMMYFUNCTION("""COMPUTED_VALUE"""),3402.0)</f>
        <v>3402</v>
      </c>
      <c r="M138" s="329">
        <f>IFERROR(__xludf.DUMMYFUNCTION("""COMPUTED_VALUE"""),558444.0)</f>
        <v>558444</v>
      </c>
      <c r="N138" s="329">
        <f>IFERROR(__xludf.DUMMYFUNCTION("""COMPUTED_VALUE"""),658810.0)</f>
        <v>658810</v>
      </c>
      <c r="O138" s="329">
        <f>IFERROR(__xludf.DUMMYFUNCTION("""COMPUTED_VALUE"""),65.0)</f>
        <v>65</v>
      </c>
      <c r="P138" s="329">
        <f>IFERROR(__xludf.DUMMYFUNCTION("""COMPUTED_VALUE"""),7116.0)</f>
        <v>7116</v>
      </c>
      <c r="Q138" s="329">
        <f>IFERROR(__xludf.DUMMYFUNCTION("""COMPUTED_VALUE"""),39.0)</f>
        <v>39</v>
      </c>
      <c r="R138" s="329">
        <f>IFERROR(__xludf.DUMMYFUNCTION("""COMPUTED_VALUE"""),5874.0)</f>
        <v>5874</v>
      </c>
      <c r="S138" s="329">
        <f>IFERROR(__xludf.DUMMYFUNCTION("""COMPUTED_VALUE"""),6.0)</f>
        <v>6</v>
      </c>
      <c r="T138" s="329">
        <f>IFERROR(__xludf.DUMMYFUNCTION("""COMPUTED_VALUE"""),798.0)</f>
        <v>798</v>
      </c>
      <c r="U138" s="329">
        <f>IFERROR(__xludf.DUMMYFUNCTION("""COMPUTED_VALUE"""),444.0)</f>
        <v>444</v>
      </c>
      <c r="V138" s="329">
        <f>IFERROR(__xludf.DUMMYFUNCTION("""COMPUTED_VALUE"""),431.0)</f>
        <v>431</v>
      </c>
      <c r="W138" s="329">
        <f>IFERROR(__xludf.DUMMYFUNCTION("""COMPUTED_VALUE"""),52.0)</f>
        <v>52</v>
      </c>
      <c r="X138" s="329">
        <f>IFERROR(__xludf.DUMMYFUNCTION("""COMPUTED_VALUE"""),33.0)</f>
        <v>33</v>
      </c>
      <c r="Y138" s="329">
        <f>IFERROR(__xludf.DUMMYFUNCTION("""COMPUTED_VALUE"""),15.0)</f>
        <v>15</v>
      </c>
      <c r="Z138" s="329">
        <f>IFERROR(__xludf.DUMMYFUNCTION("""COMPUTED_VALUE"""),2065.0)</f>
        <v>2065</v>
      </c>
      <c r="AA138" s="257">
        <f>IFERROR(__xludf.DUMMYFUNCTION("""COMPUTED_VALUE"""),1472.0)</f>
        <v>1472</v>
      </c>
      <c r="AB138" s="257">
        <f>IFERROR(__xludf.DUMMYFUNCTION("""COMPUTED_VALUE"""),696.0)</f>
        <v>696</v>
      </c>
      <c r="AC138" s="257">
        <f>IFERROR(__xludf.DUMMYFUNCTION("""COMPUTED_VALUE"""),2168.0)</f>
        <v>2168</v>
      </c>
      <c r="AD138" s="257">
        <f>IFERROR(__xludf.DUMMYFUNCTION("""COMPUTED_VALUE"""),41983.0)</f>
        <v>41983</v>
      </c>
      <c r="AE138" s="257">
        <f>IFERROR(__xludf.DUMMYFUNCTION("""COMPUTED_VALUE"""),1472.0)</f>
        <v>1472</v>
      </c>
      <c r="AF138" s="257">
        <f>IFERROR(__xludf.DUMMYFUNCTION("""COMPUTED_VALUE"""),37917.0)</f>
        <v>37917</v>
      </c>
      <c r="AG138" s="257">
        <f>IFERROR(__xludf.DUMMYFUNCTION("""COMPUTED_VALUE"""),696.0)</f>
        <v>696</v>
      </c>
      <c r="AH138" s="257">
        <f>IFERROR(__xludf.DUMMYFUNCTION("""COMPUTED_VALUE"""),4066.0)</f>
        <v>4066</v>
      </c>
    </row>
    <row r="139">
      <c r="A139" s="328">
        <f>IFERROR(__xludf.DUMMYFUNCTION("""COMPUTED_VALUE"""),44206.0)</f>
        <v>44206</v>
      </c>
      <c r="B139" s="329">
        <f>IFERROR(__xludf.DUMMYFUNCTION("""COMPUTED_VALUE"""),739.0)</f>
        <v>739</v>
      </c>
      <c r="C139" s="329">
        <f>IFERROR(__xludf.DUMMYFUNCTION("""COMPUTED_VALUE"""),1149.0)</f>
        <v>1149</v>
      </c>
      <c r="D139" s="329">
        <f>IFERROR(__xludf.DUMMYFUNCTION("""COMPUTED_VALUE"""),121029.0)</f>
        <v>121029</v>
      </c>
      <c r="E139" s="329">
        <f>IFERROR(__xludf.DUMMYFUNCTION("""COMPUTED_VALUE"""),8781.0)</f>
        <v>8781</v>
      </c>
      <c r="F139" s="257">
        <f>IFERROR(__xludf.DUMMYFUNCTION("""COMPUTED_VALUE"""),2050765.0)</f>
        <v>2050765</v>
      </c>
      <c r="G139" s="257">
        <f>IFERROR(__xludf.DUMMYFUNCTION("""COMPUTED_VALUE"""),9520.0)</f>
        <v>9520</v>
      </c>
      <c r="H139" s="257">
        <f>IFERROR(__xludf.DUMMYFUNCTION("""COMPUTED_VALUE"""),2171794.0)</f>
        <v>2171794</v>
      </c>
      <c r="I139" s="329">
        <f>IFERROR(__xludf.DUMMYFUNCTION("""COMPUTED_VALUE"""),661.0)</f>
        <v>661</v>
      </c>
      <c r="J139" s="329">
        <f>IFERROR(__xludf.DUMMYFUNCTION("""COMPUTED_VALUE"""),995.0)</f>
        <v>995</v>
      </c>
      <c r="K139" s="329">
        <f>IFERROR(__xludf.DUMMYFUNCTION("""COMPUTED_VALUE"""),101027.0)</f>
        <v>101027</v>
      </c>
      <c r="L139" s="329">
        <f>IFERROR(__xludf.DUMMYFUNCTION("""COMPUTED_VALUE"""),2073.0)</f>
        <v>2073</v>
      </c>
      <c r="M139" s="329">
        <f>IFERROR(__xludf.DUMMYFUNCTION("""COMPUTED_VALUE"""),560517.0)</f>
        <v>560517</v>
      </c>
      <c r="N139" s="329">
        <f>IFERROR(__xludf.DUMMYFUNCTION("""COMPUTED_VALUE"""),661544.0)</f>
        <v>661544</v>
      </c>
      <c r="O139" s="329">
        <f>IFERROR(__xludf.DUMMYFUNCTION("""COMPUTED_VALUE"""),45.0)</f>
        <v>45</v>
      </c>
      <c r="P139" s="329">
        <f>IFERROR(__xludf.DUMMYFUNCTION("""COMPUTED_VALUE"""),7161.0)</f>
        <v>7161</v>
      </c>
      <c r="Q139" s="329">
        <f>IFERROR(__xludf.DUMMYFUNCTION("""COMPUTED_VALUE"""),40.0)</f>
        <v>40</v>
      </c>
      <c r="R139" s="329">
        <f>IFERROR(__xludf.DUMMYFUNCTION("""COMPUTED_VALUE"""),5914.0)</f>
        <v>5914</v>
      </c>
      <c r="S139" s="329">
        <f>IFERROR(__xludf.DUMMYFUNCTION("""COMPUTED_VALUE"""),5.0)</f>
        <v>5</v>
      </c>
      <c r="T139" s="329">
        <f>IFERROR(__xludf.DUMMYFUNCTION("""COMPUTED_VALUE"""),803.0)</f>
        <v>803</v>
      </c>
      <c r="U139" s="329">
        <f>IFERROR(__xludf.DUMMYFUNCTION("""COMPUTED_VALUE"""),444.0)</f>
        <v>444</v>
      </c>
      <c r="V139" s="329">
        <f>IFERROR(__xludf.DUMMYFUNCTION("""COMPUTED_VALUE"""),437.0)</f>
        <v>437</v>
      </c>
      <c r="W139" s="329">
        <f>IFERROR(__xludf.DUMMYFUNCTION("""COMPUTED_VALUE"""),55.0)</f>
        <v>55</v>
      </c>
      <c r="X139" s="329">
        <f>IFERROR(__xludf.DUMMYFUNCTION("""COMPUTED_VALUE"""),34.0)</f>
        <v>34</v>
      </c>
      <c r="Y139" s="329">
        <f>IFERROR(__xludf.DUMMYFUNCTION("""COMPUTED_VALUE"""),15.0)</f>
        <v>15</v>
      </c>
      <c r="Z139" s="329">
        <f>IFERROR(__xludf.DUMMYFUNCTION("""COMPUTED_VALUE"""),2080.0)</f>
        <v>2080</v>
      </c>
      <c r="AA139" s="257">
        <f>IFERROR(__xludf.DUMMYFUNCTION("""COMPUTED_VALUE"""),338.0)</f>
        <v>338</v>
      </c>
      <c r="AB139" s="257">
        <f>IFERROR(__xludf.DUMMYFUNCTION("""COMPUTED_VALUE"""),760.0)</f>
        <v>760</v>
      </c>
      <c r="AC139" s="257">
        <f>IFERROR(__xludf.DUMMYFUNCTION("""COMPUTED_VALUE"""),1098.0)</f>
        <v>1098</v>
      </c>
      <c r="AD139" s="257">
        <f>IFERROR(__xludf.DUMMYFUNCTION("""COMPUTED_VALUE"""),43081.0)</f>
        <v>43081</v>
      </c>
      <c r="AE139" s="257">
        <f>IFERROR(__xludf.DUMMYFUNCTION("""COMPUTED_VALUE"""),338.0)</f>
        <v>338</v>
      </c>
      <c r="AF139" s="257">
        <f>IFERROR(__xludf.DUMMYFUNCTION("""COMPUTED_VALUE"""),38255.0)</f>
        <v>38255</v>
      </c>
      <c r="AG139" s="257">
        <f>IFERROR(__xludf.DUMMYFUNCTION("""COMPUTED_VALUE"""),760.0)</f>
        <v>760</v>
      </c>
      <c r="AH139" s="257">
        <f>IFERROR(__xludf.DUMMYFUNCTION("""COMPUTED_VALUE"""),4826.0)</f>
        <v>4826</v>
      </c>
    </row>
    <row r="140">
      <c r="A140" s="328">
        <f>IFERROR(__xludf.DUMMYFUNCTION("""COMPUTED_VALUE"""),44207.0)</f>
        <v>44207</v>
      </c>
      <c r="B140" s="329">
        <f>IFERROR(__xludf.DUMMYFUNCTION("""COMPUTED_VALUE"""),1016.0)</f>
        <v>1016</v>
      </c>
      <c r="C140" s="329">
        <f>IFERROR(__xludf.DUMMYFUNCTION("""COMPUTED_VALUE"""),1014.0)</f>
        <v>1014</v>
      </c>
      <c r="D140" s="329">
        <f>IFERROR(__xludf.DUMMYFUNCTION("""COMPUTED_VALUE"""),122045.0)</f>
        <v>122045</v>
      </c>
      <c r="E140" s="329">
        <f>IFERROR(__xludf.DUMMYFUNCTION("""COMPUTED_VALUE"""),13398.0)</f>
        <v>13398</v>
      </c>
      <c r="F140" s="257">
        <f>IFERROR(__xludf.DUMMYFUNCTION("""COMPUTED_VALUE"""),2064163.0)</f>
        <v>2064163</v>
      </c>
      <c r="G140" s="257">
        <f>IFERROR(__xludf.DUMMYFUNCTION("""COMPUTED_VALUE"""),14414.0)</f>
        <v>14414</v>
      </c>
      <c r="H140" s="257">
        <f>IFERROR(__xludf.DUMMYFUNCTION("""COMPUTED_VALUE"""),2186208.0)</f>
        <v>2186208</v>
      </c>
      <c r="I140" s="329">
        <f>IFERROR(__xludf.DUMMYFUNCTION("""COMPUTED_VALUE"""),893.0)</f>
        <v>893</v>
      </c>
      <c r="J140" s="329">
        <f>IFERROR(__xludf.DUMMYFUNCTION("""COMPUTED_VALUE"""),879.0)</f>
        <v>879</v>
      </c>
      <c r="K140" s="329">
        <f>IFERROR(__xludf.DUMMYFUNCTION("""COMPUTED_VALUE"""),101920.0)</f>
        <v>101920</v>
      </c>
      <c r="L140" s="329">
        <f>IFERROR(__xludf.DUMMYFUNCTION("""COMPUTED_VALUE"""),3366.0)</f>
        <v>3366</v>
      </c>
      <c r="M140" s="329">
        <f>IFERROR(__xludf.DUMMYFUNCTION("""COMPUTED_VALUE"""),563883.0)</f>
        <v>563883</v>
      </c>
      <c r="N140" s="329">
        <f>IFERROR(__xludf.DUMMYFUNCTION("""COMPUTED_VALUE"""),665803.0)</f>
        <v>665803</v>
      </c>
      <c r="O140" s="329">
        <f>IFERROR(__xludf.DUMMYFUNCTION("""COMPUTED_VALUE"""),64.0)</f>
        <v>64</v>
      </c>
      <c r="P140" s="329">
        <f>IFERROR(__xludf.DUMMYFUNCTION("""COMPUTED_VALUE"""),7225.0)</f>
        <v>7225</v>
      </c>
      <c r="Q140" s="329">
        <f>IFERROR(__xludf.DUMMYFUNCTION("""COMPUTED_VALUE"""),50.0)</f>
        <v>50</v>
      </c>
      <c r="R140" s="329">
        <f>IFERROR(__xludf.DUMMYFUNCTION("""COMPUTED_VALUE"""),5964.0)</f>
        <v>5964</v>
      </c>
      <c r="S140" s="329">
        <f>IFERROR(__xludf.DUMMYFUNCTION("""COMPUTED_VALUE"""),9.0)</f>
        <v>9</v>
      </c>
      <c r="T140" s="329">
        <f>IFERROR(__xludf.DUMMYFUNCTION("""COMPUTED_VALUE"""),812.0)</f>
        <v>812</v>
      </c>
      <c r="U140" s="329">
        <f>IFERROR(__xludf.DUMMYFUNCTION("""COMPUTED_VALUE"""),449.0)</f>
        <v>449</v>
      </c>
      <c r="V140" s="329">
        <f>IFERROR(__xludf.DUMMYFUNCTION("""COMPUTED_VALUE"""),446.0)</f>
        <v>446</v>
      </c>
      <c r="W140" s="329">
        <f>IFERROR(__xludf.DUMMYFUNCTION("""COMPUTED_VALUE"""),54.0)</f>
        <v>54</v>
      </c>
      <c r="X140" s="329">
        <f>IFERROR(__xludf.DUMMYFUNCTION("""COMPUTED_VALUE"""),36.0)</f>
        <v>36</v>
      </c>
      <c r="Y140" s="329">
        <f>IFERROR(__xludf.DUMMYFUNCTION("""COMPUTED_VALUE"""),22.0)</f>
        <v>22</v>
      </c>
      <c r="Z140" s="329">
        <f>IFERROR(__xludf.DUMMYFUNCTION("""COMPUTED_VALUE"""),2102.0)</f>
        <v>2102</v>
      </c>
      <c r="AA140" s="257">
        <f>IFERROR(__xludf.DUMMYFUNCTION("""COMPUTED_VALUE"""),1311.0)</f>
        <v>1311</v>
      </c>
      <c r="AB140" s="257">
        <f>IFERROR(__xludf.DUMMYFUNCTION("""COMPUTED_VALUE"""),1513.0)</f>
        <v>1513</v>
      </c>
      <c r="AC140" s="257">
        <f>IFERROR(__xludf.DUMMYFUNCTION("""COMPUTED_VALUE"""),2824.0)</f>
        <v>2824</v>
      </c>
      <c r="AD140" s="257">
        <f>IFERROR(__xludf.DUMMYFUNCTION("""COMPUTED_VALUE"""),45905.0)</f>
        <v>45905</v>
      </c>
      <c r="AE140" s="257">
        <f>IFERROR(__xludf.DUMMYFUNCTION("""COMPUTED_VALUE"""),1311.0)</f>
        <v>1311</v>
      </c>
      <c r="AF140" s="257">
        <f>IFERROR(__xludf.DUMMYFUNCTION("""COMPUTED_VALUE"""),39566.0)</f>
        <v>39566</v>
      </c>
      <c r="AG140" s="257">
        <f>IFERROR(__xludf.DUMMYFUNCTION("""COMPUTED_VALUE"""),1513.0)</f>
        <v>1513</v>
      </c>
      <c r="AH140" s="257">
        <f>IFERROR(__xludf.DUMMYFUNCTION("""COMPUTED_VALUE"""),6339.0)</f>
        <v>6339</v>
      </c>
    </row>
    <row r="141">
      <c r="A141" s="328">
        <f>IFERROR(__xludf.DUMMYFUNCTION("""COMPUTED_VALUE"""),44208.0)</f>
        <v>44208</v>
      </c>
      <c r="B141" s="329">
        <f>IFERROR(__xludf.DUMMYFUNCTION("""COMPUTED_VALUE"""),1118.0)</f>
        <v>1118</v>
      </c>
      <c r="C141" s="329">
        <f>IFERROR(__xludf.DUMMYFUNCTION("""COMPUTED_VALUE"""),958.0)</f>
        <v>958</v>
      </c>
      <c r="D141" s="329">
        <f>IFERROR(__xludf.DUMMYFUNCTION("""COMPUTED_VALUE"""),123163.0)</f>
        <v>123163</v>
      </c>
      <c r="E141" s="329">
        <f>IFERROR(__xludf.DUMMYFUNCTION("""COMPUTED_VALUE"""),18313.0)</f>
        <v>18313</v>
      </c>
      <c r="F141" s="257">
        <f>IFERROR(__xludf.DUMMYFUNCTION("""COMPUTED_VALUE"""),2082476.0)</f>
        <v>2082476</v>
      </c>
      <c r="G141" s="257">
        <f>IFERROR(__xludf.DUMMYFUNCTION("""COMPUTED_VALUE"""),19431.0)</f>
        <v>19431</v>
      </c>
      <c r="H141" s="257">
        <f>IFERROR(__xludf.DUMMYFUNCTION("""COMPUTED_VALUE"""),2205639.0)</f>
        <v>2205639</v>
      </c>
      <c r="I141" s="329">
        <f>IFERROR(__xludf.DUMMYFUNCTION("""COMPUTED_VALUE"""),948.0)</f>
        <v>948</v>
      </c>
      <c r="J141" s="329">
        <f>IFERROR(__xludf.DUMMYFUNCTION("""COMPUTED_VALUE"""),834.0)</f>
        <v>834</v>
      </c>
      <c r="K141" s="329">
        <f>IFERROR(__xludf.DUMMYFUNCTION("""COMPUTED_VALUE"""),102868.0)</f>
        <v>102868</v>
      </c>
      <c r="L141" s="329">
        <f>IFERROR(__xludf.DUMMYFUNCTION("""COMPUTED_VALUE"""),3695.0)</f>
        <v>3695</v>
      </c>
      <c r="M141" s="329">
        <f>IFERROR(__xludf.DUMMYFUNCTION("""COMPUTED_VALUE"""),567578.0)</f>
        <v>567578</v>
      </c>
      <c r="N141" s="329">
        <f>IFERROR(__xludf.DUMMYFUNCTION("""COMPUTED_VALUE"""),670446.0)</f>
        <v>670446</v>
      </c>
      <c r="O141" s="329">
        <f>IFERROR(__xludf.DUMMYFUNCTION("""COMPUTED_VALUE"""),61.0)</f>
        <v>61</v>
      </c>
      <c r="P141" s="329">
        <f>IFERROR(__xludf.DUMMYFUNCTION("""COMPUTED_VALUE"""),7286.0)</f>
        <v>7286</v>
      </c>
      <c r="Q141" s="329">
        <f>IFERROR(__xludf.DUMMYFUNCTION("""COMPUTED_VALUE"""),76.0)</f>
        <v>76</v>
      </c>
      <c r="R141" s="329">
        <f>IFERROR(__xludf.DUMMYFUNCTION("""COMPUTED_VALUE"""),6040.0)</f>
        <v>6040</v>
      </c>
      <c r="S141" s="329">
        <f>IFERROR(__xludf.DUMMYFUNCTION("""COMPUTED_VALUE"""),8.0)</f>
        <v>8</v>
      </c>
      <c r="T141" s="329">
        <f>IFERROR(__xludf.DUMMYFUNCTION("""COMPUTED_VALUE"""),820.0)</f>
        <v>820</v>
      </c>
      <c r="U141" s="329">
        <f>IFERROR(__xludf.DUMMYFUNCTION("""COMPUTED_VALUE"""),426.0)</f>
        <v>426</v>
      </c>
      <c r="V141" s="329">
        <f>IFERROR(__xludf.DUMMYFUNCTION("""COMPUTED_VALUE"""),440.0)</f>
        <v>440</v>
      </c>
      <c r="W141" s="329">
        <f>IFERROR(__xludf.DUMMYFUNCTION("""COMPUTED_VALUE"""),56.0)</f>
        <v>56</v>
      </c>
      <c r="X141" s="329">
        <f>IFERROR(__xludf.DUMMYFUNCTION("""COMPUTED_VALUE"""),37.0)</f>
        <v>37</v>
      </c>
      <c r="Y141" s="329">
        <f>IFERROR(__xludf.DUMMYFUNCTION("""COMPUTED_VALUE"""),15.0)</f>
        <v>15</v>
      </c>
      <c r="Z141" s="329">
        <f>IFERROR(__xludf.DUMMYFUNCTION("""COMPUTED_VALUE"""),2117.0)</f>
        <v>2117</v>
      </c>
      <c r="AA141" s="257">
        <f>IFERROR(__xludf.DUMMYFUNCTION("""COMPUTED_VALUE"""),1905.0)</f>
        <v>1905</v>
      </c>
      <c r="AB141" s="257">
        <f>IFERROR(__xludf.DUMMYFUNCTION("""COMPUTED_VALUE"""),1290.0)</f>
        <v>1290</v>
      </c>
      <c r="AC141" s="257">
        <f>IFERROR(__xludf.DUMMYFUNCTION("""COMPUTED_VALUE"""),3195.0)</f>
        <v>3195</v>
      </c>
      <c r="AD141" s="257">
        <f>IFERROR(__xludf.DUMMYFUNCTION("""COMPUTED_VALUE"""),49100.0)</f>
        <v>49100</v>
      </c>
      <c r="AE141" s="257">
        <f>IFERROR(__xludf.DUMMYFUNCTION("""COMPUTED_VALUE"""),1905.0)</f>
        <v>1905</v>
      </c>
      <c r="AF141" s="257">
        <f>IFERROR(__xludf.DUMMYFUNCTION("""COMPUTED_VALUE"""),41471.0)</f>
        <v>41471</v>
      </c>
      <c r="AG141" s="257">
        <f>IFERROR(__xludf.DUMMYFUNCTION("""COMPUTED_VALUE"""),1290.0)</f>
        <v>1290</v>
      </c>
      <c r="AH141" s="257">
        <f>IFERROR(__xludf.DUMMYFUNCTION("""COMPUTED_VALUE"""),7629.0)</f>
        <v>7629</v>
      </c>
    </row>
    <row r="142">
      <c r="A142" s="328">
        <f>IFERROR(__xludf.DUMMYFUNCTION("""COMPUTED_VALUE"""),44209.0)</f>
        <v>44209</v>
      </c>
      <c r="B142" s="329">
        <f>IFERROR(__xludf.DUMMYFUNCTION("""COMPUTED_VALUE"""),1035.0)</f>
        <v>1035</v>
      </c>
      <c r="C142" s="329">
        <f>IFERROR(__xludf.DUMMYFUNCTION("""COMPUTED_VALUE"""),1056.0)</f>
        <v>1056</v>
      </c>
      <c r="D142" s="329">
        <f>IFERROR(__xludf.DUMMYFUNCTION("""COMPUTED_VALUE"""),124198.0)</f>
        <v>124198</v>
      </c>
      <c r="E142" s="329">
        <f>IFERROR(__xludf.DUMMYFUNCTION("""COMPUTED_VALUE"""),19973.0)</f>
        <v>19973</v>
      </c>
      <c r="F142" s="257">
        <f>IFERROR(__xludf.DUMMYFUNCTION("""COMPUTED_VALUE"""),2102449.0)</f>
        <v>2102449</v>
      </c>
      <c r="G142" s="257">
        <f>IFERROR(__xludf.DUMMYFUNCTION("""COMPUTED_VALUE"""),21008.0)</f>
        <v>21008</v>
      </c>
      <c r="H142" s="257">
        <f>IFERROR(__xludf.DUMMYFUNCTION("""COMPUTED_VALUE"""),2226647.0)</f>
        <v>2226647</v>
      </c>
      <c r="I142" s="329">
        <f>IFERROR(__xludf.DUMMYFUNCTION("""COMPUTED_VALUE"""),882.0)</f>
        <v>882</v>
      </c>
      <c r="J142" s="329">
        <f>IFERROR(__xludf.DUMMYFUNCTION("""COMPUTED_VALUE"""),908.0)</f>
        <v>908</v>
      </c>
      <c r="K142" s="329">
        <f>IFERROR(__xludf.DUMMYFUNCTION("""COMPUTED_VALUE"""),103750.0)</f>
        <v>103750</v>
      </c>
      <c r="L142" s="329">
        <f>IFERROR(__xludf.DUMMYFUNCTION("""COMPUTED_VALUE"""),3918.0)</f>
        <v>3918</v>
      </c>
      <c r="M142" s="329">
        <f>IFERROR(__xludf.DUMMYFUNCTION("""COMPUTED_VALUE"""),571496.0)</f>
        <v>571496</v>
      </c>
      <c r="N142" s="329">
        <f>IFERROR(__xludf.DUMMYFUNCTION("""COMPUTED_VALUE"""),675246.0)</f>
        <v>675246</v>
      </c>
      <c r="O142" s="329">
        <f>IFERROR(__xludf.DUMMYFUNCTION("""COMPUTED_VALUE"""),67.0)</f>
        <v>67</v>
      </c>
      <c r="P142" s="329">
        <f>IFERROR(__xludf.DUMMYFUNCTION("""COMPUTED_VALUE"""),7353.0)</f>
        <v>7353</v>
      </c>
      <c r="Q142" s="329">
        <f>IFERROR(__xludf.DUMMYFUNCTION("""COMPUTED_VALUE"""),57.0)</f>
        <v>57</v>
      </c>
      <c r="R142" s="329">
        <f>IFERROR(__xludf.DUMMYFUNCTION("""COMPUTED_VALUE"""),6097.0)</f>
        <v>6097</v>
      </c>
      <c r="S142" s="329">
        <f>IFERROR(__xludf.DUMMYFUNCTION("""COMPUTED_VALUE"""),5.0)</f>
        <v>5</v>
      </c>
      <c r="T142" s="329">
        <f>IFERROR(__xludf.DUMMYFUNCTION("""COMPUTED_VALUE"""),825.0)</f>
        <v>825</v>
      </c>
      <c r="U142" s="329">
        <f>IFERROR(__xludf.DUMMYFUNCTION("""COMPUTED_VALUE"""),431.0)</f>
        <v>431</v>
      </c>
      <c r="V142" s="329">
        <f>IFERROR(__xludf.DUMMYFUNCTION("""COMPUTED_VALUE"""),435.0)</f>
        <v>435</v>
      </c>
      <c r="W142" s="329">
        <f>IFERROR(__xludf.DUMMYFUNCTION("""COMPUTED_VALUE"""),56.0)</f>
        <v>56</v>
      </c>
      <c r="X142" s="329">
        <f>IFERROR(__xludf.DUMMYFUNCTION("""COMPUTED_VALUE"""),37.0)</f>
        <v>37</v>
      </c>
      <c r="Y142" s="329">
        <f>IFERROR(__xludf.DUMMYFUNCTION("""COMPUTED_VALUE"""),11.0)</f>
        <v>11</v>
      </c>
      <c r="Z142" s="329">
        <f>IFERROR(__xludf.DUMMYFUNCTION("""COMPUTED_VALUE"""),2128.0)</f>
        <v>2128</v>
      </c>
      <c r="AA142" s="257">
        <f>IFERROR(__xludf.DUMMYFUNCTION("""COMPUTED_VALUE"""),1302.0)</f>
        <v>1302</v>
      </c>
      <c r="AB142" s="257">
        <f>IFERROR(__xludf.DUMMYFUNCTION("""COMPUTED_VALUE"""),1217.0)</f>
        <v>1217</v>
      </c>
      <c r="AC142" s="257">
        <f>IFERROR(__xludf.DUMMYFUNCTION("""COMPUTED_VALUE"""),2519.0)</f>
        <v>2519</v>
      </c>
      <c r="AD142" s="257">
        <f>IFERROR(__xludf.DUMMYFUNCTION("""COMPUTED_VALUE"""),51619.0)</f>
        <v>51619</v>
      </c>
      <c r="AE142" s="257">
        <f>IFERROR(__xludf.DUMMYFUNCTION("""COMPUTED_VALUE"""),1302.0)</f>
        <v>1302</v>
      </c>
      <c r="AF142" s="257">
        <f>IFERROR(__xludf.DUMMYFUNCTION("""COMPUTED_VALUE"""),42773.0)</f>
        <v>42773</v>
      </c>
      <c r="AG142" s="257">
        <f>IFERROR(__xludf.DUMMYFUNCTION("""COMPUTED_VALUE"""),1217.0)</f>
        <v>1217</v>
      </c>
      <c r="AH142" s="257">
        <f>IFERROR(__xludf.DUMMYFUNCTION("""COMPUTED_VALUE"""),8846.0)</f>
        <v>8846</v>
      </c>
    </row>
    <row r="143">
      <c r="A143" s="328">
        <f>IFERROR(__xludf.DUMMYFUNCTION("""COMPUTED_VALUE"""),44210.0)</f>
        <v>44210</v>
      </c>
      <c r="B143" s="329">
        <f>IFERROR(__xludf.DUMMYFUNCTION("""COMPUTED_VALUE"""),1147.0)</f>
        <v>1147</v>
      </c>
      <c r="C143" s="329">
        <f>IFERROR(__xludf.DUMMYFUNCTION("""COMPUTED_VALUE"""),1100.0)</f>
        <v>1100</v>
      </c>
      <c r="D143" s="329">
        <f>IFERROR(__xludf.DUMMYFUNCTION("""COMPUTED_VALUE"""),125345.0)</f>
        <v>125345</v>
      </c>
      <c r="E143" s="329">
        <f>IFERROR(__xludf.DUMMYFUNCTION("""COMPUTED_VALUE"""),20572.0)</f>
        <v>20572</v>
      </c>
      <c r="F143" s="257">
        <f>IFERROR(__xludf.DUMMYFUNCTION("""COMPUTED_VALUE"""),2123021.0)</f>
        <v>2123021</v>
      </c>
      <c r="G143" s="257">
        <f>IFERROR(__xludf.DUMMYFUNCTION("""COMPUTED_VALUE"""),21719.0)</f>
        <v>21719</v>
      </c>
      <c r="H143" s="257">
        <f>IFERROR(__xludf.DUMMYFUNCTION("""COMPUTED_VALUE"""),2248366.0)</f>
        <v>2248366</v>
      </c>
      <c r="I143" s="329">
        <f>IFERROR(__xludf.DUMMYFUNCTION("""COMPUTED_VALUE"""),996.0)</f>
        <v>996</v>
      </c>
      <c r="J143" s="329">
        <f>IFERROR(__xludf.DUMMYFUNCTION("""COMPUTED_VALUE"""),942.0)</f>
        <v>942</v>
      </c>
      <c r="K143" s="329">
        <f>IFERROR(__xludf.DUMMYFUNCTION("""COMPUTED_VALUE"""),104746.0)</f>
        <v>104746</v>
      </c>
      <c r="L143" s="329">
        <f>IFERROR(__xludf.DUMMYFUNCTION("""COMPUTED_VALUE"""),3964.0)</f>
        <v>3964</v>
      </c>
      <c r="M143" s="329">
        <f>IFERROR(__xludf.DUMMYFUNCTION("""COMPUTED_VALUE"""),575460.0)</f>
        <v>575460</v>
      </c>
      <c r="N143" s="329">
        <f>IFERROR(__xludf.DUMMYFUNCTION("""COMPUTED_VALUE"""),680206.0)</f>
        <v>680206</v>
      </c>
      <c r="O143" s="329">
        <f>IFERROR(__xludf.DUMMYFUNCTION("""COMPUTED_VALUE"""),64.0)</f>
        <v>64</v>
      </c>
      <c r="P143" s="329">
        <f>IFERROR(__xludf.DUMMYFUNCTION("""COMPUTED_VALUE"""),7417.0)</f>
        <v>7417</v>
      </c>
      <c r="Q143" s="329">
        <f>IFERROR(__xludf.DUMMYFUNCTION("""COMPUTED_VALUE"""),60.0)</f>
        <v>60</v>
      </c>
      <c r="R143" s="329">
        <f>IFERROR(__xludf.DUMMYFUNCTION("""COMPUTED_VALUE"""),6157.0)</f>
        <v>6157</v>
      </c>
      <c r="S143" s="329">
        <f>IFERROR(__xludf.DUMMYFUNCTION("""COMPUTED_VALUE"""),5.0)</f>
        <v>5</v>
      </c>
      <c r="T143" s="329">
        <f>IFERROR(__xludf.DUMMYFUNCTION("""COMPUTED_VALUE"""),830.0)</f>
        <v>830</v>
      </c>
      <c r="U143" s="329">
        <f>IFERROR(__xludf.DUMMYFUNCTION("""COMPUTED_VALUE"""),430.0)</f>
        <v>430</v>
      </c>
      <c r="V143" s="329">
        <f>IFERROR(__xludf.DUMMYFUNCTION("""COMPUTED_VALUE"""),429.0)</f>
        <v>429</v>
      </c>
      <c r="W143" s="329">
        <f>IFERROR(__xludf.DUMMYFUNCTION("""COMPUTED_VALUE"""),58.0)</f>
        <v>58</v>
      </c>
      <c r="X143" s="329">
        <f>IFERROR(__xludf.DUMMYFUNCTION("""COMPUTED_VALUE"""),40.0)</f>
        <v>40</v>
      </c>
      <c r="Y143" s="329">
        <f>IFERROR(__xludf.DUMMYFUNCTION("""COMPUTED_VALUE"""),10.0)</f>
        <v>10</v>
      </c>
      <c r="Z143" s="329">
        <f>IFERROR(__xludf.DUMMYFUNCTION("""COMPUTED_VALUE"""),2138.0)</f>
        <v>2138</v>
      </c>
      <c r="AA143" s="257">
        <f>IFERROR(__xludf.DUMMYFUNCTION("""COMPUTED_VALUE"""),2330.0)</f>
        <v>2330</v>
      </c>
      <c r="AB143" s="257">
        <f>IFERROR(__xludf.DUMMYFUNCTION("""COMPUTED_VALUE"""),596.0)</f>
        <v>596</v>
      </c>
      <c r="AC143" s="257">
        <f>IFERROR(__xludf.DUMMYFUNCTION("""COMPUTED_VALUE"""),2926.0)</f>
        <v>2926</v>
      </c>
      <c r="AD143" s="257">
        <f>IFERROR(__xludf.DUMMYFUNCTION("""COMPUTED_VALUE"""),54545.0)</f>
        <v>54545</v>
      </c>
      <c r="AE143" s="257">
        <f>IFERROR(__xludf.DUMMYFUNCTION("""COMPUTED_VALUE"""),2330.0)</f>
        <v>2330</v>
      </c>
      <c r="AF143" s="257">
        <f>IFERROR(__xludf.DUMMYFUNCTION("""COMPUTED_VALUE"""),45103.0)</f>
        <v>45103</v>
      </c>
      <c r="AG143" s="257">
        <f>IFERROR(__xludf.DUMMYFUNCTION("""COMPUTED_VALUE"""),596.0)</f>
        <v>596</v>
      </c>
      <c r="AH143" s="257">
        <f>IFERROR(__xludf.DUMMYFUNCTION("""COMPUTED_VALUE"""),9442.0)</f>
        <v>9442</v>
      </c>
    </row>
    <row r="144">
      <c r="A144" s="328">
        <f>IFERROR(__xludf.DUMMYFUNCTION("""COMPUTED_VALUE"""),44211.0)</f>
        <v>44211</v>
      </c>
      <c r="B144" s="329">
        <f>IFERROR(__xludf.DUMMYFUNCTION("""COMPUTED_VALUE"""),1104.0)</f>
        <v>1104</v>
      </c>
      <c r="C144" s="329">
        <f>IFERROR(__xludf.DUMMYFUNCTION("""COMPUTED_VALUE"""),1095.0)</f>
        <v>1095</v>
      </c>
      <c r="D144" s="329">
        <f>IFERROR(__xludf.DUMMYFUNCTION("""COMPUTED_VALUE"""),126449.0)</f>
        <v>126449</v>
      </c>
      <c r="E144" s="329">
        <f>IFERROR(__xludf.DUMMYFUNCTION("""COMPUTED_VALUE"""),17565.0)</f>
        <v>17565</v>
      </c>
      <c r="F144" s="257">
        <f>IFERROR(__xludf.DUMMYFUNCTION("""COMPUTED_VALUE"""),2140586.0)</f>
        <v>2140586</v>
      </c>
      <c r="G144" s="257">
        <f>IFERROR(__xludf.DUMMYFUNCTION("""COMPUTED_VALUE"""),18669.0)</f>
        <v>18669</v>
      </c>
      <c r="H144" s="257">
        <f>IFERROR(__xludf.DUMMYFUNCTION("""COMPUTED_VALUE"""),2267035.0)</f>
        <v>2267035</v>
      </c>
      <c r="I144" s="329">
        <f>IFERROR(__xludf.DUMMYFUNCTION("""COMPUTED_VALUE"""),945.0)</f>
        <v>945</v>
      </c>
      <c r="J144" s="329">
        <f>IFERROR(__xludf.DUMMYFUNCTION("""COMPUTED_VALUE"""),941.0)</f>
        <v>941</v>
      </c>
      <c r="K144" s="329">
        <f>IFERROR(__xludf.DUMMYFUNCTION("""COMPUTED_VALUE"""),105691.0)</f>
        <v>105691</v>
      </c>
      <c r="L144" s="329">
        <f>IFERROR(__xludf.DUMMYFUNCTION("""COMPUTED_VALUE"""),3282.0)</f>
        <v>3282</v>
      </c>
      <c r="M144" s="329">
        <f>IFERROR(__xludf.DUMMYFUNCTION("""COMPUTED_VALUE"""),578742.0)</f>
        <v>578742</v>
      </c>
      <c r="N144" s="329">
        <f>IFERROR(__xludf.DUMMYFUNCTION("""COMPUTED_VALUE"""),684433.0)</f>
        <v>684433</v>
      </c>
      <c r="O144" s="329">
        <f>IFERROR(__xludf.DUMMYFUNCTION("""COMPUTED_VALUE"""),61.0)</f>
        <v>61</v>
      </c>
      <c r="P144" s="329">
        <f>IFERROR(__xludf.DUMMYFUNCTION("""COMPUTED_VALUE"""),7478.0)</f>
        <v>7478</v>
      </c>
      <c r="Q144" s="329">
        <f>IFERROR(__xludf.DUMMYFUNCTION("""COMPUTED_VALUE"""),73.0)</f>
        <v>73</v>
      </c>
      <c r="R144" s="329">
        <f>IFERROR(__xludf.DUMMYFUNCTION("""COMPUTED_VALUE"""),6230.0)</f>
        <v>6230</v>
      </c>
      <c r="S144" s="329">
        <f>IFERROR(__xludf.DUMMYFUNCTION("""COMPUTED_VALUE"""),8.0)</f>
        <v>8</v>
      </c>
      <c r="T144" s="329">
        <f>IFERROR(__xludf.DUMMYFUNCTION("""COMPUTED_VALUE"""),838.0)</f>
        <v>838</v>
      </c>
      <c r="U144" s="329">
        <f>IFERROR(__xludf.DUMMYFUNCTION("""COMPUTED_VALUE"""),410.0)</f>
        <v>410</v>
      </c>
      <c r="V144" s="329">
        <f>IFERROR(__xludf.DUMMYFUNCTION("""COMPUTED_VALUE"""),424.0)</f>
        <v>424</v>
      </c>
      <c r="W144" s="329">
        <f>IFERROR(__xludf.DUMMYFUNCTION("""COMPUTED_VALUE"""),57.0)</f>
        <v>57</v>
      </c>
      <c r="X144" s="329">
        <f>IFERROR(__xludf.DUMMYFUNCTION("""COMPUTED_VALUE"""),38.0)</f>
        <v>38</v>
      </c>
      <c r="Y144" s="329">
        <f>IFERROR(__xludf.DUMMYFUNCTION("""COMPUTED_VALUE"""),16.0)</f>
        <v>16</v>
      </c>
      <c r="Z144" s="329">
        <f>IFERROR(__xludf.DUMMYFUNCTION("""COMPUTED_VALUE"""),2154.0)</f>
        <v>2154</v>
      </c>
      <c r="AA144" s="257">
        <f>IFERROR(__xludf.DUMMYFUNCTION("""COMPUTED_VALUE"""),1600.0)</f>
        <v>1600</v>
      </c>
      <c r="AB144" s="257">
        <f>IFERROR(__xludf.DUMMYFUNCTION("""COMPUTED_VALUE"""),576.0)</f>
        <v>576</v>
      </c>
      <c r="AC144" s="257">
        <f>IFERROR(__xludf.DUMMYFUNCTION("""COMPUTED_VALUE"""),2176.0)</f>
        <v>2176</v>
      </c>
      <c r="AD144" s="257">
        <f>IFERROR(__xludf.DUMMYFUNCTION("""COMPUTED_VALUE"""),56721.0)</f>
        <v>56721</v>
      </c>
      <c r="AE144" s="257">
        <f>IFERROR(__xludf.DUMMYFUNCTION("""COMPUTED_VALUE"""),1600.0)</f>
        <v>1600</v>
      </c>
      <c r="AF144" s="257">
        <f>IFERROR(__xludf.DUMMYFUNCTION("""COMPUTED_VALUE"""),46703.0)</f>
        <v>46703</v>
      </c>
      <c r="AG144" s="257">
        <f>IFERROR(__xludf.DUMMYFUNCTION("""COMPUTED_VALUE"""),576.0)</f>
        <v>576</v>
      </c>
      <c r="AH144" s="257">
        <f>IFERROR(__xludf.DUMMYFUNCTION("""COMPUTED_VALUE"""),10018.0)</f>
        <v>10018</v>
      </c>
    </row>
    <row r="145">
      <c r="A145" s="328">
        <f>IFERROR(__xludf.DUMMYFUNCTION("""COMPUTED_VALUE"""),44212.0)</f>
        <v>44212</v>
      </c>
      <c r="B145" s="329">
        <f>IFERROR(__xludf.DUMMYFUNCTION("""COMPUTED_VALUE"""),921.0)</f>
        <v>921</v>
      </c>
      <c r="C145" s="329">
        <f>IFERROR(__xludf.DUMMYFUNCTION("""COMPUTED_VALUE"""),1057.0)</f>
        <v>1057</v>
      </c>
      <c r="D145" s="329">
        <f>IFERROR(__xludf.DUMMYFUNCTION("""COMPUTED_VALUE"""),127370.0)</f>
        <v>127370</v>
      </c>
      <c r="E145" s="329">
        <f>IFERROR(__xludf.DUMMYFUNCTION("""COMPUTED_VALUE"""),16699.0)</f>
        <v>16699</v>
      </c>
      <c r="F145" s="257">
        <f>IFERROR(__xludf.DUMMYFUNCTION("""COMPUTED_VALUE"""),2157285.0)</f>
        <v>2157285</v>
      </c>
      <c r="G145" s="257">
        <f>IFERROR(__xludf.DUMMYFUNCTION("""COMPUTED_VALUE"""),17620.0)</f>
        <v>17620</v>
      </c>
      <c r="H145" s="257">
        <f>IFERROR(__xludf.DUMMYFUNCTION("""COMPUTED_VALUE"""),2284655.0)</f>
        <v>2284655</v>
      </c>
      <c r="I145" s="329">
        <f>IFERROR(__xludf.DUMMYFUNCTION("""COMPUTED_VALUE"""),768.0)</f>
        <v>768</v>
      </c>
      <c r="J145" s="329">
        <f>IFERROR(__xludf.DUMMYFUNCTION("""COMPUTED_VALUE"""),903.0)</f>
        <v>903</v>
      </c>
      <c r="K145" s="329">
        <f>IFERROR(__xludf.DUMMYFUNCTION("""COMPUTED_VALUE"""),106459.0)</f>
        <v>106459</v>
      </c>
      <c r="L145" s="329">
        <f>IFERROR(__xludf.DUMMYFUNCTION("""COMPUTED_VALUE"""),2844.0)</f>
        <v>2844</v>
      </c>
      <c r="M145" s="329">
        <f>IFERROR(__xludf.DUMMYFUNCTION("""COMPUTED_VALUE"""),581586.0)</f>
        <v>581586</v>
      </c>
      <c r="N145" s="329">
        <f>IFERROR(__xludf.DUMMYFUNCTION("""COMPUTED_VALUE"""),688045.0)</f>
        <v>688045</v>
      </c>
      <c r="O145" s="329">
        <f>IFERROR(__xludf.DUMMYFUNCTION("""COMPUTED_VALUE"""),56.0)</f>
        <v>56</v>
      </c>
      <c r="P145" s="329">
        <f>IFERROR(__xludf.DUMMYFUNCTION("""COMPUTED_VALUE"""),7534.0)</f>
        <v>7534</v>
      </c>
      <c r="Q145" s="329">
        <f>IFERROR(__xludf.DUMMYFUNCTION("""COMPUTED_VALUE"""),51.0)</f>
        <v>51</v>
      </c>
      <c r="R145" s="329">
        <f>IFERROR(__xludf.DUMMYFUNCTION("""COMPUTED_VALUE"""),6281.0)</f>
        <v>6281</v>
      </c>
      <c r="S145" s="329">
        <f>IFERROR(__xludf.DUMMYFUNCTION("""COMPUTED_VALUE"""),3.0)</f>
        <v>3</v>
      </c>
      <c r="T145" s="329">
        <f>IFERROR(__xludf.DUMMYFUNCTION("""COMPUTED_VALUE"""),841.0)</f>
        <v>841</v>
      </c>
      <c r="U145" s="329">
        <f>IFERROR(__xludf.DUMMYFUNCTION("""COMPUTED_VALUE"""),412.0)</f>
        <v>412</v>
      </c>
      <c r="V145" s="329">
        <f>IFERROR(__xludf.DUMMYFUNCTION("""COMPUTED_VALUE"""),417.0)</f>
        <v>417</v>
      </c>
      <c r="W145" s="329">
        <f>IFERROR(__xludf.DUMMYFUNCTION("""COMPUTED_VALUE"""),59.0)</f>
        <v>59</v>
      </c>
      <c r="X145" s="329">
        <f>IFERROR(__xludf.DUMMYFUNCTION("""COMPUTED_VALUE"""),43.0)</f>
        <v>43</v>
      </c>
      <c r="Y145" s="329">
        <f>IFERROR(__xludf.DUMMYFUNCTION("""COMPUTED_VALUE"""),15.0)</f>
        <v>15</v>
      </c>
      <c r="Z145" s="329">
        <f>IFERROR(__xludf.DUMMYFUNCTION("""COMPUTED_VALUE"""),2169.0)</f>
        <v>2169</v>
      </c>
      <c r="AA145" s="257">
        <f>IFERROR(__xludf.DUMMYFUNCTION("""COMPUTED_VALUE"""),2256.0)</f>
        <v>2256</v>
      </c>
      <c r="AB145" s="257">
        <f>IFERROR(__xludf.DUMMYFUNCTION("""COMPUTED_VALUE"""),594.0)</f>
        <v>594</v>
      </c>
      <c r="AC145" s="257">
        <f>IFERROR(__xludf.DUMMYFUNCTION("""COMPUTED_VALUE"""),2850.0)</f>
        <v>2850</v>
      </c>
      <c r="AD145" s="257">
        <f>IFERROR(__xludf.DUMMYFUNCTION("""COMPUTED_VALUE"""),59571.0)</f>
        <v>59571</v>
      </c>
      <c r="AE145" s="257">
        <f>IFERROR(__xludf.DUMMYFUNCTION("""COMPUTED_VALUE"""),2256.0)</f>
        <v>2256</v>
      </c>
      <c r="AF145" s="257">
        <f>IFERROR(__xludf.DUMMYFUNCTION("""COMPUTED_VALUE"""),48959.0)</f>
        <v>48959</v>
      </c>
      <c r="AG145" s="257">
        <f>IFERROR(__xludf.DUMMYFUNCTION("""COMPUTED_VALUE"""),594.0)</f>
        <v>594</v>
      </c>
      <c r="AH145" s="257">
        <f>IFERROR(__xludf.DUMMYFUNCTION("""COMPUTED_VALUE"""),10612.0)</f>
        <v>10612</v>
      </c>
    </row>
    <row r="146">
      <c r="A146" s="328">
        <f>IFERROR(__xludf.DUMMYFUNCTION("""COMPUTED_VALUE"""),44213.0)</f>
        <v>44213</v>
      </c>
      <c r="B146" s="329">
        <f>IFERROR(__xludf.DUMMYFUNCTION("""COMPUTED_VALUE"""),626.0)</f>
        <v>626</v>
      </c>
      <c r="C146" s="329">
        <f>IFERROR(__xludf.DUMMYFUNCTION("""COMPUTED_VALUE"""),884.0)</f>
        <v>884</v>
      </c>
      <c r="D146" s="329">
        <f>IFERROR(__xludf.DUMMYFUNCTION("""COMPUTED_VALUE"""),127996.0)</f>
        <v>127996</v>
      </c>
      <c r="E146" s="329">
        <f>IFERROR(__xludf.DUMMYFUNCTION("""COMPUTED_VALUE"""),10063.0)</f>
        <v>10063</v>
      </c>
      <c r="F146" s="257">
        <f>IFERROR(__xludf.DUMMYFUNCTION("""COMPUTED_VALUE"""),2167348.0)</f>
        <v>2167348</v>
      </c>
      <c r="G146" s="257">
        <f>IFERROR(__xludf.DUMMYFUNCTION("""COMPUTED_VALUE"""),10689.0)</f>
        <v>10689</v>
      </c>
      <c r="H146" s="257">
        <f>IFERROR(__xludf.DUMMYFUNCTION("""COMPUTED_VALUE"""),2295344.0)</f>
        <v>2295344</v>
      </c>
      <c r="I146" s="329">
        <f>IFERROR(__xludf.DUMMYFUNCTION("""COMPUTED_VALUE"""),515.0)</f>
        <v>515</v>
      </c>
      <c r="J146" s="329">
        <f>IFERROR(__xludf.DUMMYFUNCTION("""COMPUTED_VALUE"""),743.0)</f>
        <v>743</v>
      </c>
      <c r="K146" s="329">
        <f>IFERROR(__xludf.DUMMYFUNCTION("""COMPUTED_VALUE"""),106974.0)</f>
        <v>106974</v>
      </c>
      <c r="L146" s="329">
        <f>IFERROR(__xludf.DUMMYFUNCTION("""COMPUTED_VALUE"""),1789.0)</f>
        <v>1789</v>
      </c>
      <c r="M146" s="329">
        <f>IFERROR(__xludf.DUMMYFUNCTION("""COMPUTED_VALUE"""),583375.0)</f>
        <v>583375</v>
      </c>
      <c r="N146" s="329">
        <f>IFERROR(__xludf.DUMMYFUNCTION("""COMPUTED_VALUE"""),690349.0)</f>
        <v>690349</v>
      </c>
      <c r="O146" s="329">
        <f>IFERROR(__xludf.DUMMYFUNCTION("""COMPUTED_VALUE"""),47.0)</f>
        <v>47</v>
      </c>
      <c r="P146" s="329">
        <f>IFERROR(__xludf.DUMMYFUNCTION("""COMPUTED_VALUE"""),7581.0)</f>
        <v>7581</v>
      </c>
      <c r="Q146" s="329">
        <f>IFERROR(__xludf.DUMMYFUNCTION("""COMPUTED_VALUE"""),41.0)</f>
        <v>41</v>
      </c>
      <c r="R146" s="329">
        <f>IFERROR(__xludf.DUMMYFUNCTION("""COMPUTED_VALUE"""),6322.0)</f>
        <v>6322</v>
      </c>
      <c r="S146" s="329">
        <f>IFERROR(__xludf.DUMMYFUNCTION("""COMPUTED_VALUE"""),4.0)</f>
        <v>4</v>
      </c>
      <c r="T146" s="329">
        <f>IFERROR(__xludf.DUMMYFUNCTION("""COMPUTED_VALUE"""),845.0)</f>
        <v>845</v>
      </c>
      <c r="U146" s="329">
        <f>IFERROR(__xludf.DUMMYFUNCTION("""COMPUTED_VALUE"""),414.0)</f>
        <v>414</v>
      </c>
      <c r="V146" s="329">
        <f>IFERROR(__xludf.DUMMYFUNCTION("""COMPUTED_VALUE"""),412.0)</f>
        <v>412</v>
      </c>
      <c r="W146" s="329">
        <f>IFERROR(__xludf.DUMMYFUNCTION("""COMPUTED_VALUE"""),57.0)</f>
        <v>57</v>
      </c>
      <c r="X146" s="329">
        <f>IFERROR(__xludf.DUMMYFUNCTION("""COMPUTED_VALUE"""),42.0)</f>
        <v>42</v>
      </c>
      <c r="Y146" s="329">
        <f>IFERROR(__xludf.DUMMYFUNCTION("""COMPUTED_VALUE"""),8.0)</f>
        <v>8</v>
      </c>
      <c r="Z146" s="329">
        <f>IFERROR(__xludf.DUMMYFUNCTION("""COMPUTED_VALUE"""),2177.0)</f>
        <v>2177</v>
      </c>
      <c r="AA146" s="257">
        <f>IFERROR(__xludf.DUMMYFUNCTION("""COMPUTED_VALUE"""),335.0)</f>
        <v>335</v>
      </c>
      <c r="AB146" s="257">
        <f>IFERROR(__xludf.DUMMYFUNCTION("""COMPUTED_VALUE"""),208.0)</f>
        <v>208</v>
      </c>
      <c r="AC146" s="257">
        <f>IFERROR(__xludf.DUMMYFUNCTION("""COMPUTED_VALUE"""),543.0)</f>
        <v>543</v>
      </c>
      <c r="AD146" s="257">
        <f>IFERROR(__xludf.DUMMYFUNCTION("""COMPUTED_VALUE"""),60114.0)</f>
        <v>60114</v>
      </c>
      <c r="AE146" s="257">
        <f>IFERROR(__xludf.DUMMYFUNCTION("""COMPUTED_VALUE"""),335.0)</f>
        <v>335</v>
      </c>
      <c r="AF146" s="257">
        <f>IFERROR(__xludf.DUMMYFUNCTION("""COMPUTED_VALUE"""),49294.0)</f>
        <v>49294</v>
      </c>
      <c r="AG146" s="257">
        <f>IFERROR(__xludf.DUMMYFUNCTION("""COMPUTED_VALUE"""),208.0)</f>
        <v>208</v>
      </c>
      <c r="AH146" s="257">
        <f>IFERROR(__xludf.DUMMYFUNCTION("""COMPUTED_VALUE"""),10820.0)</f>
        <v>10820</v>
      </c>
    </row>
    <row r="147">
      <c r="A147" s="328">
        <f>IFERROR(__xludf.DUMMYFUNCTION("""COMPUTED_VALUE"""),44214.0)</f>
        <v>44214</v>
      </c>
      <c r="B147" s="329">
        <f>IFERROR(__xludf.DUMMYFUNCTION("""COMPUTED_VALUE"""),559.0)</f>
        <v>559</v>
      </c>
      <c r="C147" s="329">
        <f>IFERROR(__xludf.DUMMYFUNCTION("""COMPUTED_VALUE"""),702.0)</f>
        <v>702</v>
      </c>
      <c r="D147" s="329">
        <f>IFERROR(__xludf.DUMMYFUNCTION("""COMPUTED_VALUE"""),128555.0)</f>
        <v>128555</v>
      </c>
      <c r="E147" s="329">
        <f>IFERROR(__xludf.DUMMYFUNCTION("""COMPUTED_VALUE"""),8810.0)</f>
        <v>8810</v>
      </c>
      <c r="F147" s="257">
        <f>IFERROR(__xludf.DUMMYFUNCTION("""COMPUTED_VALUE"""),2176158.0)</f>
        <v>2176158</v>
      </c>
      <c r="G147" s="257">
        <f>IFERROR(__xludf.DUMMYFUNCTION("""COMPUTED_VALUE"""),9369.0)</f>
        <v>9369</v>
      </c>
      <c r="H147" s="257">
        <f>IFERROR(__xludf.DUMMYFUNCTION("""COMPUTED_VALUE"""),2304713.0)</f>
        <v>2304713</v>
      </c>
      <c r="I147" s="329">
        <f>IFERROR(__xludf.DUMMYFUNCTION("""COMPUTED_VALUE"""),469.0)</f>
        <v>469</v>
      </c>
      <c r="J147" s="329">
        <f>IFERROR(__xludf.DUMMYFUNCTION("""COMPUTED_VALUE"""),584.0)</f>
        <v>584</v>
      </c>
      <c r="K147" s="329">
        <f>IFERROR(__xludf.DUMMYFUNCTION("""COMPUTED_VALUE"""),107443.0)</f>
        <v>107443</v>
      </c>
      <c r="L147" s="329">
        <f>IFERROR(__xludf.DUMMYFUNCTION("""COMPUTED_VALUE"""),1381.0)</f>
        <v>1381</v>
      </c>
      <c r="M147" s="329">
        <f>IFERROR(__xludf.DUMMYFUNCTION("""COMPUTED_VALUE"""),584756.0)</f>
        <v>584756</v>
      </c>
      <c r="N147" s="329">
        <f>IFERROR(__xludf.DUMMYFUNCTION("""COMPUTED_VALUE"""),692199.0)</f>
        <v>692199</v>
      </c>
      <c r="O147" s="329">
        <f>IFERROR(__xludf.DUMMYFUNCTION("""COMPUTED_VALUE"""),60.0)</f>
        <v>60</v>
      </c>
      <c r="P147" s="329">
        <f>IFERROR(__xludf.DUMMYFUNCTION("""COMPUTED_VALUE"""),7641.0)</f>
        <v>7641</v>
      </c>
      <c r="Q147" s="329">
        <f>IFERROR(__xludf.DUMMYFUNCTION("""COMPUTED_VALUE"""),43.0)</f>
        <v>43</v>
      </c>
      <c r="R147" s="329">
        <f>IFERROR(__xludf.DUMMYFUNCTION("""COMPUTED_VALUE"""),6365.0)</f>
        <v>6365</v>
      </c>
      <c r="S147" s="329">
        <f>IFERROR(__xludf.DUMMYFUNCTION("""COMPUTED_VALUE"""),8.0)</f>
        <v>8</v>
      </c>
      <c r="T147" s="329">
        <f>IFERROR(__xludf.DUMMYFUNCTION("""COMPUTED_VALUE"""),853.0)</f>
        <v>853</v>
      </c>
      <c r="U147" s="329">
        <f>IFERROR(__xludf.DUMMYFUNCTION("""COMPUTED_VALUE"""),423.0)</f>
        <v>423</v>
      </c>
      <c r="V147" s="329">
        <f>IFERROR(__xludf.DUMMYFUNCTION("""COMPUTED_VALUE"""),416.0)</f>
        <v>416</v>
      </c>
      <c r="W147" s="329">
        <f>IFERROR(__xludf.DUMMYFUNCTION("""COMPUTED_VALUE"""),56.0)</f>
        <v>56</v>
      </c>
      <c r="X147" s="329">
        <f>IFERROR(__xludf.DUMMYFUNCTION("""COMPUTED_VALUE"""),40.0)</f>
        <v>40</v>
      </c>
      <c r="Y147" s="329">
        <f>IFERROR(__xludf.DUMMYFUNCTION("""COMPUTED_VALUE"""),19.0)</f>
        <v>19</v>
      </c>
      <c r="Z147" s="329">
        <f>IFERROR(__xludf.DUMMYFUNCTION("""COMPUTED_VALUE"""),2196.0)</f>
        <v>2196</v>
      </c>
      <c r="AA147" s="257">
        <f>IFERROR(__xludf.DUMMYFUNCTION("""COMPUTED_VALUE"""),1209.0)</f>
        <v>1209</v>
      </c>
      <c r="AB147" s="257">
        <f>IFERROR(__xludf.DUMMYFUNCTION("""COMPUTED_VALUE"""),1064.0)</f>
        <v>1064</v>
      </c>
      <c r="AC147" s="257">
        <f>IFERROR(__xludf.DUMMYFUNCTION("""COMPUTED_VALUE"""),2273.0)</f>
        <v>2273</v>
      </c>
      <c r="AD147" s="257">
        <f>IFERROR(__xludf.DUMMYFUNCTION("""COMPUTED_VALUE"""),62387.0)</f>
        <v>62387</v>
      </c>
      <c r="AE147" s="257">
        <f>IFERROR(__xludf.DUMMYFUNCTION("""COMPUTED_VALUE"""),1209.0)</f>
        <v>1209</v>
      </c>
      <c r="AF147" s="257">
        <f>IFERROR(__xludf.DUMMYFUNCTION("""COMPUTED_VALUE"""),50503.0)</f>
        <v>50503</v>
      </c>
      <c r="AG147" s="257">
        <f>IFERROR(__xludf.DUMMYFUNCTION("""COMPUTED_VALUE"""),1064.0)</f>
        <v>1064</v>
      </c>
      <c r="AH147" s="257">
        <f>IFERROR(__xludf.DUMMYFUNCTION("""COMPUTED_VALUE"""),11884.0)</f>
        <v>11884</v>
      </c>
    </row>
    <row r="148">
      <c r="A148" s="328">
        <f>IFERROR(__xludf.DUMMYFUNCTION("""COMPUTED_VALUE"""),44215.0)</f>
        <v>44215</v>
      </c>
      <c r="B148" s="329">
        <f>IFERROR(__xludf.DUMMYFUNCTION("""COMPUTED_VALUE"""),955.0)</f>
        <v>955</v>
      </c>
      <c r="C148" s="329">
        <f>IFERROR(__xludf.DUMMYFUNCTION("""COMPUTED_VALUE"""),713.0)</f>
        <v>713</v>
      </c>
      <c r="D148" s="329">
        <f>IFERROR(__xludf.DUMMYFUNCTION("""COMPUTED_VALUE"""),129510.0)</f>
        <v>129510</v>
      </c>
      <c r="E148" s="329">
        <f>IFERROR(__xludf.DUMMYFUNCTION("""COMPUTED_VALUE"""),18644.0)</f>
        <v>18644</v>
      </c>
      <c r="F148" s="257">
        <f>IFERROR(__xludf.DUMMYFUNCTION("""COMPUTED_VALUE"""),2194802.0)</f>
        <v>2194802</v>
      </c>
      <c r="G148" s="257">
        <f>IFERROR(__xludf.DUMMYFUNCTION("""COMPUTED_VALUE"""),19599.0)</f>
        <v>19599</v>
      </c>
      <c r="H148" s="257">
        <f>IFERROR(__xludf.DUMMYFUNCTION("""COMPUTED_VALUE"""),2324312.0)</f>
        <v>2324312</v>
      </c>
      <c r="I148" s="329">
        <f>IFERROR(__xludf.DUMMYFUNCTION("""COMPUTED_VALUE"""),851.0)</f>
        <v>851</v>
      </c>
      <c r="J148" s="329">
        <f>IFERROR(__xludf.DUMMYFUNCTION("""COMPUTED_VALUE"""),612.0)</f>
        <v>612</v>
      </c>
      <c r="K148" s="329">
        <f>IFERROR(__xludf.DUMMYFUNCTION("""COMPUTED_VALUE"""),108294.0)</f>
        <v>108294</v>
      </c>
      <c r="L148" s="329">
        <f>IFERROR(__xludf.DUMMYFUNCTION("""COMPUTED_VALUE"""),3149.0)</f>
        <v>3149</v>
      </c>
      <c r="M148" s="329">
        <f>IFERROR(__xludf.DUMMYFUNCTION("""COMPUTED_VALUE"""),587905.0)</f>
        <v>587905</v>
      </c>
      <c r="N148" s="329">
        <f>IFERROR(__xludf.DUMMYFUNCTION("""COMPUTED_VALUE"""),696199.0)</f>
        <v>696199</v>
      </c>
      <c r="O148" s="329">
        <f>IFERROR(__xludf.DUMMYFUNCTION("""COMPUTED_VALUE"""),68.0)</f>
        <v>68</v>
      </c>
      <c r="P148" s="329">
        <f>IFERROR(__xludf.DUMMYFUNCTION("""COMPUTED_VALUE"""),7709.0)</f>
        <v>7709</v>
      </c>
      <c r="Q148" s="329">
        <f>IFERROR(__xludf.DUMMYFUNCTION("""COMPUTED_VALUE"""),60.0)</f>
        <v>60</v>
      </c>
      <c r="R148" s="329">
        <f>IFERROR(__xludf.DUMMYFUNCTION("""COMPUTED_VALUE"""),6425.0)</f>
        <v>6425</v>
      </c>
      <c r="S148" s="329">
        <f>IFERROR(__xludf.DUMMYFUNCTION("""COMPUTED_VALUE"""),9.0)</f>
        <v>9</v>
      </c>
      <c r="T148" s="329">
        <f>IFERROR(__xludf.DUMMYFUNCTION("""COMPUTED_VALUE"""),862.0)</f>
        <v>862</v>
      </c>
      <c r="U148" s="329">
        <f>IFERROR(__xludf.DUMMYFUNCTION("""COMPUTED_VALUE"""),422.0)</f>
        <v>422</v>
      </c>
      <c r="V148" s="329">
        <f>IFERROR(__xludf.DUMMYFUNCTION("""COMPUTED_VALUE"""),420.0)</f>
        <v>420</v>
      </c>
      <c r="W148" s="329">
        <f>IFERROR(__xludf.DUMMYFUNCTION("""COMPUTED_VALUE"""),58.0)</f>
        <v>58</v>
      </c>
      <c r="X148" s="329">
        <f>IFERROR(__xludf.DUMMYFUNCTION("""COMPUTED_VALUE"""),40.0)</f>
        <v>40</v>
      </c>
      <c r="Y148" s="329">
        <f>IFERROR(__xludf.DUMMYFUNCTION("""COMPUTED_VALUE"""),13.0)</f>
        <v>13</v>
      </c>
      <c r="Z148" s="329">
        <f>IFERROR(__xludf.DUMMYFUNCTION("""COMPUTED_VALUE"""),2209.0)</f>
        <v>2209</v>
      </c>
      <c r="AA148" s="257">
        <f>IFERROR(__xludf.DUMMYFUNCTION("""COMPUTED_VALUE"""),1485.0)</f>
        <v>1485</v>
      </c>
      <c r="AB148" s="257">
        <f>IFERROR(__xludf.DUMMYFUNCTION("""COMPUTED_VALUE"""),722.0)</f>
        <v>722</v>
      </c>
      <c r="AC148" s="257">
        <f>IFERROR(__xludf.DUMMYFUNCTION("""COMPUTED_VALUE"""),2207.0)</f>
        <v>2207</v>
      </c>
      <c r="AD148" s="257">
        <f>IFERROR(__xludf.DUMMYFUNCTION("""COMPUTED_VALUE"""),64594.0)</f>
        <v>64594</v>
      </c>
      <c r="AE148" s="257">
        <f>IFERROR(__xludf.DUMMYFUNCTION("""COMPUTED_VALUE"""),1485.0)</f>
        <v>1485</v>
      </c>
      <c r="AF148" s="257">
        <f>IFERROR(__xludf.DUMMYFUNCTION("""COMPUTED_VALUE"""),51988.0)</f>
        <v>51988</v>
      </c>
      <c r="AG148" s="257">
        <f>IFERROR(__xludf.DUMMYFUNCTION("""COMPUTED_VALUE"""),722.0)</f>
        <v>722</v>
      </c>
      <c r="AH148" s="257">
        <f>IFERROR(__xludf.DUMMYFUNCTION("""COMPUTED_VALUE"""),12606.0)</f>
        <v>12606</v>
      </c>
    </row>
    <row r="149">
      <c r="A149" s="328">
        <f>IFERROR(__xludf.DUMMYFUNCTION("""COMPUTED_VALUE"""),44216.0)</f>
        <v>44216</v>
      </c>
      <c r="B149" s="329">
        <f>IFERROR(__xludf.DUMMYFUNCTION("""COMPUTED_VALUE"""),970.0)</f>
        <v>970</v>
      </c>
      <c r="C149" s="329">
        <f>IFERROR(__xludf.DUMMYFUNCTION("""COMPUTED_VALUE"""),828.0)</f>
        <v>828</v>
      </c>
      <c r="D149" s="329">
        <f>IFERROR(__xludf.DUMMYFUNCTION("""COMPUTED_VALUE"""),130480.0)</f>
        <v>130480</v>
      </c>
      <c r="E149" s="329">
        <f>IFERROR(__xludf.DUMMYFUNCTION("""COMPUTED_VALUE"""),22631.0)</f>
        <v>22631</v>
      </c>
      <c r="F149" s="257">
        <f>IFERROR(__xludf.DUMMYFUNCTION("""COMPUTED_VALUE"""),2217433.0)</f>
        <v>2217433</v>
      </c>
      <c r="G149" s="257">
        <f>IFERROR(__xludf.DUMMYFUNCTION("""COMPUTED_VALUE"""),23601.0)</f>
        <v>23601</v>
      </c>
      <c r="H149" s="257">
        <f>IFERROR(__xludf.DUMMYFUNCTION("""COMPUTED_VALUE"""),2347913.0)</f>
        <v>2347913</v>
      </c>
      <c r="I149" s="329">
        <f>IFERROR(__xludf.DUMMYFUNCTION("""COMPUTED_VALUE"""),850.0)</f>
        <v>850</v>
      </c>
      <c r="J149" s="329">
        <f>IFERROR(__xludf.DUMMYFUNCTION("""COMPUTED_VALUE"""),723.0)</f>
        <v>723</v>
      </c>
      <c r="K149" s="329">
        <f>IFERROR(__xludf.DUMMYFUNCTION("""COMPUTED_VALUE"""),109144.0)</f>
        <v>109144</v>
      </c>
      <c r="L149" s="329">
        <f>IFERROR(__xludf.DUMMYFUNCTION("""COMPUTED_VALUE"""),3374.0)</f>
        <v>3374</v>
      </c>
      <c r="M149" s="329">
        <f>IFERROR(__xludf.DUMMYFUNCTION("""COMPUTED_VALUE"""),591279.0)</f>
        <v>591279</v>
      </c>
      <c r="N149" s="329">
        <f>IFERROR(__xludf.DUMMYFUNCTION("""COMPUTED_VALUE"""),700423.0)</f>
        <v>700423</v>
      </c>
      <c r="O149" s="329">
        <f>IFERROR(__xludf.DUMMYFUNCTION("""COMPUTED_VALUE"""),46.0)</f>
        <v>46</v>
      </c>
      <c r="P149" s="329">
        <f>IFERROR(__xludf.DUMMYFUNCTION("""COMPUTED_VALUE"""),7755.0)</f>
        <v>7755</v>
      </c>
      <c r="Q149" s="329">
        <f>IFERROR(__xludf.DUMMYFUNCTION("""COMPUTED_VALUE"""),66.0)</f>
        <v>66</v>
      </c>
      <c r="R149" s="329">
        <f>IFERROR(__xludf.DUMMYFUNCTION("""COMPUTED_VALUE"""),6491.0)</f>
        <v>6491</v>
      </c>
      <c r="S149" s="329">
        <f>IFERROR(__xludf.DUMMYFUNCTION("""COMPUTED_VALUE"""),11.0)</f>
        <v>11</v>
      </c>
      <c r="T149" s="329">
        <f>IFERROR(__xludf.DUMMYFUNCTION("""COMPUTED_VALUE"""),873.0)</f>
        <v>873</v>
      </c>
      <c r="U149" s="329">
        <f>IFERROR(__xludf.DUMMYFUNCTION("""COMPUTED_VALUE"""),391.0)</f>
        <v>391</v>
      </c>
      <c r="V149" s="329">
        <f>IFERROR(__xludf.DUMMYFUNCTION("""COMPUTED_VALUE"""),412.0)</f>
        <v>412</v>
      </c>
      <c r="W149" s="329">
        <f>IFERROR(__xludf.DUMMYFUNCTION("""COMPUTED_VALUE"""),52.0)</f>
        <v>52</v>
      </c>
      <c r="X149" s="329">
        <f>IFERROR(__xludf.DUMMYFUNCTION("""COMPUTED_VALUE"""),34.0)</f>
        <v>34</v>
      </c>
      <c r="Y149" s="329">
        <f>IFERROR(__xludf.DUMMYFUNCTION("""COMPUTED_VALUE"""),25.0)</f>
        <v>25</v>
      </c>
      <c r="Z149" s="329">
        <f>IFERROR(__xludf.DUMMYFUNCTION("""COMPUTED_VALUE"""),2234.0)</f>
        <v>2234</v>
      </c>
      <c r="AA149" s="257">
        <f>IFERROR(__xludf.DUMMYFUNCTION("""COMPUTED_VALUE"""),1956.0)</f>
        <v>1956</v>
      </c>
      <c r="AB149" s="257">
        <f>IFERROR(__xludf.DUMMYFUNCTION("""COMPUTED_VALUE"""),795.0)</f>
        <v>795</v>
      </c>
      <c r="AC149" s="257">
        <f>IFERROR(__xludf.DUMMYFUNCTION("""COMPUTED_VALUE"""),2751.0)</f>
        <v>2751</v>
      </c>
      <c r="AD149" s="257">
        <f>IFERROR(__xludf.DUMMYFUNCTION("""COMPUTED_VALUE"""),67345.0)</f>
        <v>67345</v>
      </c>
      <c r="AE149" s="257">
        <f>IFERROR(__xludf.DUMMYFUNCTION("""COMPUTED_VALUE"""),1956.0)</f>
        <v>1956</v>
      </c>
      <c r="AF149" s="257">
        <f>IFERROR(__xludf.DUMMYFUNCTION("""COMPUTED_VALUE"""),53944.0)</f>
        <v>53944</v>
      </c>
      <c r="AG149" s="257">
        <f>IFERROR(__xludf.DUMMYFUNCTION("""COMPUTED_VALUE"""),795.0)</f>
        <v>795</v>
      </c>
      <c r="AH149" s="257">
        <f>IFERROR(__xludf.DUMMYFUNCTION("""COMPUTED_VALUE"""),13401.0)</f>
        <v>13401</v>
      </c>
    </row>
    <row r="150">
      <c r="A150" s="328">
        <f>IFERROR(__xludf.DUMMYFUNCTION("""COMPUTED_VALUE"""),44217.0)</f>
        <v>44217</v>
      </c>
      <c r="B150" s="329">
        <f>IFERROR(__xludf.DUMMYFUNCTION("""COMPUTED_VALUE"""),1183.0)</f>
        <v>1183</v>
      </c>
      <c r="C150" s="329">
        <f>IFERROR(__xludf.DUMMYFUNCTION("""COMPUTED_VALUE"""),1036.0)</f>
        <v>1036</v>
      </c>
      <c r="D150" s="329">
        <f>IFERROR(__xludf.DUMMYFUNCTION("""COMPUTED_VALUE"""),131663.0)</f>
        <v>131663</v>
      </c>
      <c r="E150" s="329">
        <f>IFERROR(__xludf.DUMMYFUNCTION("""COMPUTED_VALUE"""),24195.0)</f>
        <v>24195</v>
      </c>
      <c r="F150" s="257">
        <f>IFERROR(__xludf.DUMMYFUNCTION("""COMPUTED_VALUE"""),2241628.0)</f>
        <v>2241628</v>
      </c>
      <c r="G150" s="257">
        <f>IFERROR(__xludf.DUMMYFUNCTION("""COMPUTED_VALUE"""),25378.0)</f>
        <v>25378</v>
      </c>
      <c r="H150" s="257">
        <f>IFERROR(__xludf.DUMMYFUNCTION("""COMPUTED_VALUE"""),2373291.0)</f>
        <v>2373291</v>
      </c>
      <c r="I150" s="329">
        <f>IFERROR(__xludf.DUMMYFUNCTION("""COMPUTED_VALUE"""),1015.0)</f>
        <v>1015</v>
      </c>
      <c r="J150" s="329">
        <f>IFERROR(__xludf.DUMMYFUNCTION("""COMPUTED_VALUE"""),905.0)</f>
        <v>905</v>
      </c>
      <c r="K150" s="329">
        <f>IFERROR(__xludf.DUMMYFUNCTION("""COMPUTED_VALUE"""),110159.0)</f>
        <v>110159</v>
      </c>
      <c r="L150" s="329">
        <f>IFERROR(__xludf.DUMMYFUNCTION("""COMPUTED_VALUE"""),3911.0)</f>
        <v>3911</v>
      </c>
      <c r="M150" s="329">
        <f>IFERROR(__xludf.DUMMYFUNCTION("""COMPUTED_VALUE"""),595190.0)</f>
        <v>595190</v>
      </c>
      <c r="N150" s="329">
        <f>IFERROR(__xludf.DUMMYFUNCTION("""COMPUTED_VALUE"""),705349.0)</f>
        <v>705349</v>
      </c>
      <c r="O150" s="329">
        <f>IFERROR(__xludf.DUMMYFUNCTION("""COMPUTED_VALUE"""),55.0)</f>
        <v>55</v>
      </c>
      <c r="P150" s="329">
        <f>IFERROR(__xludf.DUMMYFUNCTION("""COMPUTED_VALUE"""),7810.0)</f>
        <v>7810</v>
      </c>
      <c r="Q150" s="329">
        <f>IFERROR(__xludf.DUMMYFUNCTION("""COMPUTED_VALUE"""),59.0)</f>
        <v>59</v>
      </c>
      <c r="R150" s="329">
        <f>IFERROR(__xludf.DUMMYFUNCTION("""COMPUTED_VALUE"""),6550.0)</f>
        <v>6550</v>
      </c>
      <c r="S150" s="329">
        <f>IFERROR(__xludf.DUMMYFUNCTION("""COMPUTED_VALUE"""),5.0)</f>
        <v>5</v>
      </c>
      <c r="T150" s="329">
        <f>IFERROR(__xludf.DUMMYFUNCTION("""COMPUTED_VALUE"""),878.0)</f>
        <v>878</v>
      </c>
      <c r="U150" s="329">
        <f>IFERROR(__xludf.DUMMYFUNCTION("""COMPUTED_VALUE"""),382.0)</f>
        <v>382</v>
      </c>
      <c r="V150" s="329">
        <f>IFERROR(__xludf.DUMMYFUNCTION("""COMPUTED_VALUE"""),398.0)</f>
        <v>398</v>
      </c>
      <c r="W150" s="329">
        <f>IFERROR(__xludf.DUMMYFUNCTION("""COMPUTED_VALUE"""),52.0)</f>
        <v>52</v>
      </c>
      <c r="X150" s="329">
        <f>IFERROR(__xludf.DUMMYFUNCTION("""COMPUTED_VALUE"""),32.0)</f>
        <v>32</v>
      </c>
      <c r="Y150" s="329">
        <f>IFERROR(__xludf.DUMMYFUNCTION("""COMPUTED_VALUE"""),10.0)</f>
        <v>10</v>
      </c>
      <c r="Z150" s="329">
        <f>IFERROR(__xludf.DUMMYFUNCTION("""COMPUTED_VALUE"""),2244.0)</f>
        <v>2244</v>
      </c>
      <c r="AA150" s="257">
        <f>IFERROR(__xludf.DUMMYFUNCTION("""COMPUTED_VALUE"""),2379.0)</f>
        <v>2379</v>
      </c>
      <c r="AB150" s="257">
        <f>IFERROR(__xludf.DUMMYFUNCTION("""COMPUTED_VALUE"""),345.0)</f>
        <v>345</v>
      </c>
      <c r="AC150" s="257">
        <f>IFERROR(__xludf.DUMMYFUNCTION("""COMPUTED_VALUE"""),2724.0)</f>
        <v>2724</v>
      </c>
      <c r="AD150" s="257">
        <f>IFERROR(__xludf.DUMMYFUNCTION("""COMPUTED_VALUE"""),70069.0)</f>
        <v>70069</v>
      </c>
      <c r="AE150" s="257">
        <f>IFERROR(__xludf.DUMMYFUNCTION("""COMPUTED_VALUE"""),2379.0)</f>
        <v>2379</v>
      </c>
      <c r="AF150" s="257">
        <f>IFERROR(__xludf.DUMMYFUNCTION("""COMPUTED_VALUE"""),56323.0)</f>
        <v>56323</v>
      </c>
      <c r="AG150" s="257">
        <f>IFERROR(__xludf.DUMMYFUNCTION("""COMPUTED_VALUE"""),345.0)</f>
        <v>345</v>
      </c>
      <c r="AH150" s="257">
        <f>IFERROR(__xludf.DUMMYFUNCTION("""COMPUTED_VALUE"""),13746.0)</f>
        <v>13746</v>
      </c>
    </row>
    <row r="151">
      <c r="A151" s="328">
        <f>IFERROR(__xludf.DUMMYFUNCTION("""COMPUTED_VALUE"""),44218.0)</f>
        <v>44218</v>
      </c>
      <c r="B151" s="329">
        <f>IFERROR(__xludf.DUMMYFUNCTION("""COMPUTED_VALUE"""),873.0)</f>
        <v>873</v>
      </c>
      <c r="C151" s="329">
        <f>IFERROR(__xludf.DUMMYFUNCTION("""COMPUTED_VALUE"""),1009.0)</f>
        <v>1009</v>
      </c>
      <c r="D151" s="329">
        <f>IFERROR(__xludf.DUMMYFUNCTION("""COMPUTED_VALUE"""),132536.0)</f>
        <v>132536</v>
      </c>
      <c r="E151" s="329">
        <f>IFERROR(__xludf.DUMMYFUNCTION("""COMPUTED_VALUE"""),19821.0)</f>
        <v>19821</v>
      </c>
      <c r="F151" s="257">
        <f>IFERROR(__xludf.DUMMYFUNCTION("""COMPUTED_VALUE"""),2261449.0)</f>
        <v>2261449</v>
      </c>
      <c r="G151" s="257">
        <f>IFERROR(__xludf.DUMMYFUNCTION("""COMPUTED_VALUE"""),20694.0)</f>
        <v>20694</v>
      </c>
      <c r="H151" s="257">
        <f>IFERROR(__xludf.DUMMYFUNCTION("""COMPUTED_VALUE"""),2393985.0)</f>
        <v>2393985</v>
      </c>
      <c r="I151" s="329">
        <f>IFERROR(__xludf.DUMMYFUNCTION("""COMPUTED_VALUE"""),757.0)</f>
        <v>757</v>
      </c>
      <c r="J151" s="329">
        <f>IFERROR(__xludf.DUMMYFUNCTION("""COMPUTED_VALUE"""),874.0)</f>
        <v>874</v>
      </c>
      <c r="K151" s="329">
        <f>IFERROR(__xludf.DUMMYFUNCTION("""COMPUTED_VALUE"""),110916.0)</f>
        <v>110916</v>
      </c>
      <c r="L151" s="329">
        <f>IFERROR(__xludf.DUMMYFUNCTION("""COMPUTED_VALUE"""),3041.0)</f>
        <v>3041</v>
      </c>
      <c r="M151" s="329">
        <f>IFERROR(__xludf.DUMMYFUNCTION("""COMPUTED_VALUE"""),598231.0)</f>
        <v>598231</v>
      </c>
      <c r="N151" s="329">
        <f>IFERROR(__xludf.DUMMYFUNCTION("""COMPUTED_VALUE"""),709147.0)</f>
        <v>709147</v>
      </c>
      <c r="O151" s="329">
        <f>IFERROR(__xludf.DUMMYFUNCTION("""COMPUTED_VALUE"""),54.0)</f>
        <v>54</v>
      </c>
      <c r="P151" s="329">
        <f>IFERROR(__xludf.DUMMYFUNCTION("""COMPUTED_VALUE"""),7864.0)</f>
        <v>7864</v>
      </c>
      <c r="Q151" s="329">
        <f>IFERROR(__xludf.DUMMYFUNCTION("""COMPUTED_VALUE"""),58.0)</f>
        <v>58</v>
      </c>
      <c r="R151" s="329">
        <f>IFERROR(__xludf.DUMMYFUNCTION("""COMPUTED_VALUE"""),6608.0)</f>
        <v>6608</v>
      </c>
      <c r="S151" s="329">
        <f>IFERROR(__xludf.DUMMYFUNCTION("""COMPUTED_VALUE"""),10.0)</f>
        <v>10</v>
      </c>
      <c r="T151" s="329">
        <f>IFERROR(__xludf.DUMMYFUNCTION("""COMPUTED_VALUE"""),888.0)</f>
        <v>888</v>
      </c>
      <c r="U151" s="329">
        <f>IFERROR(__xludf.DUMMYFUNCTION("""COMPUTED_VALUE"""),368.0)</f>
        <v>368</v>
      </c>
      <c r="V151" s="329">
        <f>IFERROR(__xludf.DUMMYFUNCTION("""COMPUTED_VALUE"""),380.0)</f>
        <v>380</v>
      </c>
      <c r="W151" s="329">
        <f>IFERROR(__xludf.DUMMYFUNCTION("""COMPUTED_VALUE"""),55.0)</f>
        <v>55</v>
      </c>
      <c r="X151" s="329">
        <f>IFERROR(__xludf.DUMMYFUNCTION("""COMPUTED_VALUE"""),34.0)</f>
        <v>34</v>
      </c>
      <c r="Y151" s="329">
        <f>IFERROR(__xludf.DUMMYFUNCTION("""COMPUTED_VALUE"""),16.0)</f>
        <v>16</v>
      </c>
      <c r="Z151" s="329">
        <f>IFERROR(__xludf.DUMMYFUNCTION("""COMPUTED_VALUE"""),2260.0)</f>
        <v>2260</v>
      </c>
      <c r="AA151" s="257">
        <f>IFERROR(__xludf.DUMMYFUNCTION("""COMPUTED_VALUE"""),2490.0)</f>
        <v>2490</v>
      </c>
      <c r="AB151" s="257">
        <f>IFERROR(__xludf.DUMMYFUNCTION("""COMPUTED_VALUE"""),310.0)</f>
        <v>310</v>
      </c>
      <c r="AC151" s="257">
        <f>IFERROR(__xludf.DUMMYFUNCTION("""COMPUTED_VALUE"""),2800.0)</f>
        <v>2800</v>
      </c>
      <c r="AD151" s="257">
        <f>IFERROR(__xludf.DUMMYFUNCTION("""COMPUTED_VALUE"""),72869.0)</f>
        <v>72869</v>
      </c>
      <c r="AE151" s="257">
        <f>IFERROR(__xludf.DUMMYFUNCTION("""COMPUTED_VALUE"""),2490.0)</f>
        <v>2490</v>
      </c>
      <c r="AF151" s="257">
        <f>IFERROR(__xludf.DUMMYFUNCTION("""COMPUTED_VALUE"""),58813.0)</f>
        <v>58813</v>
      </c>
      <c r="AG151" s="257">
        <f>IFERROR(__xludf.DUMMYFUNCTION("""COMPUTED_VALUE"""),310.0)</f>
        <v>310</v>
      </c>
      <c r="AH151" s="257">
        <f>IFERROR(__xludf.DUMMYFUNCTION("""COMPUTED_VALUE"""),14056.0)</f>
        <v>14056</v>
      </c>
    </row>
    <row r="152">
      <c r="A152" s="328">
        <f>IFERROR(__xludf.DUMMYFUNCTION("""COMPUTED_VALUE"""),44219.0)</f>
        <v>44219</v>
      </c>
      <c r="B152" s="329">
        <f>IFERROR(__xludf.DUMMYFUNCTION("""COMPUTED_VALUE"""),910.0)</f>
        <v>910</v>
      </c>
      <c r="C152" s="329">
        <f>IFERROR(__xludf.DUMMYFUNCTION("""COMPUTED_VALUE"""),989.0)</f>
        <v>989</v>
      </c>
      <c r="D152" s="329">
        <f>IFERROR(__xludf.DUMMYFUNCTION("""COMPUTED_VALUE"""),133446.0)</f>
        <v>133446</v>
      </c>
      <c r="E152" s="329">
        <f>IFERROR(__xludf.DUMMYFUNCTION("""COMPUTED_VALUE"""),19073.0)</f>
        <v>19073</v>
      </c>
      <c r="F152" s="257">
        <f>IFERROR(__xludf.DUMMYFUNCTION("""COMPUTED_VALUE"""),2280522.0)</f>
        <v>2280522</v>
      </c>
      <c r="G152" s="257">
        <f>IFERROR(__xludf.DUMMYFUNCTION("""COMPUTED_VALUE"""),19983.0)</f>
        <v>19983</v>
      </c>
      <c r="H152" s="257">
        <f>IFERROR(__xludf.DUMMYFUNCTION("""COMPUTED_VALUE"""),2413968.0)</f>
        <v>2413968</v>
      </c>
      <c r="I152" s="329">
        <f>IFERROR(__xludf.DUMMYFUNCTION("""COMPUTED_VALUE"""),774.0)</f>
        <v>774</v>
      </c>
      <c r="J152" s="329">
        <f>IFERROR(__xludf.DUMMYFUNCTION("""COMPUTED_VALUE"""),849.0)</f>
        <v>849</v>
      </c>
      <c r="K152" s="329">
        <f>IFERROR(__xludf.DUMMYFUNCTION("""COMPUTED_VALUE"""),111690.0)</f>
        <v>111690</v>
      </c>
      <c r="L152" s="329">
        <f>IFERROR(__xludf.DUMMYFUNCTION("""COMPUTED_VALUE"""),3068.0)</f>
        <v>3068</v>
      </c>
      <c r="M152" s="329">
        <f>IFERROR(__xludf.DUMMYFUNCTION("""COMPUTED_VALUE"""),601299.0)</f>
        <v>601299</v>
      </c>
      <c r="N152" s="329">
        <f>IFERROR(__xludf.DUMMYFUNCTION("""COMPUTED_VALUE"""),712989.0)</f>
        <v>712989</v>
      </c>
      <c r="O152" s="329">
        <f>IFERROR(__xludf.DUMMYFUNCTION("""COMPUTED_VALUE"""),57.0)</f>
        <v>57</v>
      </c>
      <c r="P152" s="329">
        <f>IFERROR(__xludf.DUMMYFUNCTION("""COMPUTED_VALUE"""),7921.0)</f>
        <v>7921</v>
      </c>
      <c r="Q152" s="329">
        <f>IFERROR(__xludf.DUMMYFUNCTION("""COMPUTED_VALUE"""),32.0)</f>
        <v>32</v>
      </c>
      <c r="R152" s="329">
        <f>IFERROR(__xludf.DUMMYFUNCTION("""COMPUTED_VALUE"""),6640.0)</f>
        <v>6640</v>
      </c>
      <c r="S152" s="329">
        <f>IFERROR(__xludf.DUMMYFUNCTION("""COMPUTED_VALUE"""),3.0)</f>
        <v>3</v>
      </c>
      <c r="T152" s="329">
        <f>IFERROR(__xludf.DUMMYFUNCTION("""COMPUTED_VALUE"""),891.0)</f>
        <v>891</v>
      </c>
      <c r="U152" s="329">
        <f>IFERROR(__xludf.DUMMYFUNCTION("""COMPUTED_VALUE"""),390.0)</f>
        <v>390</v>
      </c>
      <c r="V152" s="329">
        <f>IFERROR(__xludf.DUMMYFUNCTION("""COMPUTED_VALUE"""),380.0)</f>
        <v>380</v>
      </c>
      <c r="W152" s="329">
        <f>IFERROR(__xludf.DUMMYFUNCTION("""COMPUTED_VALUE"""),60.0)</f>
        <v>60</v>
      </c>
      <c r="X152" s="329">
        <f>IFERROR(__xludf.DUMMYFUNCTION("""COMPUTED_VALUE"""),35.0)</f>
        <v>35</v>
      </c>
      <c r="Y152" s="329">
        <f>IFERROR(__xludf.DUMMYFUNCTION("""COMPUTED_VALUE"""),8.0)</f>
        <v>8</v>
      </c>
      <c r="Z152" s="329">
        <f>IFERROR(__xludf.DUMMYFUNCTION("""COMPUTED_VALUE"""),2268.0)</f>
        <v>2268</v>
      </c>
      <c r="AA152" s="257">
        <f>IFERROR(__xludf.DUMMYFUNCTION("""COMPUTED_VALUE"""),2497.0)</f>
        <v>2497</v>
      </c>
      <c r="AB152" s="257">
        <f>IFERROR(__xludf.DUMMYFUNCTION("""COMPUTED_VALUE"""),599.0)</f>
        <v>599</v>
      </c>
      <c r="AC152" s="257">
        <f>IFERROR(__xludf.DUMMYFUNCTION("""COMPUTED_VALUE"""),3096.0)</f>
        <v>3096</v>
      </c>
      <c r="AD152" s="257">
        <f>IFERROR(__xludf.DUMMYFUNCTION("""COMPUTED_VALUE"""),75965.0)</f>
        <v>75965</v>
      </c>
      <c r="AE152" s="257">
        <f>IFERROR(__xludf.DUMMYFUNCTION("""COMPUTED_VALUE"""),2497.0)</f>
        <v>2497</v>
      </c>
      <c r="AF152" s="257">
        <f>IFERROR(__xludf.DUMMYFUNCTION("""COMPUTED_VALUE"""),61310.0)</f>
        <v>61310</v>
      </c>
      <c r="AG152" s="257">
        <f>IFERROR(__xludf.DUMMYFUNCTION("""COMPUTED_VALUE"""),599.0)</f>
        <v>599</v>
      </c>
      <c r="AH152" s="257">
        <f>IFERROR(__xludf.DUMMYFUNCTION("""COMPUTED_VALUE"""),14655.0)</f>
        <v>14655</v>
      </c>
    </row>
    <row r="153">
      <c r="A153" s="328">
        <f>IFERROR(__xludf.DUMMYFUNCTION("""COMPUTED_VALUE"""),44220.0)</f>
        <v>44220</v>
      </c>
      <c r="B153" s="329">
        <f>IFERROR(__xludf.DUMMYFUNCTION("""COMPUTED_VALUE"""),405.0)</f>
        <v>405</v>
      </c>
      <c r="C153" s="329">
        <f>IFERROR(__xludf.DUMMYFUNCTION("""COMPUTED_VALUE"""),729.0)</f>
        <v>729</v>
      </c>
      <c r="D153" s="329">
        <f>IFERROR(__xludf.DUMMYFUNCTION("""COMPUTED_VALUE"""),133851.0)</f>
        <v>133851</v>
      </c>
      <c r="E153" s="329">
        <f>IFERROR(__xludf.DUMMYFUNCTION("""COMPUTED_VALUE"""),8969.0)</f>
        <v>8969</v>
      </c>
      <c r="F153" s="257">
        <f>IFERROR(__xludf.DUMMYFUNCTION("""COMPUTED_VALUE"""),2289491.0)</f>
        <v>2289491</v>
      </c>
      <c r="G153" s="257">
        <f>IFERROR(__xludf.DUMMYFUNCTION("""COMPUTED_VALUE"""),9374.0)</f>
        <v>9374</v>
      </c>
      <c r="H153" s="257">
        <f>IFERROR(__xludf.DUMMYFUNCTION("""COMPUTED_VALUE"""),2423342.0)</f>
        <v>2423342</v>
      </c>
      <c r="I153" s="329">
        <f>IFERROR(__xludf.DUMMYFUNCTION("""COMPUTED_VALUE"""),341.0)</f>
        <v>341</v>
      </c>
      <c r="J153" s="329">
        <f>IFERROR(__xludf.DUMMYFUNCTION("""COMPUTED_VALUE"""),624.0)</f>
        <v>624</v>
      </c>
      <c r="K153" s="329">
        <f>IFERROR(__xludf.DUMMYFUNCTION("""COMPUTED_VALUE"""),112031.0)</f>
        <v>112031</v>
      </c>
      <c r="L153" s="329">
        <f>IFERROR(__xludf.DUMMYFUNCTION("""COMPUTED_VALUE"""),1201.0)</f>
        <v>1201</v>
      </c>
      <c r="M153" s="329">
        <f>IFERROR(__xludf.DUMMYFUNCTION("""COMPUTED_VALUE"""),602500.0)</f>
        <v>602500</v>
      </c>
      <c r="N153" s="329">
        <f>IFERROR(__xludf.DUMMYFUNCTION("""COMPUTED_VALUE"""),714531.0)</f>
        <v>714531</v>
      </c>
      <c r="O153" s="329">
        <f>IFERROR(__xludf.DUMMYFUNCTION("""COMPUTED_VALUE"""),43.0)</f>
        <v>43</v>
      </c>
      <c r="P153" s="329">
        <f>IFERROR(__xludf.DUMMYFUNCTION("""COMPUTED_VALUE"""),7964.0)</f>
        <v>7964</v>
      </c>
      <c r="Q153" s="329">
        <f>IFERROR(__xludf.DUMMYFUNCTION("""COMPUTED_VALUE"""),43.0)</f>
        <v>43</v>
      </c>
      <c r="R153" s="329">
        <f>IFERROR(__xludf.DUMMYFUNCTION("""COMPUTED_VALUE"""),6683.0)</f>
        <v>6683</v>
      </c>
      <c r="S153" s="329">
        <f>IFERROR(__xludf.DUMMYFUNCTION("""COMPUTED_VALUE"""),9.0)</f>
        <v>9</v>
      </c>
      <c r="T153" s="329">
        <f>IFERROR(__xludf.DUMMYFUNCTION("""COMPUTED_VALUE"""),900.0)</f>
        <v>900</v>
      </c>
      <c r="U153" s="329">
        <f>IFERROR(__xludf.DUMMYFUNCTION("""COMPUTED_VALUE"""),381.0)</f>
        <v>381</v>
      </c>
      <c r="V153" s="329">
        <f>IFERROR(__xludf.DUMMYFUNCTION("""COMPUTED_VALUE"""),380.0)</f>
        <v>380</v>
      </c>
      <c r="W153" s="329">
        <f>IFERROR(__xludf.DUMMYFUNCTION("""COMPUTED_VALUE"""),60.0)</f>
        <v>60</v>
      </c>
      <c r="X153" s="329">
        <f>IFERROR(__xludf.DUMMYFUNCTION("""COMPUTED_VALUE"""),38.0)</f>
        <v>38</v>
      </c>
      <c r="Y153" s="329">
        <f>IFERROR(__xludf.DUMMYFUNCTION("""COMPUTED_VALUE"""),16.0)</f>
        <v>16</v>
      </c>
      <c r="Z153" s="329">
        <f>IFERROR(__xludf.DUMMYFUNCTION("""COMPUTED_VALUE"""),2284.0)</f>
        <v>2284</v>
      </c>
      <c r="AA153" s="257">
        <f>IFERROR(__xludf.DUMMYFUNCTION("""COMPUTED_VALUE"""),739.0)</f>
        <v>739</v>
      </c>
      <c r="AB153" s="257">
        <f>IFERROR(__xludf.DUMMYFUNCTION("""COMPUTED_VALUE"""),1050.0)</f>
        <v>1050</v>
      </c>
      <c r="AC153" s="257">
        <f>IFERROR(__xludf.DUMMYFUNCTION("""COMPUTED_VALUE"""),1789.0)</f>
        <v>1789</v>
      </c>
      <c r="AD153" s="257">
        <f>IFERROR(__xludf.DUMMYFUNCTION("""COMPUTED_VALUE"""),77754.0)</f>
        <v>77754</v>
      </c>
      <c r="AE153" s="257">
        <f>IFERROR(__xludf.DUMMYFUNCTION("""COMPUTED_VALUE"""),739.0)</f>
        <v>739</v>
      </c>
      <c r="AF153" s="257">
        <f>IFERROR(__xludf.DUMMYFUNCTION("""COMPUTED_VALUE"""),62049.0)</f>
        <v>62049</v>
      </c>
      <c r="AG153" s="257">
        <f>IFERROR(__xludf.DUMMYFUNCTION("""COMPUTED_VALUE"""),1050.0)</f>
        <v>1050</v>
      </c>
      <c r="AH153" s="257">
        <f>IFERROR(__xludf.DUMMYFUNCTION("""COMPUTED_VALUE"""),15705.0)</f>
        <v>15705</v>
      </c>
    </row>
    <row r="154">
      <c r="A154" s="328">
        <f>IFERROR(__xludf.DUMMYFUNCTION("""COMPUTED_VALUE"""),44221.0)</f>
        <v>44221</v>
      </c>
      <c r="B154" s="329">
        <f>IFERROR(__xludf.DUMMYFUNCTION("""COMPUTED_VALUE"""),806.0)</f>
        <v>806</v>
      </c>
      <c r="C154" s="329">
        <f>IFERROR(__xludf.DUMMYFUNCTION("""COMPUTED_VALUE"""),707.0)</f>
        <v>707</v>
      </c>
      <c r="D154" s="329">
        <f>IFERROR(__xludf.DUMMYFUNCTION("""COMPUTED_VALUE"""),134657.0)</f>
        <v>134657</v>
      </c>
      <c r="E154" s="329">
        <f>IFERROR(__xludf.DUMMYFUNCTION("""COMPUTED_VALUE"""),13387.0)</f>
        <v>13387</v>
      </c>
      <c r="F154" s="257">
        <f>IFERROR(__xludf.DUMMYFUNCTION("""COMPUTED_VALUE"""),2302878.0)</f>
        <v>2302878</v>
      </c>
      <c r="G154" s="257">
        <f>IFERROR(__xludf.DUMMYFUNCTION("""COMPUTED_VALUE"""),14193.0)</f>
        <v>14193</v>
      </c>
      <c r="H154" s="257">
        <f>IFERROR(__xludf.DUMMYFUNCTION("""COMPUTED_VALUE"""),2437535.0)</f>
        <v>2437535</v>
      </c>
      <c r="I154" s="329">
        <f>IFERROR(__xludf.DUMMYFUNCTION("""COMPUTED_VALUE"""),687.0)</f>
        <v>687</v>
      </c>
      <c r="J154" s="329">
        <f>IFERROR(__xludf.DUMMYFUNCTION("""COMPUTED_VALUE"""),601.0)</f>
        <v>601</v>
      </c>
      <c r="K154" s="329">
        <f>IFERROR(__xludf.DUMMYFUNCTION("""COMPUTED_VALUE"""),112718.0)</f>
        <v>112718</v>
      </c>
      <c r="L154" s="329">
        <f>IFERROR(__xludf.DUMMYFUNCTION("""COMPUTED_VALUE"""),2592.0)</f>
        <v>2592</v>
      </c>
      <c r="M154" s="329">
        <f>IFERROR(__xludf.DUMMYFUNCTION("""COMPUTED_VALUE"""),605092.0)</f>
        <v>605092</v>
      </c>
      <c r="N154" s="329">
        <f>IFERROR(__xludf.DUMMYFUNCTION("""COMPUTED_VALUE"""),717810.0)</f>
        <v>717810</v>
      </c>
      <c r="O154" s="329">
        <f>IFERROR(__xludf.DUMMYFUNCTION("""COMPUTED_VALUE"""),47.0)</f>
        <v>47</v>
      </c>
      <c r="P154" s="329">
        <f>IFERROR(__xludf.DUMMYFUNCTION("""COMPUTED_VALUE"""),8011.0)</f>
        <v>8011</v>
      </c>
      <c r="Q154" s="329">
        <f>IFERROR(__xludf.DUMMYFUNCTION("""COMPUTED_VALUE"""),55.0)</f>
        <v>55</v>
      </c>
      <c r="R154" s="329">
        <f>IFERROR(__xludf.DUMMYFUNCTION("""COMPUTED_VALUE"""),6738.0)</f>
        <v>6738</v>
      </c>
      <c r="S154" s="329">
        <f>IFERROR(__xludf.DUMMYFUNCTION("""COMPUTED_VALUE"""),5.0)</f>
        <v>5</v>
      </c>
      <c r="T154" s="329">
        <f>IFERROR(__xludf.DUMMYFUNCTION("""COMPUTED_VALUE"""),905.0)</f>
        <v>905</v>
      </c>
      <c r="U154" s="329">
        <f>IFERROR(__xludf.DUMMYFUNCTION("""COMPUTED_VALUE"""),368.0)</f>
        <v>368</v>
      </c>
      <c r="V154" s="329">
        <f>IFERROR(__xludf.DUMMYFUNCTION("""COMPUTED_VALUE"""),380.0)</f>
        <v>380</v>
      </c>
      <c r="W154" s="329">
        <f>IFERROR(__xludf.DUMMYFUNCTION("""COMPUTED_VALUE"""),60.0)</f>
        <v>60</v>
      </c>
      <c r="X154" s="329">
        <f>IFERROR(__xludf.DUMMYFUNCTION("""COMPUTED_VALUE"""),39.0)</f>
        <v>39</v>
      </c>
      <c r="Y154" s="329">
        <f>IFERROR(__xludf.DUMMYFUNCTION("""COMPUTED_VALUE"""),14.0)</f>
        <v>14</v>
      </c>
      <c r="Z154" s="329">
        <f>IFERROR(__xludf.DUMMYFUNCTION("""COMPUTED_VALUE"""),2298.0)</f>
        <v>2298</v>
      </c>
      <c r="AA154" s="257">
        <f>IFERROR(__xludf.DUMMYFUNCTION("""COMPUTED_VALUE"""),2019.0)</f>
        <v>2019</v>
      </c>
      <c r="AB154" s="257">
        <f>IFERROR(__xludf.DUMMYFUNCTION("""COMPUTED_VALUE"""),2782.0)</f>
        <v>2782</v>
      </c>
      <c r="AC154" s="257">
        <f>IFERROR(__xludf.DUMMYFUNCTION("""COMPUTED_VALUE"""),4801.0)</f>
        <v>4801</v>
      </c>
      <c r="AD154" s="257">
        <f>IFERROR(__xludf.DUMMYFUNCTION("""COMPUTED_VALUE"""),82555.0)</f>
        <v>82555</v>
      </c>
      <c r="AE154" s="257">
        <f>IFERROR(__xludf.DUMMYFUNCTION("""COMPUTED_VALUE"""),2019.0)</f>
        <v>2019</v>
      </c>
      <c r="AF154" s="257">
        <f>IFERROR(__xludf.DUMMYFUNCTION("""COMPUTED_VALUE"""),64068.0)</f>
        <v>64068</v>
      </c>
      <c r="AG154" s="257">
        <f>IFERROR(__xludf.DUMMYFUNCTION("""COMPUTED_VALUE"""),2782.0)</f>
        <v>2782</v>
      </c>
      <c r="AH154" s="257">
        <f>IFERROR(__xludf.DUMMYFUNCTION("""COMPUTED_VALUE"""),18487.0)</f>
        <v>18487</v>
      </c>
    </row>
    <row r="155">
      <c r="A155" s="328">
        <f>IFERROR(__xludf.DUMMYFUNCTION("""COMPUTED_VALUE"""),44222.0)</f>
        <v>44222</v>
      </c>
      <c r="B155" s="329">
        <f>IFERROR(__xludf.DUMMYFUNCTION("""COMPUTED_VALUE"""),726.0)</f>
        <v>726</v>
      </c>
      <c r="C155" s="329">
        <f>IFERROR(__xludf.DUMMYFUNCTION("""COMPUTED_VALUE"""),646.0)</f>
        <v>646</v>
      </c>
      <c r="D155" s="329">
        <f>IFERROR(__xludf.DUMMYFUNCTION("""COMPUTED_VALUE"""),135383.0)</f>
        <v>135383</v>
      </c>
      <c r="E155" s="329">
        <f>IFERROR(__xludf.DUMMYFUNCTION("""COMPUTED_VALUE"""),20057.0)</f>
        <v>20057</v>
      </c>
      <c r="F155" s="257">
        <f>IFERROR(__xludf.DUMMYFUNCTION("""COMPUTED_VALUE"""),2322935.0)</f>
        <v>2322935</v>
      </c>
      <c r="G155" s="257">
        <f>IFERROR(__xludf.DUMMYFUNCTION("""COMPUTED_VALUE"""),20783.0)</f>
        <v>20783</v>
      </c>
      <c r="H155" s="257">
        <f>IFERROR(__xludf.DUMMYFUNCTION("""COMPUTED_VALUE"""),2458318.0)</f>
        <v>2458318</v>
      </c>
      <c r="I155" s="329">
        <f>IFERROR(__xludf.DUMMYFUNCTION("""COMPUTED_VALUE"""),640.0)</f>
        <v>640</v>
      </c>
      <c r="J155" s="329">
        <f>IFERROR(__xludf.DUMMYFUNCTION("""COMPUTED_VALUE"""),556.0)</f>
        <v>556</v>
      </c>
      <c r="K155" s="329">
        <f>IFERROR(__xludf.DUMMYFUNCTION("""COMPUTED_VALUE"""),113358.0)</f>
        <v>113358</v>
      </c>
      <c r="L155" s="329">
        <f>IFERROR(__xludf.DUMMYFUNCTION("""COMPUTED_VALUE"""),3348.0)</f>
        <v>3348</v>
      </c>
      <c r="M155" s="329">
        <f>IFERROR(__xludf.DUMMYFUNCTION("""COMPUTED_VALUE"""),608440.0)</f>
        <v>608440</v>
      </c>
      <c r="N155" s="329">
        <f>IFERROR(__xludf.DUMMYFUNCTION("""COMPUTED_VALUE"""),721798.0)</f>
        <v>721798</v>
      </c>
      <c r="O155" s="329">
        <f>IFERROR(__xludf.DUMMYFUNCTION("""COMPUTED_VALUE"""),49.0)</f>
        <v>49</v>
      </c>
      <c r="P155" s="329">
        <f>IFERROR(__xludf.DUMMYFUNCTION("""COMPUTED_VALUE"""),8060.0)</f>
        <v>8060</v>
      </c>
      <c r="Q155" s="329">
        <f>IFERROR(__xludf.DUMMYFUNCTION("""COMPUTED_VALUE"""),47.0)</f>
        <v>47</v>
      </c>
      <c r="R155" s="329">
        <f>IFERROR(__xludf.DUMMYFUNCTION("""COMPUTED_VALUE"""),6785.0)</f>
        <v>6785</v>
      </c>
      <c r="S155" s="329">
        <f>IFERROR(__xludf.DUMMYFUNCTION("""COMPUTED_VALUE"""),9.0)</f>
        <v>9</v>
      </c>
      <c r="T155" s="329">
        <f>IFERROR(__xludf.DUMMYFUNCTION("""COMPUTED_VALUE"""),914.0)</f>
        <v>914</v>
      </c>
      <c r="U155" s="329">
        <f>IFERROR(__xludf.DUMMYFUNCTION("""COMPUTED_VALUE"""),361.0)</f>
        <v>361</v>
      </c>
      <c r="V155" s="329">
        <f>IFERROR(__xludf.DUMMYFUNCTION("""COMPUTED_VALUE"""),370.0)</f>
        <v>370</v>
      </c>
      <c r="W155" s="329">
        <f>IFERROR(__xludf.DUMMYFUNCTION("""COMPUTED_VALUE"""),57.0)</f>
        <v>57</v>
      </c>
      <c r="X155" s="329">
        <f>IFERROR(__xludf.DUMMYFUNCTION("""COMPUTED_VALUE"""),36.0)</f>
        <v>36</v>
      </c>
      <c r="Y155" s="329">
        <f>IFERROR(__xludf.DUMMYFUNCTION("""COMPUTED_VALUE"""),12.0)</f>
        <v>12</v>
      </c>
      <c r="Z155" s="329">
        <f>IFERROR(__xludf.DUMMYFUNCTION("""COMPUTED_VALUE"""),2310.0)</f>
        <v>2310</v>
      </c>
      <c r="AA155" s="257">
        <f>IFERROR(__xludf.DUMMYFUNCTION("""COMPUTED_VALUE"""),1553.0)</f>
        <v>1553</v>
      </c>
      <c r="AB155" s="257">
        <f>IFERROR(__xludf.DUMMYFUNCTION("""COMPUTED_VALUE"""),2616.0)</f>
        <v>2616</v>
      </c>
      <c r="AC155" s="257">
        <f>IFERROR(__xludf.DUMMYFUNCTION("""COMPUTED_VALUE"""),4169.0)</f>
        <v>4169</v>
      </c>
      <c r="AD155" s="257">
        <f>IFERROR(__xludf.DUMMYFUNCTION("""COMPUTED_VALUE"""),86724.0)</f>
        <v>86724</v>
      </c>
      <c r="AE155" s="257">
        <f>IFERROR(__xludf.DUMMYFUNCTION("""COMPUTED_VALUE"""),1553.0)</f>
        <v>1553</v>
      </c>
      <c r="AF155" s="257">
        <f>IFERROR(__xludf.DUMMYFUNCTION("""COMPUTED_VALUE"""),65621.0)</f>
        <v>65621</v>
      </c>
      <c r="AG155" s="257">
        <f>IFERROR(__xludf.DUMMYFUNCTION("""COMPUTED_VALUE"""),2616.0)</f>
        <v>2616</v>
      </c>
      <c r="AH155" s="257">
        <f>IFERROR(__xludf.DUMMYFUNCTION("""COMPUTED_VALUE"""),21103.0)</f>
        <v>21103</v>
      </c>
    </row>
    <row r="156">
      <c r="A156" s="328">
        <f>IFERROR(__xludf.DUMMYFUNCTION("""COMPUTED_VALUE"""),44223.0)</f>
        <v>44223</v>
      </c>
      <c r="B156" s="329">
        <f>IFERROR(__xludf.DUMMYFUNCTION("""COMPUTED_VALUE"""),846.0)</f>
        <v>846</v>
      </c>
      <c r="C156" s="329">
        <f>IFERROR(__xludf.DUMMYFUNCTION("""COMPUTED_VALUE"""),793.0)</f>
        <v>793</v>
      </c>
      <c r="D156" s="329">
        <f>IFERROR(__xludf.DUMMYFUNCTION("""COMPUTED_VALUE"""),136229.0)</f>
        <v>136229</v>
      </c>
      <c r="E156" s="329">
        <f>IFERROR(__xludf.DUMMYFUNCTION("""COMPUTED_VALUE"""),21875.0)</f>
        <v>21875</v>
      </c>
      <c r="F156" s="257">
        <f>IFERROR(__xludf.DUMMYFUNCTION("""COMPUTED_VALUE"""),2344810.0)</f>
        <v>2344810</v>
      </c>
      <c r="G156" s="257">
        <f>IFERROR(__xludf.DUMMYFUNCTION("""COMPUTED_VALUE"""),22721.0)</f>
        <v>22721</v>
      </c>
      <c r="H156" s="257">
        <f>IFERROR(__xludf.DUMMYFUNCTION("""COMPUTED_VALUE"""),2481039.0)</f>
        <v>2481039</v>
      </c>
      <c r="I156" s="329">
        <f>IFERROR(__xludf.DUMMYFUNCTION("""COMPUTED_VALUE"""),713.0)</f>
        <v>713</v>
      </c>
      <c r="J156" s="329">
        <f>IFERROR(__xludf.DUMMYFUNCTION("""COMPUTED_VALUE"""),680.0)</f>
        <v>680</v>
      </c>
      <c r="K156" s="329">
        <f>IFERROR(__xludf.DUMMYFUNCTION("""COMPUTED_VALUE"""),114071.0)</f>
        <v>114071</v>
      </c>
      <c r="L156" s="329">
        <f>IFERROR(__xludf.DUMMYFUNCTION("""COMPUTED_VALUE"""),3225.0)</f>
        <v>3225</v>
      </c>
      <c r="M156" s="329">
        <f>IFERROR(__xludf.DUMMYFUNCTION("""COMPUTED_VALUE"""),611665.0)</f>
        <v>611665</v>
      </c>
      <c r="N156" s="329">
        <f>IFERROR(__xludf.DUMMYFUNCTION("""COMPUTED_VALUE"""),725736.0)</f>
        <v>725736</v>
      </c>
      <c r="O156" s="329">
        <f>IFERROR(__xludf.DUMMYFUNCTION("""COMPUTED_VALUE"""),50.0)</f>
        <v>50</v>
      </c>
      <c r="P156" s="329">
        <f>IFERROR(__xludf.DUMMYFUNCTION("""COMPUTED_VALUE"""),8110.0)</f>
        <v>8110</v>
      </c>
      <c r="Q156" s="329">
        <f>IFERROR(__xludf.DUMMYFUNCTION("""COMPUTED_VALUE"""),58.0)</f>
        <v>58</v>
      </c>
      <c r="R156" s="329">
        <f>IFERROR(__xludf.DUMMYFUNCTION("""COMPUTED_VALUE"""),6843.0)</f>
        <v>6843</v>
      </c>
      <c r="S156" s="329">
        <f>IFERROR(__xludf.DUMMYFUNCTION("""COMPUTED_VALUE"""),3.0)</f>
        <v>3</v>
      </c>
      <c r="T156" s="329">
        <f>IFERROR(__xludf.DUMMYFUNCTION("""COMPUTED_VALUE"""),917.0)</f>
        <v>917</v>
      </c>
      <c r="U156" s="329">
        <f>IFERROR(__xludf.DUMMYFUNCTION("""COMPUTED_VALUE"""),350.0)</f>
        <v>350</v>
      </c>
      <c r="V156" s="329">
        <f>IFERROR(__xludf.DUMMYFUNCTION("""COMPUTED_VALUE"""),360.0)</f>
        <v>360</v>
      </c>
      <c r="W156" s="329">
        <f>IFERROR(__xludf.DUMMYFUNCTION("""COMPUTED_VALUE"""),59.0)</f>
        <v>59</v>
      </c>
      <c r="X156" s="329">
        <f>IFERROR(__xludf.DUMMYFUNCTION("""COMPUTED_VALUE"""),33.0)</f>
        <v>33</v>
      </c>
      <c r="Y156" s="329">
        <f>IFERROR(__xludf.DUMMYFUNCTION("""COMPUTED_VALUE"""),7.0)</f>
        <v>7</v>
      </c>
      <c r="Z156" s="329">
        <f>IFERROR(__xludf.DUMMYFUNCTION("""COMPUTED_VALUE"""),2317.0)</f>
        <v>2317</v>
      </c>
      <c r="AA156" s="257">
        <f>IFERROR(__xludf.DUMMYFUNCTION("""COMPUTED_VALUE"""),2253.0)</f>
        <v>2253</v>
      </c>
      <c r="AB156" s="257">
        <f>IFERROR(__xludf.DUMMYFUNCTION("""COMPUTED_VALUE"""),2798.0)</f>
        <v>2798</v>
      </c>
      <c r="AC156" s="257">
        <f>IFERROR(__xludf.DUMMYFUNCTION("""COMPUTED_VALUE"""),5051.0)</f>
        <v>5051</v>
      </c>
      <c r="AD156" s="257">
        <f>IFERROR(__xludf.DUMMYFUNCTION("""COMPUTED_VALUE"""),91775.0)</f>
        <v>91775</v>
      </c>
      <c r="AE156" s="257">
        <f>IFERROR(__xludf.DUMMYFUNCTION("""COMPUTED_VALUE"""),2253.0)</f>
        <v>2253</v>
      </c>
      <c r="AF156" s="257">
        <f>IFERROR(__xludf.DUMMYFUNCTION("""COMPUTED_VALUE"""),67874.0)</f>
        <v>67874</v>
      </c>
      <c r="AG156" s="257">
        <f>IFERROR(__xludf.DUMMYFUNCTION("""COMPUTED_VALUE"""),2798.0)</f>
        <v>2798</v>
      </c>
      <c r="AH156" s="257">
        <f>IFERROR(__xludf.DUMMYFUNCTION("""COMPUTED_VALUE"""),23901.0)</f>
        <v>23901</v>
      </c>
    </row>
    <row r="157">
      <c r="A157" s="328">
        <f>IFERROR(__xludf.DUMMYFUNCTION("""COMPUTED_VALUE"""),44224.0)</f>
        <v>44224</v>
      </c>
      <c r="B157" s="329">
        <f>IFERROR(__xludf.DUMMYFUNCTION("""COMPUTED_VALUE"""),765.0)</f>
        <v>765</v>
      </c>
      <c r="C157" s="329">
        <f>IFERROR(__xludf.DUMMYFUNCTION("""COMPUTED_VALUE"""),779.0)</f>
        <v>779</v>
      </c>
      <c r="D157" s="329">
        <f>IFERROR(__xludf.DUMMYFUNCTION("""COMPUTED_VALUE"""),136994.0)</f>
        <v>136994</v>
      </c>
      <c r="E157" s="329">
        <f>IFERROR(__xludf.DUMMYFUNCTION("""COMPUTED_VALUE"""),22592.0)</f>
        <v>22592</v>
      </c>
      <c r="F157" s="257">
        <f>IFERROR(__xludf.DUMMYFUNCTION("""COMPUTED_VALUE"""),2367402.0)</f>
        <v>2367402</v>
      </c>
      <c r="G157" s="257">
        <f>IFERROR(__xludf.DUMMYFUNCTION("""COMPUTED_VALUE"""),23357.0)</f>
        <v>23357</v>
      </c>
      <c r="H157" s="257">
        <f>IFERROR(__xludf.DUMMYFUNCTION("""COMPUTED_VALUE"""),2504396.0)</f>
        <v>2504396</v>
      </c>
      <c r="I157" s="329">
        <f>IFERROR(__xludf.DUMMYFUNCTION("""COMPUTED_VALUE"""),638.0)</f>
        <v>638</v>
      </c>
      <c r="J157" s="329">
        <f>IFERROR(__xludf.DUMMYFUNCTION("""COMPUTED_VALUE"""),664.0)</f>
        <v>664</v>
      </c>
      <c r="K157" s="329">
        <f>IFERROR(__xludf.DUMMYFUNCTION("""COMPUTED_VALUE"""),114709.0)</f>
        <v>114709</v>
      </c>
      <c r="L157" s="329">
        <f>IFERROR(__xludf.DUMMYFUNCTION("""COMPUTED_VALUE"""),3055.0)</f>
        <v>3055</v>
      </c>
      <c r="M157" s="329">
        <f>IFERROR(__xludf.DUMMYFUNCTION("""COMPUTED_VALUE"""),614720.0)</f>
        <v>614720</v>
      </c>
      <c r="N157" s="329">
        <f>IFERROR(__xludf.DUMMYFUNCTION("""COMPUTED_VALUE"""),729429.0)</f>
        <v>729429</v>
      </c>
      <c r="O157" s="329">
        <f>IFERROR(__xludf.DUMMYFUNCTION("""COMPUTED_VALUE"""),34.0)</f>
        <v>34</v>
      </c>
      <c r="P157" s="329">
        <f>IFERROR(__xludf.DUMMYFUNCTION("""COMPUTED_VALUE"""),8144.0)</f>
        <v>8144</v>
      </c>
      <c r="Q157" s="329">
        <f>IFERROR(__xludf.DUMMYFUNCTION("""COMPUTED_VALUE"""),35.0)</f>
        <v>35</v>
      </c>
      <c r="R157" s="329">
        <f>IFERROR(__xludf.DUMMYFUNCTION("""COMPUTED_VALUE"""),6878.0)</f>
        <v>6878</v>
      </c>
      <c r="S157" s="329">
        <f>IFERROR(__xludf.DUMMYFUNCTION("""COMPUTED_VALUE"""),4.0)</f>
        <v>4</v>
      </c>
      <c r="T157" s="329">
        <f>IFERROR(__xludf.DUMMYFUNCTION("""COMPUTED_VALUE"""),921.0)</f>
        <v>921</v>
      </c>
      <c r="U157" s="329">
        <f>IFERROR(__xludf.DUMMYFUNCTION("""COMPUTED_VALUE"""),345.0)</f>
        <v>345</v>
      </c>
      <c r="V157" s="329">
        <f>IFERROR(__xludf.DUMMYFUNCTION("""COMPUTED_VALUE"""),352.0)</f>
        <v>352</v>
      </c>
      <c r="W157" s="329">
        <f>IFERROR(__xludf.DUMMYFUNCTION("""COMPUTED_VALUE"""),55.0)</f>
        <v>55</v>
      </c>
      <c r="X157" s="329">
        <f>IFERROR(__xludf.DUMMYFUNCTION("""COMPUTED_VALUE"""),31.0)</f>
        <v>31</v>
      </c>
      <c r="Y157" s="329">
        <f>IFERROR(__xludf.DUMMYFUNCTION("""COMPUTED_VALUE"""),14.0)</f>
        <v>14</v>
      </c>
      <c r="Z157" s="329">
        <f>IFERROR(__xludf.DUMMYFUNCTION("""COMPUTED_VALUE"""),2331.0)</f>
        <v>2331</v>
      </c>
      <c r="AA157" s="257">
        <f>IFERROR(__xludf.DUMMYFUNCTION("""COMPUTED_VALUE"""),2732.0)</f>
        <v>2732</v>
      </c>
      <c r="AB157" s="257">
        <f>IFERROR(__xludf.DUMMYFUNCTION("""COMPUTED_VALUE"""),1095.0)</f>
        <v>1095</v>
      </c>
      <c r="AC157" s="257">
        <f>IFERROR(__xludf.DUMMYFUNCTION("""COMPUTED_VALUE"""),3827.0)</f>
        <v>3827</v>
      </c>
      <c r="AD157" s="257">
        <f>IFERROR(__xludf.DUMMYFUNCTION("""COMPUTED_VALUE"""),95602.0)</f>
        <v>95602</v>
      </c>
      <c r="AE157" s="257">
        <f>IFERROR(__xludf.DUMMYFUNCTION("""COMPUTED_VALUE"""),2732.0)</f>
        <v>2732</v>
      </c>
      <c r="AF157" s="257">
        <f>IFERROR(__xludf.DUMMYFUNCTION("""COMPUTED_VALUE"""),70606.0)</f>
        <v>70606</v>
      </c>
      <c r="AG157" s="257">
        <f>IFERROR(__xludf.DUMMYFUNCTION("""COMPUTED_VALUE"""),1095.0)</f>
        <v>1095</v>
      </c>
      <c r="AH157" s="257">
        <f>IFERROR(__xludf.DUMMYFUNCTION("""COMPUTED_VALUE"""),24996.0)</f>
        <v>24996</v>
      </c>
    </row>
    <row r="158">
      <c r="A158" s="328">
        <f>IFERROR(__xludf.DUMMYFUNCTION("""COMPUTED_VALUE"""),44225.0)</f>
        <v>44225</v>
      </c>
      <c r="B158" s="329">
        <f>IFERROR(__xludf.DUMMYFUNCTION("""COMPUTED_VALUE"""),672.0)</f>
        <v>672</v>
      </c>
      <c r="C158" s="329">
        <f>IFERROR(__xludf.DUMMYFUNCTION("""COMPUTED_VALUE"""),761.0)</f>
        <v>761</v>
      </c>
      <c r="D158" s="329">
        <f>IFERROR(__xludf.DUMMYFUNCTION("""COMPUTED_VALUE"""),137666.0)</f>
        <v>137666</v>
      </c>
      <c r="E158" s="329">
        <f>IFERROR(__xludf.DUMMYFUNCTION("""COMPUTED_VALUE"""),20066.0)</f>
        <v>20066</v>
      </c>
      <c r="F158" s="257">
        <f>IFERROR(__xludf.DUMMYFUNCTION("""COMPUTED_VALUE"""),2387468.0)</f>
        <v>2387468</v>
      </c>
      <c r="G158" s="257">
        <f>IFERROR(__xludf.DUMMYFUNCTION("""COMPUTED_VALUE"""),20738.0)</f>
        <v>20738</v>
      </c>
      <c r="H158" s="257">
        <f>IFERROR(__xludf.DUMMYFUNCTION("""COMPUTED_VALUE"""),2525134.0)</f>
        <v>2525134</v>
      </c>
      <c r="I158" s="329">
        <f>IFERROR(__xludf.DUMMYFUNCTION("""COMPUTED_VALUE"""),592.0)</f>
        <v>592</v>
      </c>
      <c r="J158" s="329">
        <f>IFERROR(__xludf.DUMMYFUNCTION("""COMPUTED_VALUE"""),648.0)</f>
        <v>648</v>
      </c>
      <c r="K158" s="329">
        <f>IFERROR(__xludf.DUMMYFUNCTION("""COMPUTED_VALUE"""),115301.0)</f>
        <v>115301</v>
      </c>
      <c r="L158" s="329">
        <f>IFERROR(__xludf.DUMMYFUNCTION("""COMPUTED_VALUE"""),2525.0)</f>
        <v>2525</v>
      </c>
      <c r="M158" s="329">
        <f>IFERROR(__xludf.DUMMYFUNCTION("""COMPUTED_VALUE"""),617245.0)</f>
        <v>617245</v>
      </c>
      <c r="N158" s="329">
        <f>IFERROR(__xludf.DUMMYFUNCTION("""COMPUTED_VALUE"""),732546.0)</f>
        <v>732546</v>
      </c>
      <c r="O158" s="329">
        <f>IFERROR(__xludf.DUMMYFUNCTION("""COMPUTED_VALUE"""),41.0)</f>
        <v>41</v>
      </c>
      <c r="P158" s="329">
        <f>IFERROR(__xludf.DUMMYFUNCTION("""COMPUTED_VALUE"""),8185.0)</f>
        <v>8185</v>
      </c>
      <c r="Q158" s="329">
        <f>IFERROR(__xludf.DUMMYFUNCTION("""COMPUTED_VALUE"""),53.0)</f>
        <v>53</v>
      </c>
      <c r="R158" s="329">
        <f>IFERROR(__xludf.DUMMYFUNCTION("""COMPUTED_VALUE"""),6931.0)</f>
        <v>6931</v>
      </c>
      <c r="S158" s="329">
        <f>IFERROR(__xludf.DUMMYFUNCTION("""COMPUTED_VALUE"""),4.0)</f>
        <v>4</v>
      </c>
      <c r="T158" s="329">
        <f>IFERROR(__xludf.DUMMYFUNCTION("""COMPUTED_VALUE"""),925.0)</f>
        <v>925</v>
      </c>
      <c r="U158" s="329">
        <f>IFERROR(__xludf.DUMMYFUNCTION("""COMPUTED_VALUE"""),329.0)</f>
        <v>329</v>
      </c>
      <c r="V158" s="329">
        <f>IFERROR(__xludf.DUMMYFUNCTION("""COMPUTED_VALUE"""),341.0)</f>
        <v>341</v>
      </c>
      <c r="W158" s="329">
        <f>IFERROR(__xludf.DUMMYFUNCTION("""COMPUTED_VALUE"""),57.0)</f>
        <v>57</v>
      </c>
      <c r="X158" s="329">
        <f>IFERROR(__xludf.DUMMYFUNCTION("""COMPUTED_VALUE"""),34.0)</f>
        <v>34</v>
      </c>
      <c r="Y158" s="329">
        <f>IFERROR(__xludf.DUMMYFUNCTION("""COMPUTED_VALUE"""),7.0)</f>
        <v>7</v>
      </c>
      <c r="Z158" s="329">
        <f>IFERROR(__xludf.DUMMYFUNCTION("""COMPUTED_VALUE"""),2338.0)</f>
        <v>2338</v>
      </c>
      <c r="AA158" s="257">
        <f>IFERROR(__xludf.DUMMYFUNCTION("""COMPUTED_VALUE"""),2280.0)</f>
        <v>2280</v>
      </c>
      <c r="AB158" s="257">
        <f>IFERROR(__xludf.DUMMYFUNCTION("""COMPUTED_VALUE"""),1193.0)</f>
        <v>1193</v>
      </c>
      <c r="AC158" s="257">
        <f>IFERROR(__xludf.DUMMYFUNCTION("""COMPUTED_VALUE"""),3473.0)</f>
        <v>3473</v>
      </c>
      <c r="AD158" s="257">
        <f>IFERROR(__xludf.DUMMYFUNCTION("""COMPUTED_VALUE"""),99075.0)</f>
        <v>99075</v>
      </c>
      <c r="AE158" s="257">
        <f>IFERROR(__xludf.DUMMYFUNCTION("""COMPUTED_VALUE"""),2280.0)</f>
        <v>2280</v>
      </c>
      <c r="AF158" s="257">
        <f>IFERROR(__xludf.DUMMYFUNCTION("""COMPUTED_VALUE"""),72886.0)</f>
        <v>72886</v>
      </c>
      <c r="AG158" s="257">
        <f>IFERROR(__xludf.DUMMYFUNCTION("""COMPUTED_VALUE"""),1193.0)</f>
        <v>1193</v>
      </c>
      <c r="AH158" s="257">
        <f>IFERROR(__xludf.DUMMYFUNCTION("""COMPUTED_VALUE"""),26189.0)</f>
        <v>26189</v>
      </c>
    </row>
    <row r="159">
      <c r="A159" s="328">
        <f>IFERROR(__xludf.DUMMYFUNCTION("""COMPUTED_VALUE"""),44226.0)</f>
        <v>44226</v>
      </c>
      <c r="B159" s="329">
        <f>IFERROR(__xludf.DUMMYFUNCTION("""COMPUTED_VALUE"""),695.0)</f>
        <v>695</v>
      </c>
      <c r="C159" s="329">
        <f>IFERROR(__xludf.DUMMYFUNCTION("""COMPUTED_VALUE"""),711.0)</f>
        <v>711</v>
      </c>
      <c r="D159" s="329">
        <f>IFERROR(__xludf.DUMMYFUNCTION("""COMPUTED_VALUE"""),138361.0)</f>
        <v>138361</v>
      </c>
      <c r="E159" s="329">
        <f>IFERROR(__xludf.DUMMYFUNCTION("""COMPUTED_VALUE"""),16300.0)</f>
        <v>16300</v>
      </c>
      <c r="F159" s="257">
        <f>IFERROR(__xludf.DUMMYFUNCTION("""COMPUTED_VALUE"""),2403768.0)</f>
        <v>2403768</v>
      </c>
      <c r="G159" s="257">
        <f>IFERROR(__xludf.DUMMYFUNCTION("""COMPUTED_VALUE"""),16995.0)</f>
        <v>16995</v>
      </c>
      <c r="H159" s="257">
        <f>IFERROR(__xludf.DUMMYFUNCTION("""COMPUTED_VALUE"""),2542129.0)</f>
        <v>2542129</v>
      </c>
      <c r="I159" s="329">
        <f>IFERROR(__xludf.DUMMYFUNCTION("""COMPUTED_VALUE"""),590.0)</f>
        <v>590</v>
      </c>
      <c r="J159" s="329">
        <f>IFERROR(__xludf.DUMMYFUNCTION("""COMPUTED_VALUE"""),607.0)</f>
        <v>607</v>
      </c>
      <c r="K159" s="329">
        <f>IFERROR(__xludf.DUMMYFUNCTION("""COMPUTED_VALUE"""),115891.0)</f>
        <v>115891</v>
      </c>
      <c r="L159" s="329">
        <f>IFERROR(__xludf.DUMMYFUNCTION("""COMPUTED_VALUE"""),2288.0)</f>
        <v>2288</v>
      </c>
      <c r="M159" s="329">
        <f>IFERROR(__xludf.DUMMYFUNCTION("""COMPUTED_VALUE"""),619533.0)</f>
        <v>619533</v>
      </c>
      <c r="N159" s="329">
        <f>IFERROR(__xludf.DUMMYFUNCTION("""COMPUTED_VALUE"""),735424.0)</f>
        <v>735424</v>
      </c>
      <c r="O159" s="329">
        <f>IFERROR(__xludf.DUMMYFUNCTION("""COMPUTED_VALUE"""),39.0)</f>
        <v>39</v>
      </c>
      <c r="P159" s="329">
        <f>IFERROR(__xludf.DUMMYFUNCTION("""COMPUTED_VALUE"""),8224.0)</f>
        <v>8224</v>
      </c>
      <c r="Q159" s="329">
        <f>IFERROR(__xludf.DUMMYFUNCTION("""COMPUTED_VALUE"""),30.0)</f>
        <v>30</v>
      </c>
      <c r="R159" s="329">
        <f>IFERROR(__xludf.DUMMYFUNCTION("""COMPUTED_VALUE"""),6961.0)</f>
        <v>6961</v>
      </c>
      <c r="S159" s="329">
        <f>IFERROR(__xludf.DUMMYFUNCTION("""COMPUTED_VALUE"""),4.0)</f>
        <v>4</v>
      </c>
      <c r="T159" s="329">
        <f>IFERROR(__xludf.DUMMYFUNCTION("""COMPUTED_VALUE"""),929.0)</f>
        <v>929</v>
      </c>
      <c r="U159" s="329">
        <f>IFERROR(__xludf.DUMMYFUNCTION("""COMPUTED_VALUE"""),334.0)</f>
        <v>334</v>
      </c>
      <c r="V159" s="329">
        <f>IFERROR(__xludf.DUMMYFUNCTION("""COMPUTED_VALUE"""),336.0)</f>
        <v>336</v>
      </c>
      <c r="W159" s="329">
        <f>IFERROR(__xludf.DUMMYFUNCTION("""COMPUTED_VALUE"""),52.0)</f>
        <v>52</v>
      </c>
      <c r="X159" s="329">
        <f>IFERROR(__xludf.DUMMYFUNCTION("""COMPUTED_VALUE"""),31.0)</f>
        <v>31</v>
      </c>
      <c r="Y159" s="329">
        <f>IFERROR(__xludf.DUMMYFUNCTION("""COMPUTED_VALUE"""),9.0)</f>
        <v>9</v>
      </c>
      <c r="Z159" s="329">
        <f>IFERROR(__xludf.DUMMYFUNCTION("""COMPUTED_VALUE"""),2347.0)</f>
        <v>2347</v>
      </c>
      <c r="AA159" s="257">
        <f>IFERROR(__xludf.DUMMYFUNCTION("""COMPUTED_VALUE"""),3532.0)</f>
        <v>3532</v>
      </c>
      <c r="AB159" s="257">
        <f>IFERROR(__xludf.DUMMYFUNCTION("""COMPUTED_VALUE"""),2108.0)</f>
        <v>2108</v>
      </c>
      <c r="AC159" s="257">
        <f>IFERROR(__xludf.DUMMYFUNCTION("""COMPUTED_VALUE"""),5640.0)</f>
        <v>5640</v>
      </c>
      <c r="AD159" s="257">
        <f>IFERROR(__xludf.DUMMYFUNCTION("""COMPUTED_VALUE"""),104715.0)</f>
        <v>104715</v>
      </c>
      <c r="AE159" s="257">
        <f>IFERROR(__xludf.DUMMYFUNCTION("""COMPUTED_VALUE"""),3532.0)</f>
        <v>3532</v>
      </c>
      <c r="AF159" s="257">
        <f>IFERROR(__xludf.DUMMYFUNCTION("""COMPUTED_VALUE"""),76418.0)</f>
        <v>76418</v>
      </c>
      <c r="AG159" s="257">
        <f>IFERROR(__xludf.DUMMYFUNCTION("""COMPUTED_VALUE"""),2108.0)</f>
        <v>2108</v>
      </c>
      <c r="AH159" s="257">
        <f>IFERROR(__xludf.DUMMYFUNCTION("""COMPUTED_VALUE"""),28297.0)</f>
        <v>28297</v>
      </c>
    </row>
    <row r="160">
      <c r="A160" s="328">
        <f>IFERROR(__xludf.DUMMYFUNCTION("""COMPUTED_VALUE"""),44227.0)</f>
        <v>44227</v>
      </c>
      <c r="B160" s="329">
        <f>IFERROR(__xludf.DUMMYFUNCTION("""COMPUTED_VALUE"""),361.0)</f>
        <v>361</v>
      </c>
      <c r="C160" s="329">
        <f>IFERROR(__xludf.DUMMYFUNCTION("""COMPUTED_VALUE"""),576.0)</f>
        <v>576</v>
      </c>
      <c r="D160" s="329">
        <f>IFERROR(__xludf.DUMMYFUNCTION("""COMPUTED_VALUE"""),138722.0)</f>
        <v>138722</v>
      </c>
      <c r="E160" s="329">
        <f>IFERROR(__xludf.DUMMYFUNCTION("""COMPUTED_VALUE"""),8373.0)</f>
        <v>8373</v>
      </c>
      <c r="F160" s="257">
        <f>IFERROR(__xludf.DUMMYFUNCTION("""COMPUTED_VALUE"""),2412141.0)</f>
        <v>2412141</v>
      </c>
      <c r="G160" s="257">
        <f>IFERROR(__xludf.DUMMYFUNCTION("""COMPUTED_VALUE"""),8734.0)</f>
        <v>8734</v>
      </c>
      <c r="H160" s="257">
        <f>IFERROR(__xludf.DUMMYFUNCTION("""COMPUTED_VALUE"""),2550863.0)</f>
        <v>2550863</v>
      </c>
      <c r="I160" s="329">
        <f>IFERROR(__xludf.DUMMYFUNCTION("""COMPUTED_VALUE"""),320.0)</f>
        <v>320</v>
      </c>
      <c r="J160" s="329">
        <f>IFERROR(__xludf.DUMMYFUNCTION("""COMPUTED_VALUE"""),501.0)</f>
        <v>501</v>
      </c>
      <c r="K160" s="329">
        <f>IFERROR(__xludf.DUMMYFUNCTION("""COMPUTED_VALUE"""),116211.0)</f>
        <v>116211</v>
      </c>
      <c r="L160" s="329">
        <f>IFERROR(__xludf.DUMMYFUNCTION("""COMPUTED_VALUE"""),1150.0)</f>
        <v>1150</v>
      </c>
      <c r="M160" s="329">
        <f>IFERROR(__xludf.DUMMYFUNCTION("""COMPUTED_VALUE"""),620683.0)</f>
        <v>620683</v>
      </c>
      <c r="N160" s="329">
        <f>IFERROR(__xludf.DUMMYFUNCTION("""COMPUTED_VALUE"""),736894.0)</f>
        <v>736894</v>
      </c>
      <c r="O160" s="329">
        <f>IFERROR(__xludf.DUMMYFUNCTION("""COMPUTED_VALUE"""),36.0)</f>
        <v>36</v>
      </c>
      <c r="P160" s="329">
        <f>IFERROR(__xludf.DUMMYFUNCTION("""COMPUTED_VALUE"""),8260.0)</f>
        <v>8260</v>
      </c>
      <c r="Q160" s="329">
        <f>IFERROR(__xludf.DUMMYFUNCTION("""COMPUTED_VALUE"""),36.0)</f>
        <v>36</v>
      </c>
      <c r="R160" s="329">
        <f>IFERROR(__xludf.DUMMYFUNCTION("""COMPUTED_VALUE"""),6997.0)</f>
        <v>6997</v>
      </c>
      <c r="S160" s="329">
        <f>IFERROR(__xludf.DUMMYFUNCTION("""COMPUTED_VALUE"""),2.0)</f>
        <v>2</v>
      </c>
      <c r="T160" s="329">
        <f>IFERROR(__xludf.DUMMYFUNCTION("""COMPUTED_VALUE"""),931.0)</f>
        <v>931</v>
      </c>
      <c r="U160" s="329">
        <f>IFERROR(__xludf.DUMMYFUNCTION("""COMPUTED_VALUE"""),332.0)</f>
        <v>332</v>
      </c>
      <c r="V160" s="329">
        <f>IFERROR(__xludf.DUMMYFUNCTION("""COMPUTED_VALUE"""),332.0)</f>
        <v>332</v>
      </c>
      <c r="W160" s="329">
        <f>IFERROR(__xludf.DUMMYFUNCTION("""COMPUTED_VALUE"""),46.0)</f>
        <v>46</v>
      </c>
      <c r="X160" s="329">
        <f>IFERROR(__xludf.DUMMYFUNCTION("""COMPUTED_VALUE"""),26.0)</f>
        <v>26</v>
      </c>
      <c r="Y160" s="329">
        <f>IFERROR(__xludf.DUMMYFUNCTION("""COMPUTED_VALUE"""),8.0)</f>
        <v>8</v>
      </c>
      <c r="Z160" s="329">
        <f>IFERROR(__xludf.DUMMYFUNCTION("""COMPUTED_VALUE"""),2355.0)</f>
        <v>2355</v>
      </c>
      <c r="AA160" s="257">
        <f>IFERROR(__xludf.DUMMYFUNCTION("""COMPUTED_VALUE"""),2322.0)</f>
        <v>2322</v>
      </c>
      <c r="AB160" s="257">
        <f>IFERROR(__xludf.DUMMYFUNCTION("""COMPUTED_VALUE"""),390.0)</f>
        <v>390</v>
      </c>
      <c r="AC160" s="257">
        <f>IFERROR(__xludf.DUMMYFUNCTION("""COMPUTED_VALUE"""),2712.0)</f>
        <v>2712</v>
      </c>
      <c r="AD160" s="257">
        <f>IFERROR(__xludf.DUMMYFUNCTION("""COMPUTED_VALUE"""),107427.0)</f>
        <v>107427</v>
      </c>
      <c r="AE160" s="257">
        <f>IFERROR(__xludf.DUMMYFUNCTION("""COMPUTED_VALUE"""),2322.0)</f>
        <v>2322</v>
      </c>
      <c r="AF160" s="257">
        <f>IFERROR(__xludf.DUMMYFUNCTION("""COMPUTED_VALUE"""),78740.0)</f>
        <v>78740</v>
      </c>
      <c r="AG160" s="257">
        <f>IFERROR(__xludf.DUMMYFUNCTION("""COMPUTED_VALUE"""),390.0)</f>
        <v>390</v>
      </c>
      <c r="AH160" s="257">
        <f>IFERROR(__xludf.DUMMYFUNCTION("""COMPUTED_VALUE"""),28687.0)</f>
        <v>28687</v>
      </c>
    </row>
    <row r="161">
      <c r="A161" s="328">
        <f>IFERROR(__xludf.DUMMYFUNCTION("""COMPUTED_VALUE"""),44228.0)</f>
        <v>44228</v>
      </c>
      <c r="B161" s="329">
        <f>IFERROR(__xludf.DUMMYFUNCTION("""COMPUTED_VALUE"""),238.0)</f>
        <v>238</v>
      </c>
      <c r="C161" s="329">
        <f>IFERROR(__xludf.DUMMYFUNCTION("""COMPUTED_VALUE"""),431.0)</f>
        <v>431</v>
      </c>
      <c r="D161" s="329">
        <f>IFERROR(__xludf.DUMMYFUNCTION("""COMPUTED_VALUE"""),138960.0)</f>
        <v>138960</v>
      </c>
      <c r="E161" s="329">
        <f>IFERROR(__xludf.DUMMYFUNCTION("""COMPUTED_VALUE"""),7378.0)</f>
        <v>7378</v>
      </c>
      <c r="F161" s="257">
        <f>IFERROR(__xludf.DUMMYFUNCTION("""COMPUTED_VALUE"""),2419519.0)</f>
        <v>2419519</v>
      </c>
      <c r="G161" s="257">
        <f>IFERROR(__xludf.DUMMYFUNCTION("""COMPUTED_VALUE"""),7616.0)</f>
        <v>7616</v>
      </c>
      <c r="H161" s="257">
        <f>IFERROR(__xludf.DUMMYFUNCTION("""COMPUTED_VALUE"""),2558479.0)</f>
        <v>2558479</v>
      </c>
      <c r="I161" s="329">
        <f>IFERROR(__xludf.DUMMYFUNCTION("""COMPUTED_VALUE"""),204.0)</f>
        <v>204</v>
      </c>
      <c r="J161" s="329">
        <f>IFERROR(__xludf.DUMMYFUNCTION("""COMPUTED_VALUE"""),371.0)</f>
        <v>371</v>
      </c>
      <c r="K161" s="329">
        <f>IFERROR(__xludf.DUMMYFUNCTION("""COMPUTED_VALUE"""),116415.0)</f>
        <v>116415</v>
      </c>
      <c r="L161" s="329">
        <f>IFERROR(__xludf.DUMMYFUNCTION("""COMPUTED_VALUE"""),673.0)</f>
        <v>673</v>
      </c>
      <c r="M161" s="329">
        <f>IFERROR(__xludf.DUMMYFUNCTION("""COMPUTED_VALUE"""),621356.0)</f>
        <v>621356</v>
      </c>
      <c r="N161" s="329">
        <f>IFERROR(__xludf.DUMMYFUNCTION("""COMPUTED_VALUE"""),737771.0)</f>
        <v>737771</v>
      </c>
      <c r="O161" s="329">
        <f>IFERROR(__xludf.DUMMYFUNCTION("""COMPUTED_VALUE"""),35.0)</f>
        <v>35</v>
      </c>
      <c r="P161" s="329">
        <f>IFERROR(__xludf.DUMMYFUNCTION("""COMPUTED_VALUE"""),8295.0)</f>
        <v>8295</v>
      </c>
      <c r="Q161" s="329">
        <f>IFERROR(__xludf.DUMMYFUNCTION("""COMPUTED_VALUE"""),39.0)</f>
        <v>39</v>
      </c>
      <c r="R161" s="329">
        <f>IFERROR(__xludf.DUMMYFUNCTION("""COMPUTED_VALUE"""),7036.0)</f>
        <v>7036</v>
      </c>
      <c r="S161" s="329">
        <f>IFERROR(__xludf.DUMMYFUNCTION("""COMPUTED_VALUE"""),7.0)</f>
        <v>7</v>
      </c>
      <c r="T161" s="329">
        <f>IFERROR(__xludf.DUMMYFUNCTION("""COMPUTED_VALUE"""),938.0)</f>
        <v>938</v>
      </c>
      <c r="U161" s="329">
        <f>IFERROR(__xludf.DUMMYFUNCTION("""COMPUTED_VALUE"""),321.0)</f>
        <v>321</v>
      </c>
      <c r="V161" s="329">
        <f>IFERROR(__xludf.DUMMYFUNCTION("""COMPUTED_VALUE"""),329.0)</f>
        <v>329</v>
      </c>
      <c r="W161" s="329">
        <f>IFERROR(__xludf.DUMMYFUNCTION("""COMPUTED_VALUE"""),44.0)</f>
        <v>44</v>
      </c>
      <c r="X161" s="329">
        <f>IFERROR(__xludf.DUMMYFUNCTION("""COMPUTED_VALUE"""),23.0)</f>
        <v>23</v>
      </c>
      <c r="Y161" s="329">
        <f>IFERROR(__xludf.DUMMYFUNCTION("""COMPUTED_VALUE"""),11.0)</f>
        <v>11</v>
      </c>
      <c r="Z161" s="329">
        <f>IFERROR(__xludf.DUMMYFUNCTION("""COMPUTED_VALUE"""),2366.0)</f>
        <v>2366</v>
      </c>
      <c r="AA161" s="257">
        <f>IFERROR(__xludf.DUMMYFUNCTION("""COMPUTED_VALUE"""),426.0)</f>
        <v>426</v>
      </c>
      <c r="AB161" s="257">
        <f>IFERROR(__xludf.DUMMYFUNCTION("""COMPUTED_VALUE"""),1033.0)</f>
        <v>1033</v>
      </c>
      <c r="AC161" s="257">
        <f>IFERROR(__xludf.DUMMYFUNCTION("""COMPUTED_VALUE"""),1459.0)</f>
        <v>1459</v>
      </c>
      <c r="AD161" s="257">
        <f>IFERROR(__xludf.DUMMYFUNCTION("""COMPUTED_VALUE"""),108886.0)</f>
        <v>108886</v>
      </c>
      <c r="AE161" s="257">
        <f>IFERROR(__xludf.DUMMYFUNCTION("""COMPUTED_VALUE"""),426.0)</f>
        <v>426</v>
      </c>
      <c r="AF161" s="257">
        <f>IFERROR(__xludf.DUMMYFUNCTION("""COMPUTED_VALUE"""),79166.0)</f>
        <v>79166</v>
      </c>
      <c r="AG161" s="257">
        <f>IFERROR(__xludf.DUMMYFUNCTION("""COMPUTED_VALUE"""),1033.0)</f>
        <v>1033</v>
      </c>
      <c r="AH161" s="257">
        <f>IFERROR(__xludf.DUMMYFUNCTION("""COMPUTED_VALUE"""),29720.0)</f>
        <v>29720</v>
      </c>
    </row>
    <row r="162">
      <c r="A162" s="328">
        <f>IFERROR(__xludf.DUMMYFUNCTION("""COMPUTED_VALUE"""),44229.0)</f>
        <v>44229</v>
      </c>
      <c r="B162" s="329">
        <f>IFERROR(__xludf.DUMMYFUNCTION("""COMPUTED_VALUE"""),603.0)</f>
        <v>603</v>
      </c>
      <c r="C162" s="329">
        <f>IFERROR(__xludf.DUMMYFUNCTION("""COMPUTED_VALUE"""),401.0)</f>
        <v>401</v>
      </c>
      <c r="D162" s="329">
        <f>IFERROR(__xludf.DUMMYFUNCTION("""COMPUTED_VALUE"""),139563.0)</f>
        <v>139563</v>
      </c>
      <c r="E162" s="329">
        <f>IFERROR(__xludf.DUMMYFUNCTION("""COMPUTED_VALUE"""),14851.0)</f>
        <v>14851</v>
      </c>
      <c r="F162" s="257">
        <f>IFERROR(__xludf.DUMMYFUNCTION("""COMPUTED_VALUE"""),2434370.0)</f>
        <v>2434370</v>
      </c>
      <c r="G162" s="257">
        <f>IFERROR(__xludf.DUMMYFUNCTION("""COMPUTED_VALUE"""),15454.0)</f>
        <v>15454</v>
      </c>
      <c r="H162" s="257">
        <f>IFERROR(__xludf.DUMMYFUNCTION("""COMPUTED_VALUE"""),2573933.0)</f>
        <v>2573933</v>
      </c>
      <c r="I162" s="329">
        <f>IFERROR(__xludf.DUMMYFUNCTION("""COMPUTED_VALUE"""),537.0)</f>
        <v>537</v>
      </c>
      <c r="J162" s="329">
        <f>IFERROR(__xludf.DUMMYFUNCTION("""COMPUTED_VALUE"""),354.0)</f>
        <v>354</v>
      </c>
      <c r="K162" s="329">
        <f>IFERROR(__xludf.DUMMYFUNCTION("""COMPUTED_VALUE"""),116952.0)</f>
        <v>116952</v>
      </c>
      <c r="L162" s="329">
        <f>IFERROR(__xludf.DUMMYFUNCTION("""COMPUTED_VALUE"""),1906.0)</f>
        <v>1906</v>
      </c>
      <c r="M162" s="329">
        <f>IFERROR(__xludf.DUMMYFUNCTION("""COMPUTED_VALUE"""),623262.0)</f>
        <v>623262</v>
      </c>
      <c r="N162" s="329">
        <f>IFERROR(__xludf.DUMMYFUNCTION("""COMPUTED_VALUE"""),740214.0)</f>
        <v>740214</v>
      </c>
      <c r="O162" s="329">
        <f>IFERROR(__xludf.DUMMYFUNCTION("""COMPUTED_VALUE"""),48.0)</f>
        <v>48</v>
      </c>
      <c r="P162" s="329">
        <f>IFERROR(__xludf.DUMMYFUNCTION("""COMPUTED_VALUE"""),8343.0)</f>
        <v>8343</v>
      </c>
      <c r="Q162" s="329">
        <f>IFERROR(__xludf.DUMMYFUNCTION("""COMPUTED_VALUE"""),48.0)</f>
        <v>48</v>
      </c>
      <c r="R162" s="329">
        <f>IFERROR(__xludf.DUMMYFUNCTION("""COMPUTED_VALUE"""),7084.0)</f>
        <v>7084</v>
      </c>
      <c r="S162" s="329">
        <f>IFERROR(__xludf.DUMMYFUNCTION("""COMPUTED_VALUE"""),5.0)</f>
        <v>5</v>
      </c>
      <c r="T162" s="329">
        <f>IFERROR(__xludf.DUMMYFUNCTION("""COMPUTED_VALUE"""),943.0)</f>
        <v>943</v>
      </c>
      <c r="U162" s="329">
        <f>IFERROR(__xludf.DUMMYFUNCTION("""COMPUTED_VALUE"""),316.0)</f>
        <v>316</v>
      </c>
      <c r="V162" s="329">
        <f>IFERROR(__xludf.DUMMYFUNCTION("""COMPUTED_VALUE"""),323.0)</f>
        <v>323</v>
      </c>
      <c r="W162" s="329">
        <f>IFERROR(__xludf.DUMMYFUNCTION("""COMPUTED_VALUE"""),47.0)</f>
        <v>47</v>
      </c>
      <c r="X162" s="329">
        <f>IFERROR(__xludf.DUMMYFUNCTION("""COMPUTED_VALUE"""),24.0)</f>
        <v>24</v>
      </c>
      <c r="Y162" s="329">
        <f>IFERROR(__xludf.DUMMYFUNCTION("""COMPUTED_VALUE"""),14.0)</f>
        <v>14</v>
      </c>
      <c r="Z162" s="329">
        <f>IFERROR(__xludf.DUMMYFUNCTION("""COMPUTED_VALUE"""),2380.0)</f>
        <v>2380</v>
      </c>
      <c r="AA162" s="257">
        <f>IFERROR(__xludf.DUMMYFUNCTION("""COMPUTED_VALUE"""),1717.0)</f>
        <v>1717</v>
      </c>
      <c r="AB162" s="257">
        <f>IFERROR(__xludf.DUMMYFUNCTION("""COMPUTED_VALUE"""),1684.0)</f>
        <v>1684</v>
      </c>
      <c r="AC162" s="257">
        <f>IFERROR(__xludf.DUMMYFUNCTION("""COMPUTED_VALUE"""),3401.0)</f>
        <v>3401</v>
      </c>
      <c r="AD162" s="257">
        <f>IFERROR(__xludf.DUMMYFUNCTION("""COMPUTED_VALUE"""),112287.0)</f>
        <v>112287</v>
      </c>
      <c r="AE162" s="257">
        <f>IFERROR(__xludf.DUMMYFUNCTION("""COMPUTED_VALUE"""),1717.0)</f>
        <v>1717</v>
      </c>
      <c r="AF162" s="257">
        <f>IFERROR(__xludf.DUMMYFUNCTION("""COMPUTED_VALUE"""),80883.0)</f>
        <v>80883</v>
      </c>
      <c r="AG162" s="257">
        <f>IFERROR(__xludf.DUMMYFUNCTION("""COMPUTED_VALUE"""),1684.0)</f>
        <v>1684</v>
      </c>
      <c r="AH162" s="257">
        <f>IFERROR(__xludf.DUMMYFUNCTION("""COMPUTED_VALUE"""),31404.0)</f>
        <v>31404</v>
      </c>
    </row>
    <row r="163">
      <c r="A163" s="328">
        <f>IFERROR(__xludf.DUMMYFUNCTION("""COMPUTED_VALUE"""),44230.0)</f>
        <v>44230</v>
      </c>
      <c r="B163" s="329">
        <f>IFERROR(__xludf.DUMMYFUNCTION("""COMPUTED_VALUE"""),752.0)</f>
        <v>752</v>
      </c>
      <c r="C163" s="329">
        <f>IFERROR(__xludf.DUMMYFUNCTION("""COMPUTED_VALUE"""),531.0)</f>
        <v>531</v>
      </c>
      <c r="D163" s="329">
        <f>IFERROR(__xludf.DUMMYFUNCTION("""COMPUTED_VALUE"""),140315.0)</f>
        <v>140315</v>
      </c>
      <c r="E163" s="329">
        <f>IFERROR(__xludf.DUMMYFUNCTION("""COMPUTED_VALUE"""),24454.0)</f>
        <v>24454</v>
      </c>
      <c r="F163" s="257">
        <f>IFERROR(__xludf.DUMMYFUNCTION("""COMPUTED_VALUE"""),2458824.0)</f>
        <v>2458824</v>
      </c>
      <c r="G163" s="257">
        <f>IFERROR(__xludf.DUMMYFUNCTION("""COMPUTED_VALUE"""),25206.0)</f>
        <v>25206</v>
      </c>
      <c r="H163" s="257">
        <f>IFERROR(__xludf.DUMMYFUNCTION("""COMPUTED_VALUE"""),2599139.0)</f>
        <v>2599139</v>
      </c>
      <c r="I163" s="329">
        <f>IFERROR(__xludf.DUMMYFUNCTION("""COMPUTED_VALUE"""),654.0)</f>
        <v>654</v>
      </c>
      <c r="J163" s="329">
        <f>IFERROR(__xludf.DUMMYFUNCTION("""COMPUTED_VALUE"""),465.0)</f>
        <v>465</v>
      </c>
      <c r="K163" s="329">
        <f>IFERROR(__xludf.DUMMYFUNCTION("""COMPUTED_VALUE"""),117606.0)</f>
        <v>117606</v>
      </c>
      <c r="L163" s="329">
        <f>IFERROR(__xludf.DUMMYFUNCTION("""COMPUTED_VALUE"""),2500.0)</f>
        <v>2500</v>
      </c>
      <c r="M163" s="329">
        <f>IFERROR(__xludf.DUMMYFUNCTION("""COMPUTED_VALUE"""),625762.0)</f>
        <v>625762</v>
      </c>
      <c r="N163" s="329">
        <f>IFERROR(__xludf.DUMMYFUNCTION("""COMPUTED_VALUE"""),743368.0)</f>
        <v>743368</v>
      </c>
      <c r="O163" s="329">
        <f>IFERROR(__xludf.DUMMYFUNCTION("""COMPUTED_VALUE"""),50.0)</f>
        <v>50</v>
      </c>
      <c r="P163" s="329">
        <f>IFERROR(__xludf.DUMMYFUNCTION("""COMPUTED_VALUE"""),8393.0)</f>
        <v>8393</v>
      </c>
      <c r="Q163" s="329">
        <f>IFERROR(__xludf.DUMMYFUNCTION("""COMPUTED_VALUE"""),46.0)</f>
        <v>46</v>
      </c>
      <c r="R163" s="329">
        <f>IFERROR(__xludf.DUMMYFUNCTION("""COMPUTED_VALUE"""),7130.0)</f>
        <v>7130</v>
      </c>
      <c r="S163" s="329">
        <f>IFERROR(__xludf.DUMMYFUNCTION("""COMPUTED_VALUE"""),5.0)</f>
        <v>5</v>
      </c>
      <c r="T163" s="329">
        <f>IFERROR(__xludf.DUMMYFUNCTION("""COMPUTED_VALUE"""),948.0)</f>
        <v>948</v>
      </c>
      <c r="U163" s="329">
        <f>IFERROR(__xludf.DUMMYFUNCTION("""COMPUTED_VALUE"""),315.0)</f>
        <v>315</v>
      </c>
      <c r="V163" s="329">
        <f>IFERROR(__xludf.DUMMYFUNCTION("""COMPUTED_VALUE"""),317.0)</f>
        <v>317</v>
      </c>
      <c r="W163" s="329">
        <f>IFERROR(__xludf.DUMMYFUNCTION("""COMPUTED_VALUE"""),47.0)</f>
        <v>47</v>
      </c>
      <c r="X163" s="329">
        <f>IFERROR(__xludf.DUMMYFUNCTION("""COMPUTED_VALUE"""),22.0)</f>
        <v>22</v>
      </c>
      <c r="Y163" s="329">
        <f>IFERROR(__xludf.DUMMYFUNCTION("""COMPUTED_VALUE"""),14.0)</f>
        <v>14</v>
      </c>
      <c r="Z163" s="329">
        <f>IFERROR(__xludf.DUMMYFUNCTION("""COMPUTED_VALUE"""),2394.0)</f>
        <v>2394</v>
      </c>
      <c r="AA163" s="257">
        <f>IFERROR(__xludf.DUMMYFUNCTION("""COMPUTED_VALUE"""),3901.0)</f>
        <v>3901</v>
      </c>
      <c r="AB163" s="257">
        <f>IFERROR(__xludf.DUMMYFUNCTION("""COMPUTED_VALUE"""),1958.0)</f>
        <v>1958</v>
      </c>
      <c r="AC163" s="257">
        <f>IFERROR(__xludf.DUMMYFUNCTION("""COMPUTED_VALUE"""),5859.0)</f>
        <v>5859</v>
      </c>
      <c r="AD163" s="257">
        <f>IFERROR(__xludf.DUMMYFUNCTION("""COMPUTED_VALUE"""),118146.0)</f>
        <v>118146</v>
      </c>
      <c r="AE163" s="257">
        <f>IFERROR(__xludf.DUMMYFUNCTION("""COMPUTED_VALUE"""),3901.0)</f>
        <v>3901</v>
      </c>
      <c r="AF163" s="257">
        <f>IFERROR(__xludf.DUMMYFUNCTION("""COMPUTED_VALUE"""),84784.0)</f>
        <v>84784</v>
      </c>
      <c r="AG163" s="257">
        <f>IFERROR(__xludf.DUMMYFUNCTION("""COMPUTED_VALUE"""),1958.0)</f>
        <v>1958</v>
      </c>
      <c r="AH163" s="257">
        <f>IFERROR(__xludf.DUMMYFUNCTION("""COMPUTED_VALUE"""),33362.0)</f>
        <v>33362</v>
      </c>
    </row>
    <row r="164">
      <c r="A164" s="328">
        <f>IFERROR(__xludf.DUMMYFUNCTION("""COMPUTED_VALUE"""),44231.0)</f>
        <v>44231</v>
      </c>
      <c r="B164" s="329">
        <f>IFERROR(__xludf.DUMMYFUNCTION("""COMPUTED_VALUE"""),708.0)</f>
        <v>708</v>
      </c>
      <c r="C164" s="329">
        <f>IFERROR(__xludf.DUMMYFUNCTION("""COMPUTED_VALUE"""),688.0)</f>
        <v>688</v>
      </c>
      <c r="D164" s="329">
        <f>IFERROR(__xludf.DUMMYFUNCTION("""COMPUTED_VALUE"""),141023.0)</f>
        <v>141023</v>
      </c>
      <c r="E164" s="329">
        <f>IFERROR(__xludf.DUMMYFUNCTION("""COMPUTED_VALUE"""),23453.0)</f>
        <v>23453</v>
      </c>
      <c r="F164" s="257">
        <f>IFERROR(__xludf.DUMMYFUNCTION("""COMPUTED_VALUE"""),2482277.0)</f>
        <v>2482277</v>
      </c>
      <c r="G164" s="257">
        <f>IFERROR(__xludf.DUMMYFUNCTION("""COMPUTED_VALUE"""),24161.0)</f>
        <v>24161</v>
      </c>
      <c r="H164" s="257">
        <f>IFERROR(__xludf.DUMMYFUNCTION("""COMPUTED_VALUE"""),2623300.0)</f>
        <v>2623300</v>
      </c>
      <c r="I164" s="329">
        <f>IFERROR(__xludf.DUMMYFUNCTION("""COMPUTED_VALUE"""),612.0)</f>
        <v>612</v>
      </c>
      <c r="J164" s="329">
        <f>IFERROR(__xludf.DUMMYFUNCTION("""COMPUTED_VALUE"""),601.0)</f>
        <v>601</v>
      </c>
      <c r="K164" s="329">
        <f>IFERROR(__xludf.DUMMYFUNCTION("""COMPUTED_VALUE"""),118218.0)</f>
        <v>118218</v>
      </c>
      <c r="L164" s="329">
        <f>IFERROR(__xludf.DUMMYFUNCTION("""COMPUTED_VALUE"""),2656.0)</f>
        <v>2656</v>
      </c>
      <c r="M164" s="329">
        <f>IFERROR(__xludf.DUMMYFUNCTION("""COMPUTED_VALUE"""),628418.0)</f>
        <v>628418</v>
      </c>
      <c r="N164" s="329">
        <f>IFERROR(__xludf.DUMMYFUNCTION("""COMPUTED_VALUE"""),746636.0)</f>
        <v>746636</v>
      </c>
      <c r="O164" s="329">
        <f>IFERROR(__xludf.DUMMYFUNCTION("""COMPUTED_VALUE"""),33.0)</f>
        <v>33</v>
      </c>
      <c r="P164" s="329">
        <f>IFERROR(__xludf.DUMMYFUNCTION("""COMPUTED_VALUE"""),8426.0)</f>
        <v>8426</v>
      </c>
      <c r="Q164" s="329">
        <f>IFERROR(__xludf.DUMMYFUNCTION("""COMPUTED_VALUE"""),48.0)</f>
        <v>48</v>
      </c>
      <c r="R164" s="329">
        <f>IFERROR(__xludf.DUMMYFUNCTION("""COMPUTED_VALUE"""),7178.0)</f>
        <v>7178</v>
      </c>
      <c r="S164" s="329">
        <f>IFERROR(__xludf.DUMMYFUNCTION("""COMPUTED_VALUE"""),0.0)</f>
        <v>0</v>
      </c>
      <c r="T164" s="329">
        <f>IFERROR(__xludf.DUMMYFUNCTION("""COMPUTED_VALUE"""),948.0)</f>
        <v>948</v>
      </c>
      <c r="U164" s="329">
        <f>IFERROR(__xludf.DUMMYFUNCTION("""COMPUTED_VALUE"""),300.0)</f>
        <v>300</v>
      </c>
      <c r="V164" s="329">
        <f>IFERROR(__xludf.DUMMYFUNCTION("""COMPUTED_VALUE"""),310.0)</f>
        <v>310</v>
      </c>
      <c r="W164" s="329">
        <f>IFERROR(__xludf.DUMMYFUNCTION("""COMPUTED_VALUE"""),48.0)</f>
        <v>48</v>
      </c>
      <c r="X164" s="329">
        <f>IFERROR(__xludf.DUMMYFUNCTION("""COMPUTED_VALUE"""),23.0)</f>
        <v>23</v>
      </c>
      <c r="Y164" s="329">
        <f>IFERROR(__xludf.DUMMYFUNCTION("""COMPUTED_VALUE"""),8.0)</f>
        <v>8</v>
      </c>
      <c r="Z164" s="329">
        <f>IFERROR(__xludf.DUMMYFUNCTION("""COMPUTED_VALUE"""),2402.0)</f>
        <v>2402</v>
      </c>
      <c r="AA164" s="257">
        <f>IFERROR(__xludf.DUMMYFUNCTION("""COMPUTED_VALUE"""),2916.0)</f>
        <v>2916</v>
      </c>
      <c r="AB164" s="257">
        <f>IFERROR(__xludf.DUMMYFUNCTION("""COMPUTED_VALUE"""),2048.0)</f>
        <v>2048</v>
      </c>
      <c r="AC164" s="257">
        <f>IFERROR(__xludf.DUMMYFUNCTION("""COMPUTED_VALUE"""),4964.0)</f>
        <v>4964</v>
      </c>
      <c r="AD164" s="257">
        <f>IFERROR(__xludf.DUMMYFUNCTION("""COMPUTED_VALUE"""),123110.0)</f>
        <v>123110</v>
      </c>
      <c r="AE164" s="257">
        <f>IFERROR(__xludf.DUMMYFUNCTION("""COMPUTED_VALUE"""),2916.0)</f>
        <v>2916</v>
      </c>
      <c r="AF164" s="257">
        <f>IFERROR(__xludf.DUMMYFUNCTION("""COMPUTED_VALUE"""),87700.0)</f>
        <v>87700</v>
      </c>
      <c r="AG164" s="257">
        <f>IFERROR(__xludf.DUMMYFUNCTION("""COMPUTED_VALUE"""),2048.0)</f>
        <v>2048</v>
      </c>
      <c r="AH164" s="257">
        <f>IFERROR(__xludf.DUMMYFUNCTION("""COMPUTED_VALUE"""),35410.0)</f>
        <v>35410</v>
      </c>
    </row>
    <row r="165">
      <c r="A165" s="328">
        <f>IFERROR(__xludf.DUMMYFUNCTION("""COMPUTED_VALUE"""),44232.0)</f>
        <v>44232</v>
      </c>
      <c r="B165" s="329">
        <f>IFERROR(__xludf.DUMMYFUNCTION("""COMPUTED_VALUE"""),614.0)</f>
        <v>614</v>
      </c>
      <c r="C165" s="329">
        <f>IFERROR(__xludf.DUMMYFUNCTION("""COMPUTED_VALUE"""),691.0)</f>
        <v>691</v>
      </c>
      <c r="D165" s="329">
        <f>IFERROR(__xludf.DUMMYFUNCTION("""COMPUTED_VALUE"""),141637.0)</f>
        <v>141637</v>
      </c>
      <c r="E165" s="329">
        <f>IFERROR(__xludf.DUMMYFUNCTION("""COMPUTED_VALUE"""),20025.0)</f>
        <v>20025</v>
      </c>
      <c r="F165" s="257">
        <f>IFERROR(__xludf.DUMMYFUNCTION("""COMPUTED_VALUE"""),2502302.0)</f>
        <v>2502302</v>
      </c>
      <c r="G165" s="257">
        <f>IFERROR(__xludf.DUMMYFUNCTION("""COMPUTED_VALUE"""),20639.0)</f>
        <v>20639</v>
      </c>
      <c r="H165" s="257">
        <f>IFERROR(__xludf.DUMMYFUNCTION("""COMPUTED_VALUE"""),2643939.0)</f>
        <v>2643939</v>
      </c>
      <c r="I165" s="329">
        <f>IFERROR(__xludf.DUMMYFUNCTION("""COMPUTED_VALUE"""),519.0)</f>
        <v>519</v>
      </c>
      <c r="J165" s="329">
        <f>IFERROR(__xludf.DUMMYFUNCTION("""COMPUTED_VALUE"""),595.0)</f>
        <v>595</v>
      </c>
      <c r="K165" s="329">
        <f>IFERROR(__xludf.DUMMYFUNCTION("""COMPUTED_VALUE"""),118737.0)</f>
        <v>118737</v>
      </c>
      <c r="L165" s="329">
        <f>IFERROR(__xludf.DUMMYFUNCTION("""COMPUTED_VALUE"""),2288.0)</f>
        <v>2288</v>
      </c>
      <c r="M165" s="329">
        <f>IFERROR(__xludf.DUMMYFUNCTION("""COMPUTED_VALUE"""),630706.0)</f>
        <v>630706</v>
      </c>
      <c r="N165" s="329">
        <f>IFERROR(__xludf.DUMMYFUNCTION("""COMPUTED_VALUE"""),749443.0)</f>
        <v>749443</v>
      </c>
      <c r="O165" s="329">
        <f>IFERROR(__xludf.DUMMYFUNCTION("""COMPUTED_VALUE"""),25.0)</f>
        <v>25</v>
      </c>
      <c r="P165" s="329">
        <f>IFERROR(__xludf.DUMMYFUNCTION("""COMPUTED_VALUE"""),8451.0)</f>
        <v>8451</v>
      </c>
      <c r="Q165" s="329">
        <f>IFERROR(__xludf.DUMMYFUNCTION("""COMPUTED_VALUE"""),41.0)</f>
        <v>41</v>
      </c>
      <c r="R165" s="329">
        <f>IFERROR(__xludf.DUMMYFUNCTION("""COMPUTED_VALUE"""),7219.0)</f>
        <v>7219</v>
      </c>
      <c r="S165" s="329">
        <f>IFERROR(__xludf.DUMMYFUNCTION("""COMPUTED_VALUE"""),3.0)</f>
        <v>3</v>
      </c>
      <c r="T165" s="329">
        <f>IFERROR(__xludf.DUMMYFUNCTION("""COMPUTED_VALUE"""),951.0)</f>
        <v>951</v>
      </c>
      <c r="U165" s="329">
        <f>IFERROR(__xludf.DUMMYFUNCTION("""COMPUTED_VALUE"""),281.0)</f>
        <v>281</v>
      </c>
      <c r="V165" s="329">
        <f>IFERROR(__xludf.DUMMYFUNCTION("""COMPUTED_VALUE"""),299.0)</f>
        <v>299</v>
      </c>
      <c r="W165" s="329">
        <f>IFERROR(__xludf.DUMMYFUNCTION("""COMPUTED_VALUE"""),51.0)</f>
        <v>51</v>
      </c>
      <c r="X165" s="329">
        <f>IFERROR(__xludf.DUMMYFUNCTION("""COMPUTED_VALUE"""),24.0)</f>
        <v>24</v>
      </c>
      <c r="Y165" s="329">
        <f>IFERROR(__xludf.DUMMYFUNCTION("""COMPUTED_VALUE"""),6.0)</f>
        <v>6</v>
      </c>
      <c r="Z165" s="329">
        <f>IFERROR(__xludf.DUMMYFUNCTION("""COMPUTED_VALUE"""),2408.0)</f>
        <v>2408</v>
      </c>
      <c r="AA165" s="257">
        <f>IFERROR(__xludf.DUMMYFUNCTION("""COMPUTED_VALUE"""),2945.0)</f>
        <v>2945</v>
      </c>
      <c r="AB165" s="257">
        <f>IFERROR(__xludf.DUMMYFUNCTION("""COMPUTED_VALUE"""),1549.0)</f>
        <v>1549</v>
      </c>
      <c r="AC165" s="257">
        <f>IFERROR(__xludf.DUMMYFUNCTION("""COMPUTED_VALUE"""),4494.0)</f>
        <v>4494</v>
      </c>
      <c r="AD165" s="257">
        <f>IFERROR(__xludf.DUMMYFUNCTION("""COMPUTED_VALUE"""),127604.0)</f>
        <v>127604</v>
      </c>
      <c r="AE165" s="257">
        <f>IFERROR(__xludf.DUMMYFUNCTION("""COMPUTED_VALUE"""),2945.0)</f>
        <v>2945</v>
      </c>
      <c r="AF165" s="257">
        <f>IFERROR(__xludf.DUMMYFUNCTION("""COMPUTED_VALUE"""),90645.0)</f>
        <v>90645</v>
      </c>
      <c r="AG165" s="257">
        <f>IFERROR(__xludf.DUMMYFUNCTION("""COMPUTED_VALUE"""),1549.0)</f>
        <v>1549</v>
      </c>
      <c r="AH165" s="257">
        <f>IFERROR(__xludf.DUMMYFUNCTION("""COMPUTED_VALUE"""),36959.0)</f>
        <v>36959</v>
      </c>
    </row>
    <row r="166">
      <c r="A166" s="328">
        <f>IFERROR(__xludf.DUMMYFUNCTION("""COMPUTED_VALUE"""),44233.0)</f>
        <v>44233</v>
      </c>
      <c r="B166" s="329">
        <f>IFERROR(__xludf.DUMMYFUNCTION("""COMPUTED_VALUE"""),414.0)</f>
        <v>414</v>
      </c>
      <c r="C166" s="329">
        <f>IFERROR(__xludf.DUMMYFUNCTION("""COMPUTED_VALUE"""),579.0)</f>
        <v>579</v>
      </c>
      <c r="D166" s="329">
        <f>IFERROR(__xludf.DUMMYFUNCTION("""COMPUTED_VALUE"""),142051.0)</f>
        <v>142051</v>
      </c>
      <c r="E166" s="329">
        <f>IFERROR(__xludf.DUMMYFUNCTION("""COMPUTED_VALUE"""),15173.0)</f>
        <v>15173</v>
      </c>
      <c r="F166" s="257">
        <f>IFERROR(__xludf.DUMMYFUNCTION("""COMPUTED_VALUE"""),2517475.0)</f>
        <v>2517475</v>
      </c>
      <c r="G166" s="257">
        <f>IFERROR(__xludf.DUMMYFUNCTION("""COMPUTED_VALUE"""),15587.0)</f>
        <v>15587</v>
      </c>
      <c r="H166" s="257">
        <f>IFERROR(__xludf.DUMMYFUNCTION("""COMPUTED_VALUE"""),2659526.0)</f>
        <v>2659526</v>
      </c>
      <c r="I166" s="329">
        <f>IFERROR(__xludf.DUMMYFUNCTION("""COMPUTED_VALUE"""),366.0)</f>
        <v>366</v>
      </c>
      <c r="J166" s="329">
        <f>IFERROR(__xludf.DUMMYFUNCTION("""COMPUTED_VALUE"""),499.0)</f>
        <v>499</v>
      </c>
      <c r="K166" s="329">
        <f>IFERROR(__xludf.DUMMYFUNCTION("""COMPUTED_VALUE"""),119103.0)</f>
        <v>119103</v>
      </c>
      <c r="L166" s="329">
        <f>IFERROR(__xludf.DUMMYFUNCTION("""COMPUTED_VALUE"""),1721.0)</f>
        <v>1721</v>
      </c>
      <c r="M166" s="329">
        <f>IFERROR(__xludf.DUMMYFUNCTION("""COMPUTED_VALUE"""),632427.0)</f>
        <v>632427</v>
      </c>
      <c r="N166" s="329">
        <f>IFERROR(__xludf.DUMMYFUNCTION("""COMPUTED_VALUE"""),751530.0)</f>
        <v>751530</v>
      </c>
      <c r="O166" s="329">
        <f>IFERROR(__xludf.DUMMYFUNCTION("""COMPUTED_VALUE"""),28.0)</f>
        <v>28</v>
      </c>
      <c r="P166" s="329">
        <f>IFERROR(__xludf.DUMMYFUNCTION("""COMPUTED_VALUE"""),8479.0)</f>
        <v>8479</v>
      </c>
      <c r="Q166" s="329">
        <f>IFERROR(__xludf.DUMMYFUNCTION("""COMPUTED_VALUE"""),28.0)</f>
        <v>28</v>
      </c>
      <c r="R166" s="329">
        <f>IFERROR(__xludf.DUMMYFUNCTION("""COMPUTED_VALUE"""),7247.0)</f>
        <v>7247</v>
      </c>
      <c r="S166" s="329">
        <f>IFERROR(__xludf.DUMMYFUNCTION("""COMPUTED_VALUE"""),3.0)</f>
        <v>3</v>
      </c>
      <c r="T166" s="329">
        <f>IFERROR(__xludf.DUMMYFUNCTION("""COMPUTED_VALUE"""),954.0)</f>
        <v>954</v>
      </c>
      <c r="U166" s="329">
        <f>IFERROR(__xludf.DUMMYFUNCTION("""COMPUTED_VALUE"""),278.0)</f>
        <v>278</v>
      </c>
      <c r="V166" s="329">
        <f>IFERROR(__xludf.DUMMYFUNCTION("""COMPUTED_VALUE"""),286.0)</f>
        <v>286</v>
      </c>
      <c r="W166" s="329">
        <f>IFERROR(__xludf.DUMMYFUNCTION("""COMPUTED_VALUE"""),52.0)</f>
        <v>52</v>
      </c>
      <c r="X166" s="329">
        <f>IFERROR(__xludf.DUMMYFUNCTION("""COMPUTED_VALUE"""),23.0)</f>
        <v>23</v>
      </c>
      <c r="Y166" s="329">
        <f>IFERROR(__xludf.DUMMYFUNCTION("""COMPUTED_VALUE"""),9.0)</f>
        <v>9</v>
      </c>
      <c r="Z166" s="329">
        <f>IFERROR(__xludf.DUMMYFUNCTION("""COMPUTED_VALUE"""),2417.0)</f>
        <v>2417</v>
      </c>
      <c r="AA166" s="257">
        <f>IFERROR(__xludf.DUMMYFUNCTION("""COMPUTED_VALUE"""),3235.0)</f>
        <v>3235</v>
      </c>
      <c r="AB166" s="257">
        <f>IFERROR(__xludf.DUMMYFUNCTION("""COMPUTED_VALUE"""),1653.0)</f>
        <v>1653</v>
      </c>
      <c r="AC166" s="257">
        <f>IFERROR(__xludf.DUMMYFUNCTION("""COMPUTED_VALUE"""),4888.0)</f>
        <v>4888</v>
      </c>
      <c r="AD166" s="257">
        <f>IFERROR(__xludf.DUMMYFUNCTION("""COMPUTED_VALUE"""),132492.0)</f>
        <v>132492</v>
      </c>
      <c r="AE166" s="257">
        <f>IFERROR(__xludf.DUMMYFUNCTION("""COMPUTED_VALUE"""),3235.0)</f>
        <v>3235</v>
      </c>
      <c r="AF166" s="257">
        <f>IFERROR(__xludf.DUMMYFUNCTION("""COMPUTED_VALUE"""),93880.0)</f>
        <v>93880</v>
      </c>
      <c r="AG166" s="257">
        <f>IFERROR(__xludf.DUMMYFUNCTION("""COMPUTED_VALUE"""),1653.0)</f>
        <v>1653</v>
      </c>
      <c r="AH166" s="257">
        <f>IFERROR(__xludf.DUMMYFUNCTION("""COMPUTED_VALUE"""),38612.0)</f>
        <v>38612</v>
      </c>
    </row>
    <row r="167">
      <c r="A167" s="328">
        <f>IFERROR(__xludf.DUMMYFUNCTION("""COMPUTED_VALUE"""),44234.0)</f>
        <v>44234</v>
      </c>
      <c r="B167" s="329">
        <f>IFERROR(__xludf.DUMMYFUNCTION("""COMPUTED_VALUE"""),240.0)</f>
        <v>240</v>
      </c>
      <c r="C167" s="329">
        <f>IFERROR(__xludf.DUMMYFUNCTION("""COMPUTED_VALUE"""),423.0)</f>
        <v>423</v>
      </c>
      <c r="D167" s="329">
        <f>IFERROR(__xludf.DUMMYFUNCTION("""COMPUTED_VALUE"""),142291.0)</f>
        <v>142291</v>
      </c>
      <c r="E167" s="329">
        <f>IFERROR(__xludf.DUMMYFUNCTION("""COMPUTED_VALUE"""),4714.0)</f>
        <v>4714</v>
      </c>
      <c r="F167" s="257">
        <f>IFERROR(__xludf.DUMMYFUNCTION("""COMPUTED_VALUE"""),2522189.0)</f>
        <v>2522189</v>
      </c>
      <c r="G167" s="257">
        <f>IFERROR(__xludf.DUMMYFUNCTION("""COMPUTED_VALUE"""),4954.0)</f>
        <v>4954</v>
      </c>
      <c r="H167" s="257">
        <f>IFERROR(__xludf.DUMMYFUNCTION("""COMPUTED_VALUE"""),2664480.0)</f>
        <v>2664480</v>
      </c>
      <c r="I167" s="329">
        <f>IFERROR(__xludf.DUMMYFUNCTION("""COMPUTED_VALUE"""),189.0)</f>
        <v>189</v>
      </c>
      <c r="J167" s="329">
        <f>IFERROR(__xludf.DUMMYFUNCTION("""COMPUTED_VALUE"""),358.0)</f>
        <v>358</v>
      </c>
      <c r="K167" s="329">
        <f>IFERROR(__xludf.DUMMYFUNCTION("""COMPUTED_VALUE"""),119292.0)</f>
        <v>119292</v>
      </c>
      <c r="L167" s="329">
        <f>IFERROR(__xludf.DUMMYFUNCTION("""COMPUTED_VALUE"""),716.0)</f>
        <v>716</v>
      </c>
      <c r="M167" s="329">
        <f>IFERROR(__xludf.DUMMYFUNCTION("""COMPUTED_VALUE"""),633143.0)</f>
        <v>633143</v>
      </c>
      <c r="N167" s="329">
        <f>IFERROR(__xludf.DUMMYFUNCTION("""COMPUTED_VALUE"""),752435.0)</f>
        <v>752435</v>
      </c>
      <c r="O167" s="329">
        <f>IFERROR(__xludf.DUMMYFUNCTION("""COMPUTED_VALUE"""),25.0)</f>
        <v>25</v>
      </c>
      <c r="P167" s="329">
        <f>IFERROR(__xludf.DUMMYFUNCTION("""COMPUTED_VALUE"""),8504.0)</f>
        <v>8504</v>
      </c>
      <c r="Q167" s="329">
        <f>IFERROR(__xludf.DUMMYFUNCTION("""COMPUTED_VALUE"""),22.0)</f>
        <v>22</v>
      </c>
      <c r="R167" s="329">
        <f>IFERROR(__xludf.DUMMYFUNCTION("""COMPUTED_VALUE"""),7269.0)</f>
        <v>7269</v>
      </c>
      <c r="S167" s="329">
        <f>IFERROR(__xludf.DUMMYFUNCTION("""COMPUTED_VALUE"""),7.0)</f>
        <v>7</v>
      </c>
      <c r="T167" s="329">
        <f>IFERROR(__xludf.DUMMYFUNCTION("""COMPUTED_VALUE"""),961.0)</f>
        <v>961</v>
      </c>
      <c r="U167" s="329">
        <f>IFERROR(__xludf.DUMMYFUNCTION("""COMPUTED_VALUE"""),274.0)</f>
        <v>274</v>
      </c>
      <c r="V167" s="329">
        <f>IFERROR(__xludf.DUMMYFUNCTION("""COMPUTED_VALUE"""),278.0)</f>
        <v>278</v>
      </c>
      <c r="W167" s="329">
        <f>IFERROR(__xludf.DUMMYFUNCTION("""COMPUTED_VALUE"""),49.0)</f>
        <v>49</v>
      </c>
      <c r="X167" s="329">
        <f>IFERROR(__xludf.DUMMYFUNCTION("""COMPUTED_VALUE"""),24.0)</f>
        <v>24</v>
      </c>
      <c r="Y167" s="329">
        <f>IFERROR(__xludf.DUMMYFUNCTION("""COMPUTED_VALUE"""),14.0)</f>
        <v>14</v>
      </c>
      <c r="Z167" s="329">
        <f>IFERROR(__xludf.DUMMYFUNCTION("""COMPUTED_VALUE"""),2431.0)</f>
        <v>2431</v>
      </c>
      <c r="AA167" s="257">
        <f>IFERROR(__xludf.DUMMYFUNCTION("""COMPUTED_VALUE"""),410.0)</f>
        <v>410</v>
      </c>
      <c r="AB167" s="257">
        <f>IFERROR(__xludf.DUMMYFUNCTION("""COMPUTED_VALUE"""),444.0)</f>
        <v>444</v>
      </c>
      <c r="AC167" s="257">
        <f>IFERROR(__xludf.DUMMYFUNCTION("""COMPUTED_VALUE"""),854.0)</f>
        <v>854</v>
      </c>
      <c r="AD167" s="257">
        <f>IFERROR(__xludf.DUMMYFUNCTION("""COMPUTED_VALUE"""),133346.0)</f>
        <v>133346</v>
      </c>
      <c r="AE167" s="257">
        <f>IFERROR(__xludf.DUMMYFUNCTION("""COMPUTED_VALUE"""),410.0)</f>
        <v>410</v>
      </c>
      <c r="AF167" s="257">
        <f>IFERROR(__xludf.DUMMYFUNCTION("""COMPUTED_VALUE"""),94290.0)</f>
        <v>94290</v>
      </c>
      <c r="AG167" s="257">
        <f>IFERROR(__xludf.DUMMYFUNCTION("""COMPUTED_VALUE"""),444.0)</f>
        <v>444</v>
      </c>
      <c r="AH167" s="257">
        <f>IFERROR(__xludf.DUMMYFUNCTION("""COMPUTED_VALUE"""),39056.0)</f>
        <v>39056</v>
      </c>
    </row>
    <row r="168">
      <c r="A168" s="328">
        <f>IFERROR(__xludf.DUMMYFUNCTION("""COMPUTED_VALUE"""),44235.0)</f>
        <v>44235</v>
      </c>
      <c r="B168" s="329">
        <f>IFERROR(__xludf.DUMMYFUNCTION("""COMPUTED_VALUE"""),387.0)</f>
        <v>387</v>
      </c>
      <c r="C168" s="329">
        <f>IFERROR(__xludf.DUMMYFUNCTION("""COMPUTED_VALUE"""),347.0)</f>
        <v>347</v>
      </c>
      <c r="D168" s="329">
        <f>IFERROR(__xludf.DUMMYFUNCTION("""COMPUTED_VALUE"""),142678.0)</f>
        <v>142678</v>
      </c>
      <c r="E168" s="329">
        <f>IFERROR(__xludf.DUMMYFUNCTION("""COMPUTED_VALUE"""),13020.0)</f>
        <v>13020</v>
      </c>
      <c r="F168" s="257">
        <f>IFERROR(__xludf.DUMMYFUNCTION("""COMPUTED_VALUE"""),2535209.0)</f>
        <v>2535209</v>
      </c>
      <c r="G168" s="257">
        <f>IFERROR(__xludf.DUMMYFUNCTION("""COMPUTED_VALUE"""),13407.0)</f>
        <v>13407</v>
      </c>
      <c r="H168" s="257">
        <f>IFERROR(__xludf.DUMMYFUNCTION("""COMPUTED_VALUE"""),2677887.0)</f>
        <v>2677887</v>
      </c>
      <c r="I168" s="329">
        <f>IFERROR(__xludf.DUMMYFUNCTION("""COMPUTED_VALUE"""),338.0)</f>
        <v>338</v>
      </c>
      <c r="J168" s="329">
        <f>IFERROR(__xludf.DUMMYFUNCTION("""COMPUTED_VALUE"""),298.0)</f>
        <v>298</v>
      </c>
      <c r="K168" s="329">
        <f>IFERROR(__xludf.DUMMYFUNCTION("""COMPUTED_VALUE"""),119630.0)</f>
        <v>119630</v>
      </c>
      <c r="L168" s="329">
        <f>IFERROR(__xludf.DUMMYFUNCTION("""COMPUTED_VALUE"""),1607.0)</f>
        <v>1607</v>
      </c>
      <c r="M168" s="329">
        <f>IFERROR(__xludf.DUMMYFUNCTION("""COMPUTED_VALUE"""),634750.0)</f>
        <v>634750</v>
      </c>
      <c r="N168" s="329">
        <f>IFERROR(__xludf.DUMMYFUNCTION("""COMPUTED_VALUE"""),754380.0)</f>
        <v>754380</v>
      </c>
      <c r="O168" s="329">
        <f>IFERROR(__xludf.DUMMYFUNCTION("""COMPUTED_VALUE"""),23.0)</f>
        <v>23</v>
      </c>
      <c r="P168" s="329">
        <f>IFERROR(__xludf.DUMMYFUNCTION("""COMPUTED_VALUE"""),8527.0)</f>
        <v>8527</v>
      </c>
      <c r="Q168" s="329">
        <f>IFERROR(__xludf.DUMMYFUNCTION("""COMPUTED_VALUE"""),30.0)</f>
        <v>30</v>
      </c>
      <c r="R168" s="329">
        <f>IFERROR(__xludf.DUMMYFUNCTION("""COMPUTED_VALUE"""),7299.0)</f>
        <v>7299</v>
      </c>
      <c r="S168" s="329">
        <f>IFERROR(__xludf.DUMMYFUNCTION("""COMPUTED_VALUE"""),1.0)</f>
        <v>1</v>
      </c>
      <c r="T168" s="329">
        <f>IFERROR(__xludf.DUMMYFUNCTION("""COMPUTED_VALUE"""),962.0)</f>
        <v>962</v>
      </c>
      <c r="U168" s="329">
        <f>IFERROR(__xludf.DUMMYFUNCTION("""COMPUTED_VALUE"""),266.0)</f>
        <v>266</v>
      </c>
      <c r="V168" s="329">
        <f>IFERROR(__xludf.DUMMYFUNCTION("""COMPUTED_VALUE"""),273.0)</f>
        <v>273</v>
      </c>
      <c r="W168" s="329">
        <f>IFERROR(__xludf.DUMMYFUNCTION("""COMPUTED_VALUE"""),46.0)</f>
        <v>46</v>
      </c>
      <c r="X168" s="329">
        <f>IFERROR(__xludf.DUMMYFUNCTION("""COMPUTED_VALUE"""),23.0)</f>
        <v>23</v>
      </c>
      <c r="Y168" s="329">
        <f>IFERROR(__xludf.DUMMYFUNCTION("""COMPUTED_VALUE"""),8.0)</f>
        <v>8</v>
      </c>
      <c r="Z168" s="329">
        <f>IFERROR(__xludf.DUMMYFUNCTION("""COMPUTED_VALUE"""),2439.0)</f>
        <v>2439</v>
      </c>
      <c r="AA168" s="257">
        <f>IFERROR(__xludf.DUMMYFUNCTION("""COMPUTED_VALUE"""),1709.0)</f>
        <v>1709</v>
      </c>
      <c r="AB168" s="257">
        <f>IFERROR(__xludf.DUMMYFUNCTION("""COMPUTED_VALUE"""),1381.0)</f>
        <v>1381</v>
      </c>
      <c r="AC168" s="257">
        <f>IFERROR(__xludf.DUMMYFUNCTION("""COMPUTED_VALUE"""),3090.0)</f>
        <v>3090</v>
      </c>
      <c r="AD168" s="257">
        <f>IFERROR(__xludf.DUMMYFUNCTION("""COMPUTED_VALUE"""),136436.0)</f>
        <v>136436</v>
      </c>
      <c r="AE168" s="257">
        <f>IFERROR(__xludf.DUMMYFUNCTION("""COMPUTED_VALUE"""),1709.0)</f>
        <v>1709</v>
      </c>
      <c r="AF168" s="257">
        <f>IFERROR(__xludf.DUMMYFUNCTION("""COMPUTED_VALUE"""),95999.0)</f>
        <v>95999</v>
      </c>
      <c r="AG168" s="257">
        <f>IFERROR(__xludf.DUMMYFUNCTION("""COMPUTED_VALUE"""),1381.0)</f>
        <v>1381</v>
      </c>
      <c r="AH168" s="257">
        <f>IFERROR(__xludf.DUMMYFUNCTION("""COMPUTED_VALUE"""),40437.0)</f>
        <v>40437</v>
      </c>
    </row>
    <row r="169">
      <c r="A169" s="328">
        <f>IFERROR(__xludf.DUMMYFUNCTION("""COMPUTED_VALUE"""),44236.0)</f>
        <v>44236</v>
      </c>
      <c r="B169" s="329">
        <f>IFERROR(__xludf.DUMMYFUNCTION("""COMPUTED_VALUE"""),565.0)</f>
        <v>565</v>
      </c>
      <c r="C169" s="329">
        <f>IFERROR(__xludf.DUMMYFUNCTION("""COMPUTED_VALUE"""),397.0)</f>
        <v>397</v>
      </c>
      <c r="D169" s="329">
        <f>IFERROR(__xludf.DUMMYFUNCTION("""COMPUTED_VALUE"""),143243.0)</f>
        <v>143243</v>
      </c>
      <c r="E169" s="329">
        <f>IFERROR(__xludf.DUMMYFUNCTION("""COMPUTED_VALUE"""),17930.0)</f>
        <v>17930</v>
      </c>
      <c r="F169" s="257">
        <f>IFERROR(__xludf.DUMMYFUNCTION("""COMPUTED_VALUE"""),2553139.0)</f>
        <v>2553139</v>
      </c>
      <c r="G169" s="257">
        <f>IFERROR(__xludf.DUMMYFUNCTION("""COMPUTED_VALUE"""),18495.0)</f>
        <v>18495</v>
      </c>
      <c r="H169" s="257">
        <f>IFERROR(__xludf.DUMMYFUNCTION("""COMPUTED_VALUE"""),2696382.0)</f>
        <v>2696382</v>
      </c>
      <c r="I169" s="329">
        <f>IFERROR(__xludf.DUMMYFUNCTION("""COMPUTED_VALUE"""),493.0)</f>
        <v>493</v>
      </c>
      <c r="J169" s="329">
        <f>IFERROR(__xludf.DUMMYFUNCTION("""COMPUTED_VALUE"""),340.0)</f>
        <v>340</v>
      </c>
      <c r="K169" s="329">
        <f>IFERROR(__xludf.DUMMYFUNCTION("""COMPUTED_VALUE"""),120123.0)</f>
        <v>120123</v>
      </c>
      <c r="L169" s="329">
        <f>IFERROR(__xludf.DUMMYFUNCTION("""COMPUTED_VALUE"""),1772.0)</f>
        <v>1772</v>
      </c>
      <c r="M169" s="329">
        <f>IFERROR(__xludf.DUMMYFUNCTION("""COMPUTED_VALUE"""),636522.0)</f>
        <v>636522</v>
      </c>
      <c r="N169" s="329">
        <f>IFERROR(__xludf.DUMMYFUNCTION("""COMPUTED_VALUE"""),756645.0)</f>
        <v>756645</v>
      </c>
      <c r="O169" s="329">
        <f>IFERROR(__xludf.DUMMYFUNCTION("""COMPUTED_VALUE"""),34.0)</f>
        <v>34</v>
      </c>
      <c r="P169" s="329">
        <f>IFERROR(__xludf.DUMMYFUNCTION("""COMPUTED_VALUE"""),8561.0)</f>
        <v>8561</v>
      </c>
      <c r="Q169" s="329">
        <f>IFERROR(__xludf.DUMMYFUNCTION("""COMPUTED_VALUE"""),35.0)</f>
        <v>35</v>
      </c>
      <c r="R169" s="329">
        <f>IFERROR(__xludf.DUMMYFUNCTION("""COMPUTED_VALUE"""),7334.0)</f>
        <v>7334</v>
      </c>
      <c r="S169" s="329">
        <f>IFERROR(__xludf.DUMMYFUNCTION("""COMPUTED_VALUE"""),4.0)</f>
        <v>4</v>
      </c>
      <c r="T169" s="329">
        <f>IFERROR(__xludf.DUMMYFUNCTION("""COMPUTED_VALUE"""),966.0)</f>
        <v>966</v>
      </c>
      <c r="U169" s="329">
        <f>IFERROR(__xludf.DUMMYFUNCTION("""COMPUTED_VALUE"""),261.0)</f>
        <v>261</v>
      </c>
      <c r="V169" s="329">
        <f>IFERROR(__xludf.DUMMYFUNCTION("""COMPUTED_VALUE"""),267.0)</f>
        <v>267</v>
      </c>
      <c r="W169" s="329">
        <f>IFERROR(__xludf.DUMMYFUNCTION("""COMPUTED_VALUE"""),48.0)</f>
        <v>48</v>
      </c>
      <c r="X169" s="329">
        <f>IFERROR(__xludf.DUMMYFUNCTION("""COMPUTED_VALUE"""),24.0)</f>
        <v>24</v>
      </c>
      <c r="Y169" s="329">
        <f>IFERROR(__xludf.DUMMYFUNCTION("""COMPUTED_VALUE"""),7.0)</f>
        <v>7</v>
      </c>
      <c r="Z169" s="329">
        <f>IFERROR(__xludf.DUMMYFUNCTION("""COMPUTED_VALUE"""),2446.0)</f>
        <v>2446</v>
      </c>
      <c r="AA169" s="257">
        <f>IFERROR(__xludf.DUMMYFUNCTION("""COMPUTED_VALUE"""),2709.0)</f>
        <v>2709</v>
      </c>
      <c r="AB169" s="257">
        <f>IFERROR(__xludf.DUMMYFUNCTION("""COMPUTED_VALUE"""),1395.0)</f>
        <v>1395</v>
      </c>
      <c r="AC169" s="257">
        <f>IFERROR(__xludf.DUMMYFUNCTION("""COMPUTED_VALUE"""),4104.0)</f>
        <v>4104</v>
      </c>
      <c r="AD169" s="257">
        <f>IFERROR(__xludf.DUMMYFUNCTION("""COMPUTED_VALUE"""),140540.0)</f>
        <v>140540</v>
      </c>
      <c r="AE169" s="257">
        <f>IFERROR(__xludf.DUMMYFUNCTION("""COMPUTED_VALUE"""),2709.0)</f>
        <v>2709</v>
      </c>
      <c r="AF169" s="257">
        <f>IFERROR(__xludf.DUMMYFUNCTION("""COMPUTED_VALUE"""),98708.0)</f>
        <v>98708</v>
      </c>
      <c r="AG169" s="257">
        <f>IFERROR(__xludf.DUMMYFUNCTION("""COMPUTED_VALUE"""),1395.0)</f>
        <v>1395</v>
      </c>
      <c r="AH169" s="257">
        <f>IFERROR(__xludf.DUMMYFUNCTION("""COMPUTED_VALUE"""),41832.0)</f>
        <v>41832</v>
      </c>
    </row>
    <row r="170">
      <c r="A170" s="328">
        <f>IFERROR(__xludf.DUMMYFUNCTION("""COMPUTED_VALUE"""),44237.0)</f>
        <v>44237</v>
      </c>
      <c r="B170" s="329">
        <f>IFERROR(__xludf.DUMMYFUNCTION("""COMPUTED_VALUE"""),550.0)</f>
        <v>550</v>
      </c>
      <c r="C170" s="329">
        <f>IFERROR(__xludf.DUMMYFUNCTION("""COMPUTED_VALUE"""),501.0)</f>
        <v>501</v>
      </c>
      <c r="D170" s="329">
        <f>IFERROR(__xludf.DUMMYFUNCTION("""COMPUTED_VALUE"""),143793.0)</f>
        <v>143793</v>
      </c>
      <c r="E170" s="329">
        <f>IFERROR(__xludf.DUMMYFUNCTION("""COMPUTED_VALUE"""),23769.0)</f>
        <v>23769</v>
      </c>
      <c r="F170" s="257">
        <f>IFERROR(__xludf.DUMMYFUNCTION("""COMPUTED_VALUE"""),2576908.0)</f>
        <v>2576908</v>
      </c>
      <c r="G170" s="257">
        <f>IFERROR(__xludf.DUMMYFUNCTION("""COMPUTED_VALUE"""),24319.0)</f>
        <v>24319</v>
      </c>
      <c r="H170" s="257">
        <f>IFERROR(__xludf.DUMMYFUNCTION("""COMPUTED_VALUE"""),2720701.0)</f>
        <v>2720701</v>
      </c>
      <c r="I170" s="329">
        <f>IFERROR(__xludf.DUMMYFUNCTION("""COMPUTED_VALUE"""),472.0)</f>
        <v>472</v>
      </c>
      <c r="J170" s="329">
        <f>IFERROR(__xludf.DUMMYFUNCTION("""COMPUTED_VALUE"""),434.0)</f>
        <v>434</v>
      </c>
      <c r="K170" s="329">
        <f>IFERROR(__xludf.DUMMYFUNCTION("""COMPUTED_VALUE"""),120595.0)</f>
        <v>120595</v>
      </c>
      <c r="L170" s="329">
        <f>IFERROR(__xludf.DUMMYFUNCTION("""COMPUTED_VALUE"""),2142.0)</f>
        <v>2142</v>
      </c>
      <c r="M170" s="329">
        <f>IFERROR(__xludf.DUMMYFUNCTION("""COMPUTED_VALUE"""),638664.0)</f>
        <v>638664</v>
      </c>
      <c r="N170" s="329">
        <f>IFERROR(__xludf.DUMMYFUNCTION("""COMPUTED_VALUE"""),759259.0)</f>
        <v>759259</v>
      </c>
      <c r="O170" s="329">
        <f>IFERROR(__xludf.DUMMYFUNCTION("""COMPUTED_VALUE"""),30.0)</f>
        <v>30</v>
      </c>
      <c r="P170" s="329">
        <f>IFERROR(__xludf.DUMMYFUNCTION("""COMPUTED_VALUE"""),8591.0)</f>
        <v>8591</v>
      </c>
      <c r="Q170" s="329">
        <f>IFERROR(__xludf.DUMMYFUNCTION("""COMPUTED_VALUE"""),44.0)</f>
        <v>44</v>
      </c>
      <c r="R170" s="329">
        <f>IFERROR(__xludf.DUMMYFUNCTION("""COMPUTED_VALUE"""),7378.0)</f>
        <v>7378</v>
      </c>
      <c r="S170" s="329">
        <f>IFERROR(__xludf.DUMMYFUNCTION("""COMPUTED_VALUE"""),6.0)</f>
        <v>6</v>
      </c>
      <c r="T170" s="329">
        <f>IFERROR(__xludf.DUMMYFUNCTION("""COMPUTED_VALUE"""),972.0)</f>
        <v>972</v>
      </c>
      <c r="U170" s="329">
        <f>IFERROR(__xludf.DUMMYFUNCTION("""COMPUTED_VALUE"""),241.0)</f>
        <v>241</v>
      </c>
      <c r="V170" s="329">
        <f>IFERROR(__xludf.DUMMYFUNCTION("""COMPUTED_VALUE"""),256.0)</f>
        <v>256</v>
      </c>
      <c r="W170" s="329">
        <f>IFERROR(__xludf.DUMMYFUNCTION("""COMPUTED_VALUE"""),44.0)</f>
        <v>44</v>
      </c>
      <c r="X170" s="329">
        <f>IFERROR(__xludf.DUMMYFUNCTION("""COMPUTED_VALUE"""),22.0)</f>
        <v>22</v>
      </c>
      <c r="Y170" s="329">
        <f>IFERROR(__xludf.DUMMYFUNCTION("""COMPUTED_VALUE"""),11.0)</f>
        <v>11</v>
      </c>
      <c r="Z170" s="329">
        <f>IFERROR(__xludf.DUMMYFUNCTION("""COMPUTED_VALUE"""),2457.0)</f>
        <v>2457</v>
      </c>
      <c r="AA170" s="257">
        <f>IFERROR(__xludf.DUMMYFUNCTION("""COMPUTED_VALUE"""),2735.0)</f>
        <v>2735</v>
      </c>
      <c r="AB170" s="257">
        <f>IFERROR(__xludf.DUMMYFUNCTION("""COMPUTED_VALUE"""),2244.0)</f>
        <v>2244</v>
      </c>
      <c r="AC170" s="257">
        <f>IFERROR(__xludf.DUMMYFUNCTION("""COMPUTED_VALUE"""),4979.0)</f>
        <v>4979</v>
      </c>
      <c r="AD170" s="257">
        <f>IFERROR(__xludf.DUMMYFUNCTION("""COMPUTED_VALUE"""),145519.0)</f>
        <v>145519</v>
      </c>
      <c r="AE170" s="257">
        <f>IFERROR(__xludf.DUMMYFUNCTION("""COMPUTED_VALUE"""),2735.0)</f>
        <v>2735</v>
      </c>
      <c r="AF170" s="257">
        <f>IFERROR(__xludf.DUMMYFUNCTION("""COMPUTED_VALUE"""),101443.0)</f>
        <v>101443</v>
      </c>
      <c r="AG170" s="257">
        <f>IFERROR(__xludf.DUMMYFUNCTION("""COMPUTED_VALUE"""),2244.0)</f>
        <v>2244</v>
      </c>
      <c r="AH170" s="257">
        <f>IFERROR(__xludf.DUMMYFUNCTION("""COMPUTED_VALUE"""),44076.0)</f>
        <v>44076</v>
      </c>
    </row>
    <row r="171">
      <c r="A171" s="328">
        <f>IFERROR(__xludf.DUMMYFUNCTION("""COMPUTED_VALUE"""),44238.0)</f>
        <v>44238</v>
      </c>
      <c r="B171" s="329">
        <f>IFERROR(__xludf.DUMMYFUNCTION("""COMPUTED_VALUE"""),482.0)</f>
        <v>482</v>
      </c>
      <c r="C171" s="329">
        <f>IFERROR(__xludf.DUMMYFUNCTION("""COMPUTED_VALUE"""),532.0)</f>
        <v>532</v>
      </c>
      <c r="D171" s="329">
        <f>IFERROR(__xludf.DUMMYFUNCTION("""COMPUTED_VALUE"""),144275.0)</f>
        <v>144275</v>
      </c>
      <c r="E171" s="329">
        <f>IFERROR(__xludf.DUMMYFUNCTION("""COMPUTED_VALUE"""),21075.0)</f>
        <v>21075</v>
      </c>
      <c r="F171" s="257">
        <f>IFERROR(__xludf.DUMMYFUNCTION("""COMPUTED_VALUE"""),2597983.0)</f>
        <v>2597983</v>
      </c>
      <c r="G171" s="257">
        <f>IFERROR(__xludf.DUMMYFUNCTION("""COMPUTED_VALUE"""),21557.0)</f>
        <v>21557</v>
      </c>
      <c r="H171" s="257">
        <f>IFERROR(__xludf.DUMMYFUNCTION("""COMPUTED_VALUE"""),2742258.0)</f>
        <v>2742258</v>
      </c>
      <c r="I171" s="329">
        <f>IFERROR(__xludf.DUMMYFUNCTION("""COMPUTED_VALUE"""),411.0)</f>
        <v>411</v>
      </c>
      <c r="J171" s="329">
        <f>IFERROR(__xludf.DUMMYFUNCTION("""COMPUTED_VALUE"""),459.0)</f>
        <v>459</v>
      </c>
      <c r="K171" s="329">
        <f>IFERROR(__xludf.DUMMYFUNCTION("""COMPUTED_VALUE"""),121006.0)</f>
        <v>121006</v>
      </c>
      <c r="L171" s="329">
        <f>IFERROR(__xludf.DUMMYFUNCTION("""COMPUTED_VALUE"""),2010.0)</f>
        <v>2010</v>
      </c>
      <c r="M171" s="329">
        <f>IFERROR(__xludf.DUMMYFUNCTION("""COMPUTED_VALUE"""),640674.0)</f>
        <v>640674</v>
      </c>
      <c r="N171" s="329">
        <f>IFERROR(__xludf.DUMMYFUNCTION("""COMPUTED_VALUE"""),761680.0)</f>
        <v>761680</v>
      </c>
      <c r="O171" s="329">
        <f>IFERROR(__xludf.DUMMYFUNCTION("""COMPUTED_VALUE"""),31.0)</f>
        <v>31</v>
      </c>
      <c r="P171" s="329">
        <f>IFERROR(__xludf.DUMMYFUNCTION("""COMPUTED_VALUE"""),8622.0)</f>
        <v>8622</v>
      </c>
      <c r="Q171" s="329">
        <f>IFERROR(__xludf.DUMMYFUNCTION("""COMPUTED_VALUE"""),34.0)</f>
        <v>34</v>
      </c>
      <c r="R171" s="329">
        <f>IFERROR(__xludf.DUMMYFUNCTION("""COMPUTED_VALUE"""),7412.0)</f>
        <v>7412</v>
      </c>
      <c r="S171" s="329">
        <f>IFERROR(__xludf.DUMMYFUNCTION("""COMPUTED_VALUE"""),4.0)</f>
        <v>4</v>
      </c>
      <c r="T171" s="329">
        <f>IFERROR(__xludf.DUMMYFUNCTION("""COMPUTED_VALUE"""),976.0)</f>
        <v>976</v>
      </c>
      <c r="U171" s="329">
        <f>IFERROR(__xludf.DUMMYFUNCTION("""COMPUTED_VALUE"""),234.0)</f>
        <v>234</v>
      </c>
      <c r="V171" s="329">
        <f>IFERROR(__xludf.DUMMYFUNCTION("""COMPUTED_VALUE"""),245.0)</f>
        <v>245</v>
      </c>
      <c r="W171" s="329">
        <f>IFERROR(__xludf.DUMMYFUNCTION("""COMPUTED_VALUE"""),43.0)</f>
        <v>43</v>
      </c>
      <c r="X171" s="329">
        <f>IFERROR(__xludf.DUMMYFUNCTION("""COMPUTED_VALUE"""),22.0)</f>
        <v>22</v>
      </c>
      <c r="Y171" s="329">
        <f>IFERROR(__xludf.DUMMYFUNCTION("""COMPUTED_VALUE"""),11.0)</f>
        <v>11</v>
      </c>
      <c r="Z171" s="329">
        <f>IFERROR(__xludf.DUMMYFUNCTION("""COMPUTED_VALUE"""),2468.0)</f>
        <v>2468</v>
      </c>
      <c r="AA171" s="257">
        <f>IFERROR(__xludf.DUMMYFUNCTION("""COMPUTED_VALUE"""),3029.0)</f>
        <v>3029</v>
      </c>
      <c r="AB171" s="257">
        <f>IFERROR(__xludf.DUMMYFUNCTION("""COMPUTED_VALUE"""),1952.0)</f>
        <v>1952</v>
      </c>
      <c r="AC171" s="257">
        <f>IFERROR(__xludf.DUMMYFUNCTION("""COMPUTED_VALUE"""),4981.0)</f>
        <v>4981</v>
      </c>
      <c r="AD171" s="257">
        <f>IFERROR(__xludf.DUMMYFUNCTION("""COMPUTED_VALUE"""),150500.0)</f>
        <v>150500</v>
      </c>
      <c r="AE171" s="257">
        <f>IFERROR(__xludf.DUMMYFUNCTION("""COMPUTED_VALUE"""),3029.0)</f>
        <v>3029</v>
      </c>
      <c r="AF171" s="257">
        <f>IFERROR(__xludf.DUMMYFUNCTION("""COMPUTED_VALUE"""),104472.0)</f>
        <v>104472</v>
      </c>
      <c r="AG171" s="257">
        <f>IFERROR(__xludf.DUMMYFUNCTION("""COMPUTED_VALUE"""),1952.0)</f>
        <v>1952</v>
      </c>
      <c r="AH171" s="257">
        <f>IFERROR(__xludf.DUMMYFUNCTION("""COMPUTED_VALUE"""),46028.0)</f>
        <v>46028</v>
      </c>
    </row>
    <row r="172">
      <c r="A172" s="328">
        <f>IFERROR(__xludf.DUMMYFUNCTION("""COMPUTED_VALUE"""),44239.0)</f>
        <v>44239</v>
      </c>
      <c r="B172" s="329">
        <f>IFERROR(__xludf.DUMMYFUNCTION("""COMPUTED_VALUE"""),447.0)</f>
        <v>447</v>
      </c>
      <c r="C172" s="329">
        <f>IFERROR(__xludf.DUMMYFUNCTION("""COMPUTED_VALUE"""),493.0)</f>
        <v>493</v>
      </c>
      <c r="D172" s="329">
        <f>IFERROR(__xludf.DUMMYFUNCTION("""COMPUTED_VALUE"""),144722.0)</f>
        <v>144722</v>
      </c>
      <c r="E172" s="329">
        <f>IFERROR(__xludf.DUMMYFUNCTION("""COMPUTED_VALUE"""),20706.0)</f>
        <v>20706</v>
      </c>
      <c r="F172" s="257">
        <f>IFERROR(__xludf.DUMMYFUNCTION("""COMPUTED_VALUE"""),2618689.0)</f>
        <v>2618689</v>
      </c>
      <c r="G172" s="257">
        <f>IFERROR(__xludf.DUMMYFUNCTION("""COMPUTED_VALUE"""),21153.0)</f>
        <v>21153</v>
      </c>
      <c r="H172" s="257">
        <f>IFERROR(__xludf.DUMMYFUNCTION("""COMPUTED_VALUE"""),2763411.0)</f>
        <v>2763411</v>
      </c>
      <c r="I172" s="329">
        <f>IFERROR(__xludf.DUMMYFUNCTION("""COMPUTED_VALUE"""),383.0)</f>
        <v>383</v>
      </c>
      <c r="J172" s="329">
        <f>IFERROR(__xludf.DUMMYFUNCTION("""COMPUTED_VALUE"""),422.0)</f>
        <v>422</v>
      </c>
      <c r="K172" s="329">
        <f>IFERROR(__xludf.DUMMYFUNCTION("""COMPUTED_VALUE"""),121389.0)</f>
        <v>121389</v>
      </c>
      <c r="L172" s="329">
        <f>IFERROR(__xludf.DUMMYFUNCTION("""COMPUTED_VALUE"""),1938.0)</f>
        <v>1938</v>
      </c>
      <c r="M172" s="329">
        <f>IFERROR(__xludf.DUMMYFUNCTION("""COMPUTED_VALUE"""),642612.0)</f>
        <v>642612</v>
      </c>
      <c r="N172" s="329">
        <f>IFERROR(__xludf.DUMMYFUNCTION("""COMPUTED_VALUE"""),764001.0)</f>
        <v>764001</v>
      </c>
      <c r="O172" s="329">
        <f>IFERROR(__xludf.DUMMYFUNCTION("""COMPUTED_VALUE"""),19.0)</f>
        <v>19</v>
      </c>
      <c r="P172" s="329">
        <f>IFERROR(__xludf.DUMMYFUNCTION("""COMPUTED_VALUE"""),8641.0)</f>
        <v>8641</v>
      </c>
      <c r="Q172" s="329">
        <f>IFERROR(__xludf.DUMMYFUNCTION("""COMPUTED_VALUE"""),27.0)</f>
        <v>27</v>
      </c>
      <c r="R172" s="329">
        <f>IFERROR(__xludf.DUMMYFUNCTION("""COMPUTED_VALUE"""),7439.0)</f>
        <v>7439</v>
      </c>
      <c r="S172" s="329">
        <f>IFERROR(__xludf.DUMMYFUNCTION("""COMPUTED_VALUE"""),2.0)</f>
        <v>2</v>
      </c>
      <c r="T172" s="329">
        <f>IFERROR(__xludf.DUMMYFUNCTION("""COMPUTED_VALUE"""),978.0)</f>
        <v>978</v>
      </c>
      <c r="U172" s="329">
        <f>IFERROR(__xludf.DUMMYFUNCTION("""COMPUTED_VALUE"""),224.0)</f>
        <v>224</v>
      </c>
      <c r="V172" s="329">
        <f>IFERROR(__xludf.DUMMYFUNCTION("""COMPUTED_VALUE"""),233.0)</f>
        <v>233</v>
      </c>
      <c r="W172" s="329">
        <f>IFERROR(__xludf.DUMMYFUNCTION("""COMPUTED_VALUE"""),41.0)</f>
        <v>41</v>
      </c>
      <c r="X172" s="329">
        <f>IFERROR(__xludf.DUMMYFUNCTION("""COMPUTED_VALUE"""),21.0)</f>
        <v>21</v>
      </c>
      <c r="Y172" s="329">
        <f>IFERROR(__xludf.DUMMYFUNCTION("""COMPUTED_VALUE"""),5.0)</f>
        <v>5</v>
      </c>
      <c r="Z172" s="329">
        <f>IFERROR(__xludf.DUMMYFUNCTION("""COMPUTED_VALUE"""),2473.0)</f>
        <v>2473</v>
      </c>
      <c r="AA172" s="257">
        <f>IFERROR(__xludf.DUMMYFUNCTION("""COMPUTED_VALUE"""),3367.0)</f>
        <v>3367</v>
      </c>
      <c r="AB172" s="257">
        <f>IFERROR(__xludf.DUMMYFUNCTION("""COMPUTED_VALUE"""),2392.0)</f>
        <v>2392</v>
      </c>
      <c r="AC172" s="257">
        <f>IFERROR(__xludf.DUMMYFUNCTION("""COMPUTED_VALUE"""),5759.0)</f>
        <v>5759</v>
      </c>
      <c r="AD172" s="257">
        <f>IFERROR(__xludf.DUMMYFUNCTION("""COMPUTED_VALUE"""),156259.0)</f>
        <v>156259</v>
      </c>
      <c r="AE172" s="257">
        <f>IFERROR(__xludf.DUMMYFUNCTION("""COMPUTED_VALUE"""),3367.0)</f>
        <v>3367</v>
      </c>
      <c r="AF172" s="257">
        <f>IFERROR(__xludf.DUMMYFUNCTION("""COMPUTED_VALUE"""),107839.0)</f>
        <v>107839</v>
      </c>
      <c r="AG172" s="257">
        <f>IFERROR(__xludf.DUMMYFUNCTION("""COMPUTED_VALUE"""),2392.0)</f>
        <v>2392</v>
      </c>
      <c r="AH172" s="257">
        <f>IFERROR(__xludf.DUMMYFUNCTION("""COMPUTED_VALUE"""),48420.0)</f>
        <v>48420</v>
      </c>
    </row>
    <row r="173">
      <c r="A173" s="328">
        <f>IFERROR(__xludf.DUMMYFUNCTION("""COMPUTED_VALUE"""),44240.0)</f>
        <v>44240</v>
      </c>
      <c r="B173" s="329">
        <f>IFERROR(__xludf.DUMMYFUNCTION("""COMPUTED_VALUE"""),387.0)</f>
        <v>387</v>
      </c>
      <c r="C173" s="329">
        <f>IFERROR(__xludf.DUMMYFUNCTION("""COMPUTED_VALUE"""),439.0)</f>
        <v>439</v>
      </c>
      <c r="D173" s="329">
        <f>IFERROR(__xludf.DUMMYFUNCTION("""COMPUTED_VALUE"""),145109.0)</f>
        <v>145109</v>
      </c>
      <c r="E173" s="329">
        <f>IFERROR(__xludf.DUMMYFUNCTION("""COMPUTED_VALUE"""),14067.0)</f>
        <v>14067</v>
      </c>
      <c r="F173" s="257">
        <f>IFERROR(__xludf.DUMMYFUNCTION("""COMPUTED_VALUE"""),2632756.0)</f>
        <v>2632756</v>
      </c>
      <c r="G173" s="257">
        <f>IFERROR(__xludf.DUMMYFUNCTION("""COMPUTED_VALUE"""),14454.0)</f>
        <v>14454</v>
      </c>
      <c r="H173" s="257">
        <f>IFERROR(__xludf.DUMMYFUNCTION("""COMPUTED_VALUE"""),2777865.0)</f>
        <v>2777865</v>
      </c>
      <c r="I173" s="329">
        <f>IFERROR(__xludf.DUMMYFUNCTION("""COMPUTED_VALUE"""),328.0)</f>
        <v>328</v>
      </c>
      <c r="J173" s="329">
        <f>IFERROR(__xludf.DUMMYFUNCTION("""COMPUTED_VALUE"""),374.0)</f>
        <v>374</v>
      </c>
      <c r="K173" s="329">
        <f>IFERROR(__xludf.DUMMYFUNCTION("""COMPUTED_VALUE"""),121717.0)</f>
        <v>121717</v>
      </c>
      <c r="L173" s="329">
        <f>IFERROR(__xludf.DUMMYFUNCTION("""COMPUTED_VALUE"""),1580.0)</f>
        <v>1580</v>
      </c>
      <c r="M173" s="329">
        <f>IFERROR(__xludf.DUMMYFUNCTION("""COMPUTED_VALUE"""),644192.0)</f>
        <v>644192</v>
      </c>
      <c r="N173" s="329">
        <f>IFERROR(__xludf.DUMMYFUNCTION("""COMPUTED_VALUE"""),765909.0)</f>
        <v>765909</v>
      </c>
      <c r="O173" s="329">
        <f>IFERROR(__xludf.DUMMYFUNCTION("""COMPUTED_VALUE"""),22.0)</f>
        <v>22</v>
      </c>
      <c r="P173" s="329">
        <f>IFERROR(__xludf.DUMMYFUNCTION("""COMPUTED_VALUE"""),8663.0)</f>
        <v>8663</v>
      </c>
      <c r="Q173" s="329">
        <f>IFERROR(__xludf.DUMMYFUNCTION("""COMPUTED_VALUE"""),34.0)</f>
        <v>34</v>
      </c>
      <c r="R173" s="329">
        <f>IFERROR(__xludf.DUMMYFUNCTION("""COMPUTED_VALUE"""),7473.0)</f>
        <v>7473</v>
      </c>
      <c r="S173" s="329">
        <f>IFERROR(__xludf.DUMMYFUNCTION("""COMPUTED_VALUE"""),4.0)</f>
        <v>4</v>
      </c>
      <c r="T173" s="329">
        <f>IFERROR(__xludf.DUMMYFUNCTION("""COMPUTED_VALUE"""),982.0)</f>
        <v>982</v>
      </c>
      <c r="U173" s="329">
        <f>IFERROR(__xludf.DUMMYFUNCTION("""COMPUTED_VALUE"""),208.0)</f>
        <v>208</v>
      </c>
      <c r="V173" s="329">
        <f>IFERROR(__xludf.DUMMYFUNCTION("""COMPUTED_VALUE"""),222.0)</f>
        <v>222</v>
      </c>
      <c r="W173" s="329">
        <f>IFERROR(__xludf.DUMMYFUNCTION("""COMPUTED_VALUE"""),38.0)</f>
        <v>38</v>
      </c>
      <c r="X173" s="329">
        <f>IFERROR(__xludf.DUMMYFUNCTION("""COMPUTED_VALUE"""),19.0)</f>
        <v>19</v>
      </c>
      <c r="Y173" s="329">
        <f>IFERROR(__xludf.DUMMYFUNCTION("""COMPUTED_VALUE"""),9.0)</f>
        <v>9</v>
      </c>
      <c r="Z173" s="329">
        <f>IFERROR(__xludf.DUMMYFUNCTION("""COMPUTED_VALUE"""),2482.0)</f>
        <v>2482</v>
      </c>
      <c r="AA173" s="257">
        <f>IFERROR(__xludf.DUMMYFUNCTION("""COMPUTED_VALUE"""),3315.0)</f>
        <v>3315</v>
      </c>
      <c r="AB173" s="257">
        <f>IFERROR(__xludf.DUMMYFUNCTION("""COMPUTED_VALUE"""),2871.0)</f>
        <v>2871</v>
      </c>
      <c r="AC173" s="257">
        <f>IFERROR(__xludf.DUMMYFUNCTION("""COMPUTED_VALUE"""),6186.0)</f>
        <v>6186</v>
      </c>
      <c r="AD173" s="257">
        <f>IFERROR(__xludf.DUMMYFUNCTION("""COMPUTED_VALUE"""),162445.0)</f>
        <v>162445</v>
      </c>
      <c r="AE173" s="257">
        <f>IFERROR(__xludf.DUMMYFUNCTION("""COMPUTED_VALUE"""),3315.0)</f>
        <v>3315</v>
      </c>
      <c r="AF173" s="257">
        <f>IFERROR(__xludf.DUMMYFUNCTION("""COMPUTED_VALUE"""),111154.0)</f>
        <v>111154</v>
      </c>
      <c r="AG173" s="257">
        <f>IFERROR(__xludf.DUMMYFUNCTION("""COMPUTED_VALUE"""),2871.0)</f>
        <v>2871</v>
      </c>
      <c r="AH173" s="257">
        <f>IFERROR(__xludf.DUMMYFUNCTION("""COMPUTED_VALUE"""),51291.0)</f>
        <v>51291</v>
      </c>
    </row>
    <row r="174">
      <c r="A174" s="328">
        <f>IFERROR(__xludf.DUMMYFUNCTION("""COMPUTED_VALUE"""),44241.0)</f>
        <v>44241</v>
      </c>
      <c r="B174" s="329">
        <f>IFERROR(__xludf.DUMMYFUNCTION("""COMPUTED_VALUE"""),266.0)</f>
        <v>266</v>
      </c>
      <c r="C174" s="329">
        <f>IFERROR(__xludf.DUMMYFUNCTION("""COMPUTED_VALUE"""),367.0)</f>
        <v>367</v>
      </c>
      <c r="D174" s="329">
        <f>IFERROR(__xludf.DUMMYFUNCTION("""COMPUTED_VALUE"""),145375.0)</f>
        <v>145375</v>
      </c>
      <c r="E174" s="329">
        <f>IFERROR(__xludf.DUMMYFUNCTION("""COMPUTED_VALUE"""),6593.0)</f>
        <v>6593</v>
      </c>
      <c r="F174" s="257">
        <f>IFERROR(__xludf.DUMMYFUNCTION("""COMPUTED_VALUE"""),2639349.0)</f>
        <v>2639349</v>
      </c>
      <c r="G174" s="257">
        <f>IFERROR(__xludf.DUMMYFUNCTION("""COMPUTED_VALUE"""),6859.0)</f>
        <v>6859</v>
      </c>
      <c r="H174" s="257">
        <f>IFERROR(__xludf.DUMMYFUNCTION("""COMPUTED_VALUE"""),2784724.0)</f>
        <v>2784724</v>
      </c>
      <c r="I174" s="329">
        <f>IFERROR(__xludf.DUMMYFUNCTION("""COMPUTED_VALUE"""),232.0)</f>
        <v>232</v>
      </c>
      <c r="J174" s="329">
        <f>IFERROR(__xludf.DUMMYFUNCTION("""COMPUTED_VALUE"""),314.0)</f>
        <v>314</v>
      </c>
      <c r="K174" s="329">
        <f>IFERROR(__xludf.DUMMYFUNCTION("""COMPUTED_VALUE"""),121949.0)</f>
        <v>121949</v>
      </c>
      <c r="L174" s="329">
        <f>IFERROR(__xludf.DUMMYFUNCTION("""COMPUTED_VALUE"""),897.0)</f>
        <v>897</v>
      </c>
      <c r="M174" s="329">
        <f>IFERROR(__xludf.DUMMYFUNCTION("""COMPUTED_VALUE"""),645089.0)</f>
        <v>645089</v>
      </c>
      <c r="N174" s="329">
        <f>IFERROR(__xludf.DUMMYFUNCTION("""COMPUTED_VALUE"""),767038.0)</f>
        <v>767038</v>
      </c>
      <c r="O174" s="329">
        <f>IFERROR(__xludf.DUMMYFUNCTION("""COMPUTED_VALUE"""),26.0)</f>
        <v>26</v>
      </c>
      <c r="P174" s="329">
        <f>IFERROR(__xludf.DUMMYFUNCTION("""COMPUTED_VALUE"""),8689.0)</f>
        <v>8689</v>
      </c>
      <c r="Q174" s="329">
        <f>IFERROR(__xludf.DUMMYFUNCTION("""COMPUTED_VALUE"""),15.0)</f>
        <v>15</v>
      </c>
      <c r="R174" s="329">
        <f>IFERROR(__xludf.DUMMYFUNCTION("""COMPUTED_VALUE"""),7488.0)</f>
        <v>7488</v>
      </c>
      <c r="S174" s="329">
        <f>IFERROR(__xludf.DUMMYFUNCTION("""COMPUTED_VALUE"""),0.0)</f>
        <v>0</v>
      </c>
      <c r="T174" s="329">
        <f>IFERROR(__xludf.DUMMYFUNCTION("""COMPUTED_VALUE"""),982.0)</f>
        <v>982</v>
      </c>
      <c r="U174" s="329">
        <f>IFERROR(__xludf.DUMMYFUNCTION("""COMPUTED_VALUE"""),219.0)</f>
        <v>219</v>
      </c>
      <c r="V174" s="329">
        <f>IFERROR(__xludf.DUMMYFUNCTION("""COMPUTED_VALUE"""),217.0)</f>
        <v>217</v>
      </c>
      <c r="W174" s="329">
        <f>IFERROR(__xludf.DUMMYFUNCTION("""COMPUTED_VALUE"""),38.0)</f>
        <v>38</v>
      </c>
      <c r="X174" s="329">
        <f>IFERROR(__xludf.DUMMYFUNCTION("""COMPUTED_VALUE"""),23.0)</f>
        <v>23</v>
      </c>
      <c r="Y174" s="329">
        <f>IFERROR(__xludf.DUMMYFUNCTION("""COMPUTED_VALUE"""),4.0)</f>
        <v>4</v>
      </c>
      <c r="Z174" s="329">
        <f>IFERROR(__xludf.DUMMYFUNCTION("""COMPUTED_VALUE"""),2486.0)</f>
        <v>2486</v>
      </c>
      <c r="AA174" s="257">
        <f>IFERROR(__xludf.DUMMYFUNCTION("""COMPUTED_VALUE"""),1324.0)</f>
        <v>1324</v>
      </c>
      <c r="AB174" s="257">
        <f>IFERROR(__xludf.DUMMYFUNCTION("""COMPUTED_VALUE"""),784.0)</f>
        <v>784</v>
      </c>
      <c r="AC174" s="257">
        <f>IFERROR(__xludf.DUMMYFUNCTION("""COMPUTED_VALUE"""),2108.0)</f>
        <v>2108</v>
      </c>
      <c r="AD174" s="257">
        <f>IFERROR(__xludf.DUMMYFUNCTION("""COMPUTED_VALUE"""),164553.0)</f>
        <v>164553</v>
      </c>
      <c r="AE174" s="257">
        <f>IFERROR(__xludf.DUMMYFUNCTION("""COMPUTED_VALUE"""),1324.0)</f>
        <v>1324</v>
      </c>
      <c r="AF174" s="257">
        <f>IFERROR(__xludf.DUMMYFUNCTION("""COMPUTED_VALUE"""),112478.0)</f>
        <v>112478</v>
      </c>
      <c r="AG174" s="257">
        <f>IFERROR(__xludf.DUMMYFUNCTION("""COMPUTED_VALUE"""),784.0)</f>
        <v>784</v>
      </c>
      <c r="AH174" s="257">
        <f>IFERROR(__xludf.DUMMYFUNCTION("""COMPUTED_VALUE"""),52075.0)</f>
        <v>52075</v>
      </c>
    </row>
    <row r="175">
      <c r="A175" s="328">
        <f>IFERROR(__xludf.DUMMYFUNCTION("""COMPUTED_VALUE"""),44242.0)</f>
        <v>44242</v>
      </c>
      <c r="B175" s="329">
        <f>IFERROR(__xludf.DUMMYFUNCTION("""COMPUTED_VALUE"""),330.0)</f>
        <v>330</v>
      </c>
      <c r="C175" s="329">
        <f>IFERROR(__xludf.DUMMYFUNCTION("""COMPUTED_VALUE"""),328.0)</f>
        <v>328</v>
      </c>
      <c r="D175" s="329">
        <f>IFERROR(__xludf.DUMMYFUNCTION("""COMPUTED_VALUE"""),145705.0)</f>
        <v>145705</v>
      </c>
      <c r="E175" s="329">
        <f>IFERROR(__xludf.DUMMYFUNCTION("""COMPUTED_VALUE"""),11090.0)</f>
        <v>11090</v>
      </c>
      <c r="F175" s="257">
        <f>IFERROR(__xludf.DUMMYFUNCTION("""COMPUTED_VALUE"""),2650439.0)</f>
        <v>2650439</v>
      </c>
      <c r="G175" s="257">
        <f>IFERROR(__xludf.DUMMYFUNCTION("""COMPUTED_VALUE"""),11420.0)</f>
        <v>11420</v>
      </c>
      <c r="H175" s="257">
        <f>IFERROR(__xludf.DUMMYFUNCTION("""COMPUTED_VALUE"""),2796144.0)</f>
        <v>2796144</v>
      </c>
      <c r="I175" s="329">
        <f>IFERROR(__xludf.DUMMYFUNCTION("""COMPUTED_VALUE"""),301.0)</f>
        <v>301</v>
      </c>
      <c r="J175" s="329">
        <f>IFERROR(__xludf.DUMMYFUNCTION("""COMPUTED_VALUE"""),287.0)</f>
        <v>287</v>
      </c>
      <c r="K175" s="329">
        <f>IFERROR(__xludf.DUMMYFUNCTION("""COMPUTED_VALUE"""),122250.0)</f>
        <v>122250</v>
      </c>
      <c r="L175" s="329">
        <f>IFERROR(__xludf.DUMMYFUNCTION("""COMPUTED_VALUE"""),1186.0)</f>
        <v>1186</v>
      </c>
      <c r="M175" s="329">
        <f>IFERROR(__xludf.DUMMYFUNCTION("""COMPUTED_VALUE"""),646275.0)</f>
        <v>646275</v>
      </c>
      <c r="N175" s="329">
        <f>IFERROR(__xludf.DUMMYFUNCTION("""COMPUTED_VALUE"""),768525.0)</f>
        <v>768525</v>
      </c>
      <c r="O175" s="329">
        <f>IFERROR(__xludf.DUMMYFUNCTION("""COMPUTED_VALUE"""),28.0)</f>
        <v>28</v>
      </c>
      <c r="P175" s="329">
        <f>IFERROR(__xludf.DUMMYFUNCTION("""COMPUTED_VALUE"""),8717.0)</f>
        <v>8717</v>
      </c>
      <c r="Q175" s="329">
        <f>IFERROR(__xludf.DUMMYFUNCTION("""COMPUTED_VALUE"""),27.0)</f>
        <v>27</v>
      </c>
      <c r="R175" s="329">
        <f>IFERROR(__xludf.DUMMYFUNCTION("""COMPUTED_VALUE"""),7515.0)</f>
        <v>7515</v>
      </c>
      <c r="S175" s="329">
        <f>IFERROR(__xludf.DUMMYFUNCTION("""COMPUTED_VALUE"""),3.0)</f>
        <v>3</v>
      </c>
      <c r="T175" s="329">
        <f>IFERROR(__xludf.DUMMYFUNCTION("""COMPUTED_VALUE"""),985.0)</f>
        <v>985</v>
      </c>
      <c r="U175" s="329">
        <f>IFERROR(__xludf.DUMMYFUNCTION("""COMPUTED_VALUE"""),217.0)</f>
        <v>217</v>
      </c>
      <c r="V175" s="329">
        <f>IFERROR(__xludf.DUMMYFUNCTION("""COMPUTED_VALUE"""),215.0)</f>
        <v>215</v>
      </c>
      <c r="W175" s="329">
        <f>IFERROR(__xludf.DUMMYFUNCTION("""COMPUTED_VALUE"""),33.0)</f>
        <v>33</v>
      </c>
      <c r="X175" s="329">
        <f>IFERROR(__xludf.DUMMYFUNCTION("""COMPUTED_VALUE"""),22.0)</f>
        <v>22</v>
      </c>
      <c r="Y175" s="329">
        <f>IFERROR(__xludf.DUMMYFUNCTION("""COMPUTED_VALUE"""),3.0)</f>
        <v>3</v>
      </c>
      <c r="Z175" s="329">
        <f>IFERROR(__xludf.DUMMYFUNCTION("""COMPUTED_VALUE"""),2489.0)</f>
        <v>2489</v>
      </c>
      <c r="AA175" s="257">
        <f>IFERROR(__xludf.DUMMYFUNCTION("""COMPUTED_VALUE"""),3800.0)</f>
        <v>3800</v>
      </c>
      <c r="AB175" s="257">
        <f>IFERROR(__xludf.DUMMYFUNCTION("""COMPUTED_VALUE"""),1067.0)</f>
        <v>1067</v>
      </c>
      <c r="AC175" s="257">
        <f>IFERROR(__xludf.DUMMYFUNCTION("""COMPUTED_VALUE"""),4867.0)</f>
        <v>4867</v>
      </c>
      <c r="AD175" s="257">
        <f>IFERROR(__xludf.DUMMYFUNCTION("""COMPUTED_VALUE"""),169420.0)</f>
        <v>169420</v>
      </c>
      <c r="AE175" s="257">
        <f>IFERROR(__xludf.DUMMYFUNCTION("""COMPUTED_VALUE"""),3800.0)</f>
        <v>3800</v>
      </c>
      <c r="AF175" s="257">
        <f>IFERROR(__xludf.DUMMYFUNCTION("""COMPUTED_VALUE"""),116278.0)</f>
        <v>116278</v>
      </c>
      <c r="AG175" s="257">
        <f>IFERROR(__xludf.DUMMYFUNCTION("""COMPUTED_VALUE"""),1067.0)</f>
        <v>1067</v>
      </c>
      <c r="AH175" s="257">
        <f>IFERROR(__xludf.DUMMYFUNCTION("""COMPUTED_VALUE"""),53142.0)</f>
        <v>53142</v>
      </c>
    </row>
    <row r="176">
      <c r="A176" s="328">
        <f>IFERROR(__xludf.DUMMYFUNCTION("""COMPUTED_VALUE"""),44243.0)</f>
        <v>44243</v>
      </c>
      <c r="B176" s="329">
        <f>IFERROR(__xludf.DUMMYFUNCTION("""COMPUTED_VALUE"""),473.0)</f>
        <v>473</v>
      </c>
      <c r="C176" s="329">
        <f>IFERROR(__xludf.DUMMYFUNCTION("""COMPUTED_VALUE"""),356.0)</f>
        <v>356</v>
      </c>
      <c r="D176" s="329">
        <f>IFERROR(__xludf.DUMMYFUNCTION("""COMPUTED_VALUE"""),146178.0)</f>
        <v>146178</v>
      </c>
      <c r="E176" s="329">
        <f>IFERROR(__xludf.DUMMYFUNCTION("""COMPUTED_VALUE"""),20049.0)</f>
        <v>20049</v>
      </c>
      <c r="F176" s="257">
        <f>IFERROR(__xludf.DUMMYFUNCTION("""COMPUTED_VALUE"""),2670488.0)</f>
        <v>2670488</v>
      </c>
      <c r="G176" s="257">
        <f>IFERROR(__xludf.DUMMYFUNCTION("""COMPUTED_VALUE"""),20522.0)</f>
        <v>20522</v>
      </c>
      <c r="H176" s="257">
        <f>IFERROR(__xludf.DUMMYFUNCTION("""COMPUTED_VALUE"""),2816666.0)</f>
        <v>2816666</v>
      </c>
      <c r="I176" s="329">
        <f>IFERROR(__xludf.DUMMYFUNCTION("""COMPUTED_VALUE"""),407.0)</f>
        <v>407</v>
      </c>
      <c r="J176" s="329">
        <f>IFERROR(__xludf.DUMMYFUNCTION("""COMPUTED_VALUE"""),313.0)</f>
        <v>313</v>
      </c>
      <c r="K176" s="329">
        <f>IFERROR(__xludf.DUMMYFUNCTION("""COMPUTED_VALUE"""),122657.0)</f>
        <v>122657</v>
      </c>
      <c r="L176" s="329">
        <f>IFERROR(__xludf.DUMMYFUNCTION("""COMPUTED_VALUE"""),1796.0)</f>
        <v>1796</v>
      </c>
      <c r="M176" s="329">
        <f>IFERROR(__xludf.DUMMYFUNCTION("""COMPUTED_VALUE"""),648071.0)</f>
        <v>648071</v>
      </c>
      <c r="N176" s="329">
        <f>IFERROR(__xludf.DUMMYFUNCTION("""COMPUTED_VALUE"""),770728.0)</f>
        <v>770728</v>
      </c>
      <c r="O176" s="329">
        <f>IFERROR(__xludf.DUMMYFUNCTION("""COMPUTED_VALUE"""),22.0)</f>
        <v>22</v>
      </c>
      <c r="P176" s="329">
        <f>IFERROR(__xludf.DUMMYFUNCTION("""COMPUTED_VALUE"""),8739.0)</f>
        <v>8739</v>
      </c>
      <c r="Q176" s="329">
        <f>IFERROR(__xludf.DUMMYFUNCTION("""COMPUTED_VALUE"""),42.0)</f>
        <v>42</v>
      </c>
      <c r="R176" s="329">
        <f>IFERROR(__xludf.DUMMYFUNCTION("""COMPUTED_VALUE"""),7557.0)</f>
        <v>7557</v>
      </c>
      <c r="S176" s="329">
        <f>IFERROR(__xludf.DUMMYFUNCTION("""COMPUTED_VALUE"""),3.0)</f>
        <v>3</v>
      </c>
      <c r="T176" s="329">
        <f>IFERROR(__xludf.DUMMYFUNCTION("""COMPUTED_VALUE"""),988.0)</f>
        <v>988</v>
      </c>
      <c r="U176" s="329">
        <f>IFERROR(__xludf.DUMMYFUNCTION("""COMPUTED_VALUE"""),194.0)</f>
        <v>194</v>
      </c>
      <c r="V176" s="329">
        <f>IFERROR(__xludf.DUMMYFUNCTION("""COMPUTED_VALUE"""),210.0)</f>
        <v>210</v>
      </c>
      <c r="W176" s="329">
        <f>IFERROR(__xludf.DUMMYFUNCTION("""COMPUTED_VALUE"""),34.0)</f>
        <v>34</v>
      </c>
      <c r="X176" s="329">
        <f>IFERROR(__xludf.DUMMYFUNCTION("""COMPUTED_VALUE"""),20.0)</f>
        <v>20</v>
      </c>
      <c r="Y176" s="329">
        <f>IFERROR(__xludf.DUMMYFUNCTION("""COMPUTED_VALUE"""),9.0)</f>
        <v>9</v>
      </c>
      <c r="Z176" s="329">
        <f>IFERROR(__xludf.DUMMYFUNCTION("""COMPUTED_VALUE"""),2498.0)</f>
        <v>2498</v>
      </c>
      <c r="AA176" s="257">
        <f>IFERROR(__xludf.DUMMYFUNCTION("""COMPUTED_VALUE"""),3632.0)</f>
        <v>3632</v>
      </c>
      <c r="AB176" s="257">
        <f>IFERROR(__xludf.DUMMYFUNCTION("""COMPUTED_VALUE"""),1301.0)</f>
        <v>1301</v>
      </c>
      <c r="AC176" s="257">
        <f>IFERROR(__xludf.DUMMYFUNCTION("""COMPUTED_VALUE"""),4933.0)</f>
        <v>4933</v>
      </c>
      <c r="AD176" s="257">
        <f>IFERROR(__xludf.DUMMYFUNCTION("""COMPUTED_VALUE"""),174353.0)</f>
        <v>174353</v>
      </c>
      <c r="AE176" s="257">
        <f>IFERROR(__xludf.DUMMYFUNCTION("""COMPUTED_VALUE"""),3632.0)</f>
        <v>3632</v>
      </c>
      <c r="AF176" s="257">
        <f>IFERROR(__xludf.DUMMYFUNCTION("""COMPUTED_VALUE"""),119910.0)</f>
        <v>119910</v>
      </c>
      <c r="AG176" s="257">
        <f>IFERROR(__xludf.DUMMYFUNCTION("""COMPUTED_VALUE"""),1301.0)</f>
        <v>1301</v>
      </c>
      <c r="AH176" s="257">
        <f>IFERROR(__xludf.DUMMYFUNCTION("""COMPUTED_VALUE"""),54443.0)</f>
        <v>54443</v>
      </c>
    </row>
    <row r="177">
      <c r="A177" s="328">
        <f>IFERROR(__xludf.DUMMYFUNCTION("""COMPUTED_VALUE"""),44244.0)</f>
        <v>44244</v>
      </c>
      <c r="B177" s="329">
        <f>IFERROR(__xludf.DUMMYFUNCTION("""COMPUTED_VALUE"""),413.0)</f>
        <v>413</v>
      </c>
      <c r="C177" s="329">
        <f>IFERROR(__xludf.DUMMYFUNCTION("""COMPUTED_VALUE"""),405.0)</f>
        <v>405</v>
      </c>
      <c r="D177" s="329">
        <f>IFERROR(__xludf.DUMMYFUNCTION("""COMPUTED_VALUE"""),146591.0)</f>
        <v>146591</v>
      </c>
      <c r="E177" s="329">
        <f>IFERROR(__xludf.DUMMYFUNCTION("""COMPUTED_VALUE"""),22259.0)</f>
        <v>22259</v>
      </c>
      <c r="F177" s="257">
        <f>IFERROR(__xludf.DUMMYFUNCTION("""COMPUTED_VALUE"""),2692747.0)</f>
        <v>2692747</v>
      </c>
      <c r="G177" s="257">
        <f>IFERROR(__xludf.DUMMYFUNCTION("""COMPUTED_VALUE"""),22672.0)</f>
        <v>22672</v>
      </c>
      <c r="H177" s="257">
        <f>IFERROR(__xludf.DUMMYFUNCTION("""COMPUTED_VALUE"""),2839338.0)</f>
        <v>2839338</v>
      </c>
      <c r="I177" s="329">
        <f>IFERROR(__xludf.DUMMYFUNCTION("""COMPUTED_VALUE"""),357.0)</f>
        <v>357</v>
      </c>
      <c r="J177" s="329">
        <f>IFERROR(__xludf.DUMMYFUNCTION("""COMPUTED_VALUE"""),355.0)</f>
        <v>355</v>
      </c>
      <c r="K177" s="329">
        <f>IFERROR(__xludf.DUMMYFUNCTION("""COMPUTED_VALUE"""),123014.0)</f>
        <v>123014</v>
      </c>
      <c r="L177" s="329">
        <f>IFERROR(__xludf.DUMMYFUNCTION("""COMPUTED_VALUE"""),1746.0)</f>
        <v>1746</v>
      </c>
      <c r="M177" s="329">
        <f>IFERROR(__xludf.DUMMYFUNCTION("""COMPUTED_VALUE"""),649817.0)</f>
        <v>649817</v>
      </c>
      <c r="N177" s="329">
        <f>IFERROR(__xludf.DUMMYFUNCTION("""COMPUTED_VALUE"""),772831.0)</f>
        <v>772831</v>
      </c>
      <c r="O177" s="329">
        <f>IFERROR(__xludf.DUMMYFUNCTION("""COMPUTED_VALUE"""),25.0)</f>
        <v>25</v>
      </c>
      <c r="P177" s="329">
        <f>IFERROR(__xludf.DUMMYFUNCTION("""COMPUTED_VALUE"""),8764.0)</f>
        <v>8764</v>
      </c>
      <c r="Q177" s="329">
        <f>IFERROR(__xludf.DUMMYFUNCTION("""COMPUTED_VALUE"""),26.0)</f>
        <v>26</v>
      </c>
      <c r="R177" s="329">
        <f>IFERROR(__xludf.DUMMYFUNCTION("""COMPUTED_VALUE"""),7583.0)</f>
        <v>7583</v>
      </c>
      <c r="S177" s="329">
        <f>IFERROR(__xludf.DUMMYFUNCTION("""COMPUTED_VALUE"""),0.0)</f>
        <v>0</v>
      </c>
      <c r="T177" s="329">
        <f>IFERROR(__xludf.DUMMYFUNCTION("""COMPUTED_VALUE"""),988.0)</f>
        <v>988</v>
      </c>
      <c r="U177" s="329">
        <f>IFERROR(__xludf.DUMMYFUNCTION("""COMPUTED_VALUE"""),193.0)</f>
        <v>193</v>
      </c>
      <c r="V177" s="329">
        <f>IFERROR(__xludf.DUMMYFUNCTION("""COMPUTED_VALUE"""),201.0)</f>
        <v>201</v>
      </c>
      <c r="W177" s="329">
        <f>IFERROR(__xludf.DUMMYFUNCTION("""COMPUTED_VALUE"""),30.0)</f>
        <v>30</v>
      </c>
      <c r="X177" s="329">
        <f>IFERROR(__xludf.DUMMYFUNCTION("""COMPUTED_VALUE"""),20.0)</f>
        <v>20</v>
      </c>
      <c r="Y177" s="329">
        <f>IFERROR(__xludf.DUMMYFUNCTION("""COMPUTED_VALUE"""),1.0)</f>
        <v>1</v>
      </c>
      <c r="Z177" s="329">
        <f>IFERROR(__xludf.DUMMYFUNCTION("""COMPUTED_VALUE"""),2499.0)</f>
        <v>2499</v>
      </c>
      <c r="AA177" s="257">
        <f>IFERROR(__xludf.DUMMYFUNCTION("""COMPUTED_VALUE"""),5190.0)</f>
        <v>5190</v>
      </c>
      <c r="AB177" s="257">
        <f>IFERROR(__xludf.DUMMYFUNCTION("""COMPUTED_VALUE"""),1922.0)</f>
        <v>1922</v>
      </c>
      <c r="AC177" s="257">
        <f>IFERROR(__xludf.DUMMYFUNCTION("""COMPUTED_VALUE"""),7112.0)</f>
        <v>7112</v>
      </c>
      <c r="AD177" s="257">
        <f>IFERROR(__xludf.DUMMYFUNCTION("""COMPUTED_VALUE"""),181465.0)</f>
        <v>181465</v>
      </c>
      <c r="AE177" s="257">
        <f>IFERROR(__xludf.DUMMYFUNCTION("""COMPUTED_VALUE"""),5190.0)</f>
        <v>5190</v>
      </c>
      <c r="AF177" s="257">
        <f>IFERROR(__xludf.DUMMYFUNCTION("""COMPUTED_VALUE"""),125100.0)</f>
        <v>125100</v>
      </c>
      <c r="AG177" s="257">
        <f>IFERROR(__xludf.DUMMYFUNCTION("""COMPUTED_VALUE"""),1922.0)</f>
        <v>1922</v>
      </c>
      <c r="AH177" s="257">
        <f>IFERROR(__xludf.DUMMYFUNCTION("""COMPUTED_VALUE"""),56365.0)</f>
        <v>56365</v>
      </c>
    </row>
    <row r="178">
      <c r="A178" s="328">
        <f>IFERROR(__xludf.DUMMYFUNCTION("""COMPUTED_VALUE"""),44245.0)</f>
        <v>44245</v>
      </c>
      <c r="B178" s="329">
        <f>IFERROR(__xludf.DUMMYFUNCTION("""COMPUTED_VALUE"""),400.0)</f>
        <v>400</v>
      </c>
      <c r="C178" s="329">
        <f>IFERROR(__xludf.DUMMYFUNCTION("""COMPUTED_VALUE"""),429.0)</f>
        <v>429</v>
      </c>
      <c r="D178" s="329">
        <f>IFERROR(__xludf.DUMMYFUNCTION("""COMPUTED_VALUE"""),146991.0)</f>
        <v>146991</v>
      </c>
      <c r="E178" s="329">
        <f>IFERROR(__xludf.DUMMYFUNCTION("""COMPUTED_VALUE"""),20161.0)</f>
        <v>20161</v>
      </c>
      <c r="F178" s="257">
        <f>IFERROR(__xludf.DUMMYFUNCTION("""COMPUTED_VALUE"""),2712908.0)</f>
        <v>2712908</v>
      </c>
      <c r="G178" s="257">
        <f>IFERROR(__xludf.DUMMYFUNCTION("""COMPUTED_VALUE"""),20561.0)</f>
        <v>20561</v>
      </c>
      <c r="H178" s="257">
        <f>IFERROR(__xludf.DUMMYFUNCTION("""COMPUTED_VALUE"""),2859899.0)</f>
        <v>2859899</v>
      </c>
      <c r="I178" s="329">
        <f>IFERROR(__xludf.DUMMYFUNCTION("""COMPUTED_VALUE"""),332.0)</f>
        <v>332</v>
      </c>
      <c r="J178" s="329">
        <f>IFERROR(__xludf.DUMMYFUNCTION("""COMPUTED_VALUE"""),365.0)</f>
        <v>365</v>
      </c>
      <c r="K178" s="329">
        <f>IFERROR(__xludf.DUMMYFUNCTION("""COMPUTED_VALUE"""),123346.0)</f>
        <v>123346</v>
      </c>
      <c r="L178" s="329">
        <f>IFERROR(__xludf.DUMMYFUNCTION("""COMPUTED_VALUE"""),1577.0)</f>
        <v>1577</v>
      </c>
      <c r="M178" s="329">
        <f>IFERROR(__xludf.DUMMYFUNCTION("""COMPUTED_VALUE"""),651394.0)</f>
        <v>651394</v>
      </c>
      <c r="N178" s="329">
        <f>IFERROR(__xludf.DUMMYFUNCTION("""COMPUTED_VALUE"""),774740.0)</f>
        <v>774740</v>
      </c>
      <c r="O178" s="329">
        <f>IFERROR(__xludf.DUMMYFUNCTION("""COMPUTED_VALUE"""),17.0)</f>
        <v>17</v>
      </c>
      <c r="P178" s="329">
        <f>IFERROR(__xludf.DUMMYFUNCTION("""COMPUTED_VALUE"""),8781.0)</f>
        <v>8781</v>
      </c>
      <c r="Q178" s="329">
        <f>IFERROR(__xludf.DUMMYFUNCTION("""COMPUTED_VALUE"""),19.0)</f>
        <v>19</v>
      </c>
      <c r="R178" s="329">
        <f>IFERROR(__xludf.DUMMYFUNCTION("""COMPUTED_VALUE"""),7602.0)</f>
        <v>7602</v>
      </c>
      <c r="S178" s="329">
        <f>IFERROR(__xludf.DUMMYFUNCTION("""COMPUTED_VALUE"""),2.0)</f>
        <v>2</v>
      </c>
      <c r="T178" s="329">
        <f>IFERROR(__xludf.DUMMYFUNCTION("""COMPUTED_VALUE"""),990.0)</f>
        <v>990</v>
      </c>
      <c r="U178" s="329">
        <f>IFERROR(__xludf.DUMMYFUNCTION("""COMPUTED_VALUE"""),189.0)</f>
        <v>189</v>
      </c>
      <c r="V178" s="329">
        <f>IFERROR(__xludf.DUMMYFUNCTION("""COMPUTED_VALUE"""),192.0)</f>
        <v>192</v>
      </c>
      <c r="W178" s="329">
        <f>IFERROR(__xludf.DUMMYFUNCTION("""COMPUTED_VALUE"""),35.0)</f>
        <v>35</v>
      </c>
      <c r="X178" s="329">
        <f>IFERROR(__xludf.DUMMYFUNCTION("""COMPUTED_VALUE"""),19.0)</f>
        <v>19</v>
      </c>
      <c r="Y178" s="329">
        <f>IFERROR(__xludf.DUMMYFUNCTION("""COMPUTED_VALUE"""),4.0)</f>
        <v>4</v>
      </c>
      <c r="Z178" s="329">
        <f>IFERROR(__xludf.DUMMYFUNCTION("""COMPUTED_VALUE"""),2503.0)</f>
        <v>2503</v>
      </c>
      <c r="AA178" s="257">
        <f>IFERROR(__xludf.DUMMYFUNCTION("""COMPUTED_VALUE"""),6023.0)</f>
        <v>6023</v>
      </c>
      <c r="AB178" s="257">
        <f>IFERROR(__xludf.DUMMYFUNCTION("""COMPUTED_VALUE"""),2314.0)</f>
        <v>2314</v>
      </c>
      <c r="AC178" s="257">
        <f>IFERROR(__xludf.DUMMYFUNCTION("""COMPUTED_VALUE"""),8337.0)</f>
        <v>8337</v>
      </c>
      <c r="AD178" s="257">
        <f>IFERROR(__xludf.DUMMYFUNCTION("""COMPUTED_VALUE"""),189802.0)</f>
        <v>189802</v>
      </c>
      <c r="AE178" s="257">
        <f>IFERROR(__xludf.DUMMYFUNCTION("""COMPUTED_VALUE"""),6023.0)</f>
        <v>6023</v>
      </c>
      <c r="AF178" s="257">
        <f>IFERROR(__xludf.DUMMYFUNCTION("""COMPUTED_VALUE"""),131123.0)</f>
        <v>131123</v>
      </c>
      <c r="AG178" s="257">
        <f>IFERROR(__xludf.DUMMYFUNCTION("""COMPUTED_VALUE"""),2314.0)</f>
        <v>2314</v>
      </c>
      <c r="AH178" s="257">
        <f>IFERROR(__xludf.DUMMYFUNCTION("""COMPUTED_VALUE"""),58679.0)</f>
        <v>58679</v>
      </c>
    </row>
    <row r="179">
      <c r="A179" s="328">
        <f>IFERROR(__xludf.DUMMYFUNCTION("""COMPUTED_VALUE"""),44246.0)</f>
        <v>44246</v>
      </c>
      <c r="B179" s="329">
        <f>IFERROR(__xludf.DUMMYFUNCTION("""COMPUTED_VALUE"""),418.0)</f>
        <v>418</v>
      </c>
      <c r="C179" s="329">
        <f>IFERROR(__xludf.DUMMYFUNCTION("""COMPUTED_VALUE"""),410.0)</f>
        <v>410</v>
      </c>
      <c r="D179" s="329">
        <f>IFERROR(__xludf.DUMMYFUNCTION("""COMPUTED_VALUE"""),147409.0)</f>
        <v>147409</v>
      </c>
      <c r="E179" s="329">
        <f>IFERROR(__xludf.DUMMYFUNCTION("""COMPUTED_VALUE"""),16724.0)</f>
        <v>16724</v>
      </c>
      <c r="F179" s="257">
        <f>IFERROR(__xludf.DUMMYFUNCTION("""COMPUTED_VALUE"""),2729632.0)</f>
        <v>2729632</v>
      </c>
      <c r="G179" s="257">
        <f>IFERROR(__xludf.DUMMYFUNCTION("""COMPUTED_VALUE"""),17142.0)</f>
        <v>17142</v>
      </c>
      <c r="H179" s="257">
        <f>IFERROR(__xludf.DUMMYFUNCTION("""COMPUTED_VALUE"""),2877041.0)</f>
        <v>2877041</v>
      </c>
      <c r="I179" s="329">
        <f>IFERROR(__xludf.DUMMYFUNCTION("""COMPUTED_VALUE"""),351.0)</f>
        <v>351</v>
      </c>
      <c r="J179" s="329">
        <f>IFERROR(__xludf.DUMMYFUNCTION("""COMPUTED_VALUE"""),347.0)</f>
        <v>347</v>
      </c>
      <c r="K179" s="329">
        <f>IFERROR(__xludf.DUMMYFUNCTION("""COMPUTED_VALUE"""),123697.0)</f>
        <v>123697</v>
      </c>
      <c r="L179" s="329">
        <f>IFERROR(__xludf.DUMMYFUNCTION("""COMPUTED_VALUE"""),1548.0)</f>
        <v>1548</v>
      </c>
      <c r="M179" s="329">
        <f>IFERROR(__xludf.DUMMYFUNCTION("""COMPUTED_VALUE"""),652942.0)</f>
        <v>652942</v>
      </c>
      <c r="N179" s="329">
        <f>IFERROR(__xludf.DUMMYFUNCTION("""COMPUTED_VALUE"""),776639.0)</f>
        <v>776639</v>
      </c>
      <c r="O179" s="329">
        <f>IFERROR(__xludf.DUMMYFUNCTION("""COMPUTED_VALUE"""),22.0)</f>
        <v>22</v>
      </c>
      <c r="P179" s="329">
        <f>IFERROR(__xludf.DUMMYFUNCTION("""COMPUTED_VALUE"""),8803.0)</f>
        <v>8803</v>
      </c>
      <c r="Q179" s="329">
        <f>IFERROR(__xludf.DUMMYFUNCTION("""COMPUTED_VALUE"""),34.0)</f>
        <v>34</v>
      </c>
      <c r="R179" s="329">
        <f>IFERROR(__xludf.DUMMYFUNCTION("""COMPUTED_VALUE"""),7636.0)</f>
        <v>7636</v>
      </c>
      <c r="S179" s="329">
        <f>IFERROR(__xludf.DUMMYFUNCTION("""COMPUTED_VALUE"""),3.0)</f>
        <v>3</v>
      </c>
      <c r="T179" s="329">
        <f>IFERROR(__xludf.DUMMYFUNCTION("""COMPUTED_VALUE"""),993.0)</f>
        <v>993</v>
      </c>
      <c r="U179" s="329">
        <f>IFERROR(__xludf.DUMMYFUNCTION("""COMPUTED_VALUE"""),174.0)</f>
        <v>174</v>
      </c>
      <c r="V179" s="329">
        <f>IFERROR(__xludf.DUMMYFUNCTION("""COMPUTED_VALUE"""),185.0)</f>
        <v>185</v>
      </c>
      <c r="W179" s="329">
        <f>IFERROR(__xludf.DUMMYFUNCTION("""COMPUTED_VALUE"""),29.0)</f>
        <v>29</v>
      </c>
      <c r="X179" s="329">
        <f>IFERROR(__xludf.DUMMYFUNCTION("""COMPUTED_VALUE"""),17.0)</f>
        <v>17</v>
      </c>
      <c r="Y179" s="329">
        <f>IFERROR(__xludf.DUMMYFUNCTION("""COMPUTED_VALUE"""),6.0)</f>
        <v>6</v>
      </c>
      <c r="Z179" s="329">
        <f>IFERROR(__xludf.DUMMYFUNCTION("""COMPUTED_VALUE"""),2509.0)</f>
        <v>2509</v>
      </c>
      <c r="AA179" s="257">
        <f>IFERROR(__xludf.DUMMYFUNCTION("""COMPUTED_VALUE"""),5555.0)</f>
        <v>5555</v>
      </c>
      <c r="AB179" s="257">
        <f>IFERROR(__xludf.DUMMYFUNCTION("""COMPUTED_VALUE"""),2244.0)</f>
        <v>2244</v>
      </c>
      <c r="AC179" s="257">
        <f>IFERROR(__xludf.DUMMYFUNCTION("""COMPUTED_VALUE"""),7799.0)</f>
        <v>7799</v>
      </c>
      <c r="AD179" s="257">
        <f>IFERROR(__xludf.DUMMYFUNCTION("""COMPUTED_VALUE"""),197601.0)</f>
        <v>197601</v>
      </c>
      <c r="AE179" s="257">
        <f>IFERROR(__xludf.DUMMYFUNCTION("""COMPUTED_VALUE"""),5555.0)</f>
        <v>5555</v>
      </c>
      <c r="AF179" s="257">
        <f>IFERROR(__xludf.DUMMYFUNCTION("""COMPUTED_VALUE"""),136678.0)</f>
        <v>136678</v>
      </c>
      <c r="AG179" s="257">
        <f>IFERROR(__xludf.DUMMYFUNCTION("""COMPUTED_VALUE"""),2244.0)</f>
        <v>2244</v>
      </c>
      <c r="AH179" s="257">
        <f>IFERROR(__xludf.DUMMYFUNCTION("""COMPUTED_VALUE"""),60923.0)</f>
        <v>60923</v>
      </c>
    </row>
    <row r="180">
      <c r="A180" s="328">
        <f>IFERROR(__xludf.DUMMYFUNCTION("""COMPUTED_VALUE"""),44247.0)</f>
        <v>44247</v>
      </c>
      <c r="B180" s="329">
        <f>IFERROR(__xludf.DUMMYFUNCTION("""COMPUTED_VALUE"""),337.0)</f>
        <v>337</v>
      </c>
      <c r="C180" s="329">
        <f>IFERROR(__xludf.DUMMYFUNCTION("""COMPUTED_VALUE"""),385.0)</f>
        <v>385</v>
      </c>
      <c r="D180" s="329">
        <f>IFERROR(__xludf.DUMMYFUNCTION("""COMPUTED_VALUE"""),147746.0)</f>
        <v>147746</v>
      </c>
      <c r="E180" s="329">
        <f>IFERROR(__xludf.DUMMYFUNCTION("""COMPUTED_VALUE"""),10618.0)</f>
        <v>10618</v>
      </c>
      <c r="F180" s="329">
        <f>IFERROR(__xludf.DUMMYFUNCTION("""COMPUTED_VALUE"""),2740250.0)</f>
        <v>2740250</v>
      </c>
      <c r="G180" s="329">
        <f>IFERROR(__xludf.DUMMYFUNCTION("""COMPUTED_VALUE"""),10955.0)</f>
        <v>10955</v>
      </c>
      <c r="H180" s="329">
        <f>IFERROR(__xludf.DUMMYFUNCTION("""COMPUTED_VALUE"""),2887996.0)</f>
        <v>2887996</v>
      </c>
      <c r="I180" s="329">
        <f>IFERROR(__xludf.DUMMYFUNCTION("""COMPUTED_VALUE"""),281.0)</f>
        <v>281</v>
      </c>
      <c r="J180" s="329">
        <f>IFERROR(__xludf.DUMMYFUNCTION("""COMPUTED_VALUE"""),321.0)</f>
        <v>321</v>
      </c>
      <c r="K180" s="329">
        <f>IFERROR(__xludf.DUMMYFUNCTION("""COMPUTED_VALUE"""),123978.0)</f>
        <v>123978</v>
      </c>
      <c r="L180" s="329">
        <f>IFERROR(__xludf.DUMMYFUNCTION("""COMPUTED_VALUE"""),1312.0)</f>
        <v>1312</v>
      </c>
      <c r="M180" s="329">
        <f>IFERROR(__xludf.DUMMYFUNCTION("""COMPUTED_VALUE"""),654254.0)</f>
        <v>654254</v>
      </c>
      <c r="N180" s="329">
        <f>IFERROR(__xludf.DUMMYFUNCTION("""COMPUTED_VALUE"""),778232.0)</f>
        <v>778232</v>
      </c>
      <c r="O180" s="329">
        <f>IFERROR(__xludf.DUMMYFUNCTION("""COMPUTED_VALUE"""),37.0)</f>
        <v>37</v>
      </c>
      <c r="P180" s="329">
        <f>IFERROR(__xludf.DUMMYFUNCTION("""COMPUTED_VALUE"""),8840.0)</f>
        <v>8840</v>
      </c>
      <c r="Q180" s="329">
        <f>IFERROR(__xludf.DUMMYFUNCTION("""COMPUTED_VALUE"""),21.0)</f>
        <v>21</v>
      </c>
      <c r="R180" s="329">
        <f>IFERROR(__xludf.DUMMYFUNCTION("""COMPUTED_VALUE"""),7657.0)</f>
        <v>7657</v>
      </c>
      <c r="S180" s="329">
        <f>IFERROR(__xludf.DUMMYFUNCTION("""COMPUTED_VALUE"""),2.0)</f>
        <v>2</v>
      </c>
      <c r="T180" s="329">
        <f>IFERROR(__xludf.DUMMYFUNCTION("""COMPUTED_VALUE"""),995.0)</f>
        <v>995</v>
      </c>
      <c r="U180" s="329">
        <f>IFERROR(__xludf.DUMMYFUNCTION("""COMPUTED_VALUE"""),188.0)</f>
        <v>188</v>
      </c>
      <c r="V180" s="329">
        <f>IFERROR(__xludf.DUMMYFUNCTION("""COMPUTED_VALUE"""),184.0)</f>
        <v>184</v>
      </c>
      <c r="W180" s="329">
        <f>IFERROR(__xludf.DUMMYFUNCTION("""COMPUTED_VALUE"""),29.0)</f>
        <v>29</v>
      </c>
      <c r="X180" s="329">
        <f>IFERROR(__xludf.DUMMYFUNCTION("""COMPUTED_VALUE"""),17.0)</f>
        <v>17</v>
      </c>
      <c r="Y180" s="329">
        <f>IFERROR(__xludf.DUMMYFUNCTION("""COMPUTED_VALUE"""),4.0)</f>
        <v>4</v>
      </c>
      <c r="Z180" s="329">
        <f>IFERROR(__xludf.DUMMYFUNCTION("""COMPUTED_VALUE"""),2513.0)</f>
        <v>2513</v>
      </c>
      <c r="AA180" s="329">
        <f>IFERROR(__xludf.DUMMYFUNCTION("""COMPUTED_VALUE"""),7898.0)</f>
        <v>7898</v>
      </c>
      <c r="AB180" s="329">
        <f>IFERROR(__xludf.DUMMYFUNCTION("""COMPUTED_VALUE"""),2019.0)</f>
        <v>2019</v>
      </c>
      <c r="AC180" s="329">
        <f>IFERROR(__xludf.DUMMYFUNCTION("""COMPUTED_VALUE"""),9917.0)</f>
        <v>9917</v>
      </c>
      <c r="AD180" s="329">
        <f>IFERROR(__xludf.DUMMYFUNCTION("""COMPUTED_VALUE"""),207518.0)</f>
        <v>207518</v>
      </c>
      <c r="AE180" s="329">
        <f>IFERROR(__xludf.DUMMYFUNCTION("""COMPUTED_VALUE"""),7898.0)</f>
        <v>7898</v>
      </c>
      <c r="AF180" s="329">
        <f>IFERROR(__xludf.DUMMYFUNCTION("""COMPUTED_VALUE"""),144576.0)</f>
        <v>144576</v>
      </c>
      <c r="AG180" s="329">
        <f>IFERROR(__xludf.DUMMYFUNCTION("""COMPUTED_VALUE"""),2019.0)</f>
        <v>2019</v>
      </c>
      <c r="AH180" s="329">
        <f>IFERROR(__xludf.DUMMYFUNCTION("""COMPUTED_VALUE"""),62942.0)</f>
        <v>62942</v>
      </c>
    </row>
    <row r="181">
      <c r="A181" s="328">
        <f>IFERROR(__xludf.DUMMYFUNCTION("""COMPUTED_VALUE"""),44248.0)</f>
        <v>44248</v>
      </c>
      <c r="B181" s="329">
        <f>IFERROR(__xludf.DUMMYFUNCTION("""COMPUTED_VALUE"""),200.0)</f>
        <v>200</v>
      </c>
      <c r="C181" s="329">
        <f>IFERROR(__xludf.DUMMYFUNCTION("""COMPUTED_VALUE"""),318.0)</f>
        <v>318</v>
      </c>
      <c r="D181" s="329">
        <f>IFERROR(__xludf.DUMMYFUNCTION("""COMPUTED_VALUE"""),147946.0)</f>
        <v>147946</v>
      </c>
      <c r="E181" s="329">
        <f>IFERROR(__xludf.DUMMYFUNCTION("""COMPUTED_VALUE"""),6308.0)</f>
        <v>6308</v>
      </c>
      <c r="F181" s="329">
        <f>IFERROR(__xludf.DUMMYFUNCTION("""COMPUTED_VALUE"""),2746558.0)</f>
        <v>2746558</v>
      </c>
      <c r="G181" s="329">
        <f>IFERROR(__xludf.DUMMYFUNCTION("""COMPUTED_VALUE"""),6508.0)</f>
        <v>6508</v>
      </c>
      <c r="H181" s="329">
        <f>IFERROR(__xludf.DUMMYFUNCTION("""COMPUTED_VALUE"""),2894504.0)</f>
        <v>2894504</v>
      </c>
      <c r="I181" s="329">
        <f>IFERROR(__xludf.DUMMYFUNCTION("""COMPUTED_VALUE"""),173.0)</f>
        <v>173</v>
      </c>
      <c r="J181" s="329">
        <f>IFERROR(__xludf.DUMMYFUNCTION("""COMPUTED_VALUE"""),268.0)</f>
        <v>268</v>
      </c>
      <c r="K181" s="329">
        <f>IFERROR(__xludf.DUMMYFUNCTION("""COMPUTED_VALUE"""),124151.0)</f>
        <v>124151</v>
      </c>
      <c r="L181" s="329">
        <f>IFERROR(__xludf.DUMMYFUNCTION("""COMPUTED_VALUE"""),839.0)</f>
        <v>839</v>
      </c>
      <c r="M181" s="329">
        <f>IFERROR(__xludf.DUMMYFUNCTION("""COMPUTED_VALUE"""),655093.0)</f>
        <v>655093</v>
      </c>
      <c r="N181" s="329">
        <f>IFERROR(__xludf.DUMMYFUNCTION("""COMPUTED_VALUE"""),779244.0)</f>
        <v>779244</v>
      </c>
      <c r="O181" s="329">
        <f>IFERROR(__xludf.DUMMYFUNCTION("""COMPUTED_VALUE"""),6.0)</f>
        <v>6</v>
      </c>
      <c r="P181" s="329">
        <f>IFERROR(__xludf.DUMMYFUNCTION("""COMPUTED_VALUE"""),8846.0)</f>
        <v>8846</v>
      </c>
      <c r="Q181" s="329">
        <f>IFERROR(__xludf.DUMMYFUNCTION("""COMPUTED_VALUE"""),14.0)</f>
        <v>14</v>
      </c>
      <c r="R181" s="329">
        <f>IFERROR(__xludf.DUMMYFUNCTION("""COMPUTED_VALUE"""),7671.0)</f>
        <v>7671</v>
      </c>
      <c r="S181" s="329">
        <f>IFERROR(__xludf.DUMMYFUNCTION("""COMPUTED_VALUE"""),2.0)</f>
        <v>2</v>
      </c>
      <c r="T181" s="329">
        <f>IFERROR(__xludf.DUMMYFUNCTION("""COMPUTED_VALUE"""),997.0)</f>
        <v>997</v>
      </c>
      <c r="U181" s="329">
        <f>IFERROR(__xludf.DUMMYFUNCTION("""COMPUTED_VALUE"""),178.0)</f>
        <v>178</v>
      </c>
      <c r="V181" s="329">
        <f>IFERROR(__xludf.DUMMYFUNCTION("""COMPUTED_VALUE"""),180.0)</f>
        <v>180</v>
      </c>
      <c r="W181" s="329">
        <f>IFERROR(__xludf.DUMMYFUNCTION("""COMPUTED_VALUE"""),33.0)</f>
        <v>33</v>
      </c>
      <c r="X181" s="329">
        <f>IFERROR(__xludf.DUMMYFUNCTION("""COMPUTED_VALUE"""),18.0)</f>
        <v>18</v>
      </c>
      <c r="Y181" s="329">
        <f>IFERROR(__xludf.DUMMYFUNCTION("""COMPUTED_VALUE"""),3.0)</f>
        <v>3</v>
      </c>
      <c r="Z181" s="329">
        <f>IFERROR(__xludf.DUMMYFUNCTION("""COMPUTED_VALUE"""),2516.0)</f>
        <v>2516</v>
      </c>
      <c r="AA181" s="329">
        <f>IFERROR(__xludf.DUMMYFUNCTION("""COMPUTED_VALUE"""),1932.0)</f>
        <v>1932</v>
      </c>
      <c r="AB181" s="329">
        <f>IFERROR(__xludf.DUMMYFUNCTION("""COMPUTED_VALUE"""),617.0)</f>
        <v>617</v>
      </c>
      <c r="AC181" s="329">
        <f>IFERROR(__xludf.DUMMYFUNCTION("""COMPUTED_VALUE"""),2549.0)</f>
        <v>2549</v>
      </c>
      <c r="AD181" s="329">
        <f>IFERROR(__xludf.DUMMYFUNCTION("""COMPUTED_VALUE"""),210067.0)</f>
        <v>210067</v>
      </c>
      <c r="AE181" s="329">
        <f>IFERROR(__xludf.DUMMYFUNCTION("""COMPUTED_VALUE"""),1932.0)</f>
        <v>1932</v>
      </c>
      <c r="AF181" s="329">
        <f>IFERROR(__xludf.DUMMYFUNCTION("""COMPUTED_VALUE"""),146508.0)</f>
        <v>146508</v>
      </c>
      <c r="AG181" s="329">
        <f>IFERROR(__xludf.DUMMYFUNCTION("""COMPUTED_VALUE"""),617.0)</f>
        <v>617</v>
      </c>
      <c r="AH181" s="329">
        <f>IFERROR(__xludf.DUMMYFUNCTION("""COMPUTED_VALUE"""),63559.0)</f>
        <v>63559</v>
      </c>
    </row>
    <row r="182">
      <c r="A182" s="328">
        <f>IFERROR(__xludf.DUMMYFUNCTION("""COMPUTED_VALUE"""),44249.0)</f>
        <v>44249</v>
      </c>
      <c r="B182" s="329">
        <f>IFERROR(__xludf.DUMMYFUNCTION("""COMPUTED_VALUE"""),389.0)</f>
        <v>389</v>
      </c>
      <c r="C182" s="329">
        <f>IFERROR(__xludf.DUMMYFUNCTION("""COMPUTED_VALUE"""),309.0)</f>
        <v>309</v>
      </c>
      <c r="D182" s="329">
        <f>IFERROR(__xludf.DUMMYFUNCTION("""COMPUTED_VALUE"""),148335.0)</f>
        <v>148335</v>
      </c>
      <c r="E182" s="329">
        <f>IFERROR(__xludf.DUMMYFUNCTION("""COMPUTED_VALUE"""),12031.0)</f>
        <v>12031</v>
      </c>
      <c r="F182" s="329">
        <f>IFERROR(__xludf.DUMMYFUNCTION("""COMPUTED_VALUE"""),2758589.0)</f>
        <v>2758589</v>
      </c>
      <c r="G182" s="329">
        <f>IFERROR(__xludf.DUMMYFUNCTION("""COMPUTED_VALUE"""),12420.0)</f>
        <v>12420</v>
      </c>
      <c r="H182" s="329">
        <f>IFERROR(__xludf.DUMMYFUNCTION("""COMPUTED_VALUE"""),2906924.0)</f>
        <v>2906924</v>
      </c>
      <c r="I182" s="329">
        <f>IFERROR(__xludf.DUMMYFUNCTION("""COMPUTED_VALUE"""),343.0)</f>
        <v>343</v>
      </c>
      <c r="J182" s="329">
        <f>IFERROR(__xludf.DUMMYFUNCTION("""COMPUTED_VALUE"""),266.0)</f>
        <v>266</v>
      </c>
      <c r="K182" s="329">
        <f>IFERROR(__xludf.DUMMYFUNCTION("""COMPUTED_VALUE"""),124494.0)</f>
        <v>124494</v>
      </c>
      <c r="L182" s="329">
        <f>IFERROR(__xludf.DUMMYFUNCTION("""COMPUTED_VALUE"""),1518.0)</f>
        <v>1518</v>
      </c>
      <c r="M182" s="329">
        <f>IFERROR(__xludf.DUMMYFUNCTION("""COMPUTED_VALUE"""),656611.0)</f>
        <v>656611</v>
      </c>
      <c r="N182" s="329">
        <f>IFERROR(__xludf.DUMMYFUNCTION("""COMPUTED_VALUE"""),781105.0)</f>
        <v>781105</v>
      </c>
      <c r="O182" s="329">
        <f>IFERROR(__xludf.DUMMYFUNCTION("""COMPUTED_VALUE"""),16.0)</f>
        <v>16</v>
      </c>
      <c r="P182" s="329">
        <f>IFERROR(__xludf.DUMMYFUNCTION("""COMPUTED_VALUE"""),8862.0)</f>
        <v>8862</v>
      </c>
      <c r="Q182" s="329">
        <f>IFERROR(__xludf.DUMMYFUNCTION("""COMPUTED_VALUE"""),17.0)</f>
        <v>17</v>
      </c>
      <c r="R182" s="329">
        <f>IFERROR(__xludf.DUMMYFUNCTION("""COMPUTED_VALUE"""),7688.0)</f>
        <v>7688</v>
      </c>
      <c r="S182" s="329">
        <f>IFERROR(__xludf.DUMMYFUNCTION("""COMPUTED_VALUE"""),0.0)</f>
        <v>0</v>
      </c>
      <c r="T182" s="329">
        <f>IFERROR(__xludf.DUMMYFUNCTION("""COMPUTED_VALUE"""),997.0)</f>
        <v>997</v>
      </c>
      <c r="U182" s="329">
        <f>IFERROR(__xludf.DUMMYFUNCTION("""COMPUTED_VALUE"""),177.0)</f>
        <v>177</v>
      </c>
      <c r="V182" s="329">
        <f>IFERROR(__xludf.DUMMYFUNCTION("""COMPUTED_VALUE"""),181.0)</f>
        <v>181</v>
      </c>
      <c r="W182" s="329">
        <f>IFERROR(__xludf.DUMMYFUNCTION("""COMPUTED_VALUE"""),32.0)</f>
        <v>32</v>
      </c>
      <c r="X182" s="329">
        <f>IFERROR(__xludf.DUMMYFUNCTION("""COMPUTED_VALUE"""),17.0)</f>
        <v>17</v>
      </c>
      <c r="Y182" s="329">
        <f>IFERROR(__xludf.DUMMYFUNCTION("""COMPUTED_VALUE"""),2.0)</f>
        <v>2</v>
      </c>
      <c r="Z182" s="329">
        <f>IFERROR(__xludf.DUMMYFUNCTION("""COMPUTED_VALUE"""),2518.0)</f>
        <v>2518</v>
      </c>
      <c r="AA182" s="329">
        <f>IFERROR(__xludf.DUMMYFUNCTION("""COMPUTED_VALUE"""),5472.0)</f>
        <v>5472</v>
      </c>
      <c r="AB182" s="329">
        <f>IFERROR(__xludf.DUMMYFUNCTION("""COMPUTED_VALUE"""),1387.0)</f>
        <v>1387</v>
      </c>
      <c r="AC182" s="329">
        <f>IFERROR(__xludf.DUMMYFUNCTION("""COMPUTED_VALUE"""),6859.0)</f>
        <v>6859</v>
      </c>
      <c r="AD182" s="329">
        <f>IFERROR(__xludf.DUMMYFUNCTION("""COMPUTED_VALUE"""),216926.0)</f>
        <v>216926</v>
      </c>
      <c r="AE182" s="329">
        <f>IFERROR(__xludf.DUMMYFUNCTION("""COMPUTED_VALUE"""),5472.0)</f>
        <v>5472</v>
      </c>
      <c r="AF182" s="329">
        <f>IFERROR(__xludf.DUMMYFUNCTION("""COMPUTED_VALUE"""),151980.0)</f>
        <v>151980</v>
      </c>
      <c r="AG182" s="329">
        <f>IFERROR(__xludf.DUMMYFUNCTION("""COMPUTED_VALUE"""),1387.0)</f>
        <v>1387</v>
      </c>
      <c r="AH182" s="329">
        <f>IFERROR(__xludf.DUMMYFUNCTION("""COMPUTED_VALUE"""),64946.0)</f>
        <v>64946</v>
      </c>
    </row>
    <row r="183">
      <c r="A183" s="328">
        <f>IFERROR(__xludf.DUMMYFUNCTION("""COMPUTED_VALUE"""),44250.0)</f>
        <v>44250</v>
      </c>
      <c r="B183" s="329">
        <f>IFERROR(__xludf.DUMMYFUNCTION("""COMPUTED_VALUE"""),491.0)</f>
        <v>491</v>
      </c>
      <c r="C183" s="329">
        <f>IFERROR(__xludf.DUMMYFUNCTION("""COMPUTED_VALUE"""),360.0)</f>
        <v>360</v>
      </c>
      <c r="D183" s="329">
        <f>IFERROR(__xludf.DUMMYFUNCTION("""COMPUTED_VALUE"""),148826.0)</f>
        <v>148826</v>
      </c>
      <c r="E183" s="329">
        <f>IFERROR(__xludf.DUMMYFUNCTION("""COMPUTED_VALUE"""),19937.0)</f>
        <v>19937</v>
      </c>
      <c r="F183" s="329">
        <f>IFERROR(__xludf.DUMMYFUNCTION("""COMPUTED_VALUE"""),2778526.0)</f>
        <v>2778526</v>
      </c>
      <c r="G183" s="329">
        <f>IFERROR(__xludf.DUMMYFUNCTION("""COMPUTED_VALUE"""),20428.0)</f>
        <v>20428</v>
      </c>
      <c r="H183" s="329">
        <f>IFERROR(__xludf.DUMMYFUNCTION("""COMPUTED_VALUE"""),2927352.0)</f>
        <v>2927352</v>
      </c>
      <c r="I183" s="329">
        <f>IFERROR(__xludf.DUMMYFUNCTION("""COMPUTED_VALUE"""),440.0)</f>
        <v>440</v>
      </c>
      <c r="J183" s="329">
        <f>IFERROR(__xludf.DUMMYFUNCTION("""COMPUTED_VALUE"""),319.0)</f>
        <v>319</v>
      </c>
      <c r="K183" s="329">
        <f>IFERROR(__xludf.DUMMYFUNCTION("""COMPUTED_VALUE"""),124934.0)</f>
        <v>124934</v>
      </c>
      <c r="L183" s="329">
        <f>IFERROR(__xludf.DUMMYFUNCTION("""COMPUTED_VALUE"""),2100.0)</f>
        <v>2100</v>
      </c>
      <c r="M183" s="329">
        <f>IFERROR(__xludf.DUMMYFUNCTION("""COMPUTED_VALUE"""),658711.0)</f>
        <v>658711</v>
      </c>
      <c r="N183" s="329">
        <f>IFERROR(__xludf.DUMMYFUNCTION("""COMPUTED_VALUE"""),783645.0)</f>
        <v>783645</v>
      </c>
      <c r="O183" s="329">
        <f>IFERROR(__xludf.DUMMYFUNCTION("""COMPUTED_VALUE"""),25.0)</f>
        <v>25</v>
      </c>
      <c r="P183" s="329">
        <f>IFERROR(__xludf.DUMMYFUNCTION("""COMPUTED_VALUE"""),8887.0)</f>
        <v>8887</v>
      </c>
      <c r="Q183" s="329">
        <f>IFERROR(__xludf.DUMMYFUNCTION("""COMPUTED_VALUE"""),27.0)</f>
        <v>27</v>
      </c>
      <c r="R183" s="329">
        <f>IFERROR(__xludf.DUMMYFUNCTION("""COMPUTED_VALUE"""),7715.0)</f>
        <v>7715</v>
      </c>
      <c r="S183" s="329">
        <f>IFERROR(__xludf.DUMMYFUNCTION("""COMPUTED_VALUE"""),2.0)</f>
        <v>2</v>
      </c>
      <c r="T183" s="329">
        <f>IFERROR(__xludf.DUMMYFUNCTION("""COMPUTED_VALUE"""),999.0)</f>
        <v>999</v>
      </c>
      <c r="U183" s="329">
        <f>IFERROR(__xludf.DUMMYFUNCTION("""COMPUTED_VALUE"""),173.0)</f>
        <v>173</v>
      </c>
      <c r="V183" s="329">
        <f>IFERROR(__xludf.DUMMYFUNCTION("""COMPUTED_VALUE"""),176.0)</f>
        <v>176</v>
      </c>
      <c r="W183" s="329">
        <f>IFERROR(__xludf.DUMMYFUNCTION("""COMPUTED_VALUE"""),32.0)</f>
        <v>32</v>
      </c>
      <c r="X183" s="329">
        <f>IFERROR(__xludf.DUMMYFUNCTION("""COMPUTED_VALUE"""),18.0)</f>
        <v>18</v>
      </c>
      <c r="Y183" s="329">
        <f>IFERROR(__xludf.DUMMYFUNCTION("""COMPUTED_VALUE"""),5.0)</f>
        <v>5</v>
      </c>
      <c r="Z183" s="329">
        <f>IFERROR(__xludf.DUMMYFUNCTION("""COMPUTED_VALUE"""),2523.0)</f>
        <v>2523</v>
      </c>
      <c r="AA183" s="329">
        <f>IFERROR(__xludf.DUMMYFUNCTION("""COMPUTED_VALUE"""),6118.0)</f>
        <v>6118</v>
      </c>
      <c r="AB183" s="329">
        <f>IFERROR(__xludf.DUMMYFUNCTION("""COMPUTED_VALUE"""),1378.0)</f>
        <v>1378</v>
      </c>
      <c r="AC183" s="329">
        <f>IFERROR(__xludf.DUMMYFUNCTION("""COMPUTED_VALUE"""),7496.0)</f>
        <v>7496</v>
      </c>
      <c r="AD183" s="329">
        <f>IFERROR(__xludf.DUMMYFUNCTION("""COMPUTED_VALUE"""),224422.0)</f>
        <v>224422</v>
      </c>
      <c r="AE183" s="329">
        <f>IFERROR(__xludf.DUMMYFUNCTION("""COMPUTED_VALUE"""),6118.0)</f>
        <v>6118</v>
      </c>
      <c r="AF183" s="329">
        <f>IFERROR(__xludf.DUMMYFUNCTION("""COMPUTED_VALUE"""),158098.0)</f>
        <v>158098</v>
      </c>
      <c r="AG183" s="329">
        <f>IFERROR(__xludf.DUMMYFUNCTION("""COMPUTED_VALUE"""),1378.0)</f>
        <v>1378</v>
      </c>
      <c r="AH183" s="329">
        <f>IFERROR(__xludf.DUMMYFUNCTION("""COMPUTED_VALUE"""),66324.0)</f>
        <v>66324</v>
      </c>
    </row>
    <row r="184">
      <c r="A184" s="328">
        <f>IFERROR(__xludf.DUMMYFUNCTION("""COMPUTED_VALUE"""),44251.0)</f>
        <v>44251</v>
      </c>
      <c r="B184" s="329">
        <f>IFERROR(__xludf.DUMMYFUNCTION("""COMPUTED_VALUE"""),490.0)</f>
        <v>490</v>
      </c>
      <c r="C184" s="329">
        <f>IFERROR(__xludf.DUMMYFUNCTION("""COMPUTED_VALUE"""),457.0)</f>
        <v>457</v>
      </c>
      <c r="D184" s="329">
        <f>IFERROR(__xludf.DUMMYFUNCTION("""COMPUTED_VALUE"""),149316.0)</f>
        <v>149316</v>
      </c>
      <c r="E184" s="329">
        <f>IFERROR(__xludf.DUMMYFUNCTION("""COMPUTED_VALUE"""),23121.0)</f>
        <v>23121</v>
      </c>
      <c r="F184" s="329">
        <f>IFERROR(__xludf.DUMMYFUNCTION("""COMPUTED_VALUE"""),2801647.0)</f>
        <v>2801647</v>
      </c>
      <c r="G184" s="329">
        <f>IFERROR(__xludf.DUMMYFUNCTION("""COMPUTED_VALUE"""),23611.0)</f>
        <v>23611</v>
      </c>
      <c r="H184" s="329">
        <f>IFERROR(__xludf.DUMMYFUNCTION("""COMPUTED_VALUE"""),2950963.0)</f>
        <v>2950963</v>
      </c>
      <c r="I184" s="329">
        <f>IFERROR(__xludf.DUMMYFUNCTION("""COMPUTED_VALUE"""),422.0)</f>
        <v>422</v>
      </c>
      <c r="J184" s="329">
        <f>IFERROR(__xludf.DUMMYFUNCTION("""COMPUTED_VALUE"""),402.0)</f>
        <v>402</v>
      </c>
      <c r="K184" s="329">
        <f>IFERROR(__xludf.DUMMYFUNCTION("""COMPUTED_VALUE"""),125356.0)</f>
        <v>125356</v>
      </c>
      <c r="L184" s="329">
        <f>IFERROR(__xludf.DUMMYFUNCTION("""COMPUTED_VALUE"""),2022.0)</f>
        <v>2022</v>
      </c>
      <c r="M184" s="329">
        <f>IFERROR(__xludf.DUMMYFUNCTION("""COMPUTED_VALUE"""),660733.0)</f>
        <v>660733</v>
      </c>
      <c r="N184" s="329">
        <f>IFERROR(__xludf.DUMMYFUNCTION("""COMPUTED_VALUE"""),786089.0)</f>
        <v>786089</v>
      </c>
      <c r="O184" s="329">
        <f>IFERROR(__xludf.DUMMYFUNCTION("""COMPUTED_VALUE"""),28.0)</f>
        <v>28</v>
      </c>
      <c r="P184" s="329">
        <f>IFERROR(__xludf.DUMMYFUNCTION("""COMPUTED_VALUE"""),8915.0)</f>
        <v>8915</v>
      </c>
      <c r="Q184" s="329">
        <f>IFERROR(__xludf.DUMMYFUNCTION("""COMPUTED_VALUE"""),20.0)</f>
        <v>20</v>
      </c>
      <c r="R184" s="329">
        <f>IFERROR(__xludf.DUMMYFUNCTION("""COMPUTED_VALUE"""),7735.0)</f>
        <v>7735</v>
      </c>
      <c r="S184" s="329">
        <f>IFERROR(__xludf.DUMMYFUNCTION("""COMPUTED_VALUE"""),2.0)</f>
        <v>2</v>
      </c>
      <c r="T184" s="329">
        <f>IFERROR(__xludf.DUMMYFUNCTION("""COMPUTED_VALUE"""),1001.0)</f>
        <v>1001</v>
      </c>
      <c r="U184" s="329">
        <f>IFERROR(__xludf.DUMMYFUNCTION("""COMPUTED_VALUE"""),179.0)</f>
        <v>179</v>
      </c>
      <c r="V184" s="329">
        <f>IFERROR(__xludf.DUMMYFUNCTION("""COMPUTED_VALUE"""),176.0)</f>
        <v>176</v>
      </c>
      <c r="W184" s="329">
        <f>IFERROR(__xludf.DUMMYFUNCTION("""COMPUTED_VALUE"""),33.0)</f>
        <v>33</v>
      </c>
      <c r="X184" s="329">
        <f>IFERROR(__xludf.DUMMYFUNCTION("""COMPUTED_VALUE"""),20.0)</f>
        <v>20</v>
      </c>
      <c r="Y184" s="329">
        <f>IFERROR(__xludf.DUMMYFUNCTION("""COMPUTED_VALUE"""),5.0)</f>
        <v>5</v>
      </c>
      <c r="Z184" s="329">
        <f>IFERROR(__xludf.DUMMYFUNCTION("""COMPUTED_VALUE"""),2528.0)</f>
        <v>2528</v>
      </c>
      <c r="AA184" s="329">
        <f>IFERROR(__xludf.DUMMYFUNCTION("""COMPUTED_VALUE"""),6625.0)</f>
        <v>6625</v>
      </c>
      <c r="AB184" s="329">
        <f>IFERROR(__xludf.DUMMYFUNCTION("""COMPUTED_VALUE"""),1813.0)</f>
        <v>1813</v>
      </c>
      <c r="AC184" s="329">
        <f>IFERROR(__xludf.DUMMYFUNCTION("""COMPUTED_VALUE"""),8438.0)</f>
        <v>8438</v>
      </c>
      <c r="AD184" s="329">
        <f>IFERROR(__xludf.DUMMYFUNCTION("""COMPUTED_VALUE"""),232860.0)</f>
        <v>232860</v>
      </c>
      <c r="AE184" s="329">
        <f>IFERROR(__xludf.DUMMYFUNCTION("""COMPUTED_VALUE"""),6625.0)</f>
        <v>6625</v>
      </c>
      <c r="AF184" s="329">
        <f>IFERROR(__xludf.DUMMYFUNCTION("""COMPUTED_VALUE"""),164723.0)</f>
        <v>164723</v>
      </c>
      <c r="AG184" s="329">
        <f>IFERROR(__xludf.DUMMYFUNCTION("""COMPUTED_VALUE"""),1813.0)</f>
        <v>1813</v>
      </c>
      <c r="AH184" s="329">
        <f>IFERROR(__xludf.DUMMYFUNCTION("""COMPUTED_VALUE"""),68137.0)</f>
        <v>68137</v>
      </c>
    </row>
    <row r="185">
      <c r="A185" s="328">
        <f>IFERROR(__xludf.DUMMYFUNCTION("""COMPUTED_VALUE"""),44252.0)</f>
        <v>44252</v>
      </c>
      <c r="B185" s="329">
        <f>IFERROR(__xludf.DUMMYFUNCTION("""COMPUTED_VALUE"""),530.0)</f>
        <v>530</v>
      </c>
      <c r="C185" s="329">
        <f>IFERROR(__xludf.DUMMYFUNCTION("""COMPUTED_VALUE"""),504.0)</f>
        <v>504</v>
      </c>
      <c r="D185" s="329">
        <f>IFERROR(__xludf.DUMMYFUNCTION("""COMPUTED_VALUE"""),149846.0)</f>
        <v>149846</v>
      </c>
      <c r="E185" s="329">
        <f>IFERROR(__xludf.DUMMYFUNCTION("""COMPUTED_VALUE"""),20981.0)</f>
        <v>20981</v>
      </c>
      <c r="F185" s="329">
        <f>IFERROR(__xludf.DUMMYFUNCTION("""COMPUTED_VALUE"""),2822628.0)</f>
        <v>2822628</v>
      </c>
      <c r="G185" s="329">
        <f>IFERROR(__xludf.DUMMYFUNCTION("""COMPUTED_VALUE"""),21511.0)</f>
        <v>21511</v>
      </c>
      <c r="H185" s="329">
        <f>IFERROR(__xludf.DUMMYFUNCTION("""COMPUTED_VALUE"""),2972474.0)</f>
        <v>2972474</v>
      </c>
      <c r="I185" s="329">
        <f>IFERROR(__xludf.DUMMYFUNCTION("""COMPUTED_VALUE"""),455.0)</f>
        <v>455</v>
      </c>
      <c r="J185" s="329">
        <f>IFERROR(__xludf.DUMMYFUNCTION("""COMPUTED_VALUE"""),439.0)</f>
        <v>439</v>
      </c>
      <c r="K185" s="329">
        <f>IFERROR(__xludf.DUMMYFUNCTION("""COMPUTED_VALUE"""),125811.0)</f>
        <v>125811</v>
      </c>
      <c r="L185" s="329">
        <f>IFERROR(__xludf.DUMMYFUNCTION("""COMPUTED_VALUE"""),1925.0)</f>
        <v>1925</v>
      </c>
      <c r="M185" s="329">
        <f>IFERROR(__xludf.DUMMYFUNCTION("""COMPUTED_VALUE"""),662658.0)</f>
        <v>662658</v>
      </c>
      <c r="N185" s="329">
        <f>IFERROR(__xludf.DUMMYFUNCTION("""COMPUTED_VALUE"""),788469.0)</f>
        <v>788469</v>
      </c>
      <c r="O185" s="329">
        <f>IFERROR(__xludf.DUMMYFUNCTION("""COMPUTED_VALUE"""),19.0)</f>
        <v>19</v>
      </c>
      <c r="P185" s="329">
        <f>IFERROR(__xludf.DUMMYFUNCTION("""COMPUTED_VALUE"""),8934.0)</f>
        <v>8934</v>
      </c>
      <c r="Q185" s="329">
        <f>IFERROR(__xludf.DUMMYFUNCTION("""COMPUTED_VALUE"""),20.0)</f>
        <v>20</v>
      </c>
      <c r="R185" s="329">
        <f>IFERROR(__xludf.DUMMYFUNCTION("""COMPUTED_VALUE"""),7755.0)</f>
        <v>7755</v>
      </c>
      <c r="S185" s="329">
        <f>IFERROR(__xludf.DUMMYFUNCTION("""COMPUTED_VALUE"""),3.0)</f>
        <v>3</v>
      </c>
      <c r="T185" s="329">
        <f>IFERROR(__xludf.DUMMYFUNCTION("""COMPUTED_VALUE"""),1004.0)</f>
        <v>1004</v>
      </c>
      <c r="U185" s="329">
        <f>IFERROR(__xludf.DUMMYFUNCTION("""COMPUTED_VALUE"""),175.0)</f>
        <v>175</v>
      </c>
      <c r="V185" s="329">
        <f>IFERROR(__xludf.DUMMYFUNCTION("""COMPUTED_VALUE"""),176.0)</f>
        <v>176</v>
      </c>
      <c r="W185" s="329">
        <f>IFERROR(__xludf.DUMMYFUNCTION("""COMPUTED_VALUE"""),30.0)</f>
        <v>30</v>
      </c>
      <c r="X185" s="329">
        <f>IFERROR(__xludf.DUMMYFUNCTION("""COMPUTED_VALUE"""),20.0)</f>
        <v>20</v>
      </c>
      <c r="Y185" s="329">
        <f>IFERROR(__xludf.DUMMYFUNCTION("""COMPUTED_VALUE"""),5.0)</f>
        <v>5</v>
      </c>
      <c r="Z185" s="329">
        <f>IFERROR(__xludf.DUMMYFUNCTION("""COMPUTED_VALUE"""),2533.0)</f>
        <v>2533</v>
      </c>
      <c r="AA185" s="329">
        <f>IFERROR(__xludf.DUMMYFUNCTION("""COMPUTED_VALUE"""),8691.0)</f>
        <v>8691</v>
      </c>
      <c r="AB185" s="329">
        <f>IFERROR(__xludf.DUMMYFUNCTION("""COMPUTED_VALUE"""),2969.0)</f>
        <v>2969</v>
      </c>
      <c r="AC185" s="329">
        <f>IFERROR(__xludf.DUMMYFUNCTION("""COMPUTED_VALUE"""),11660.0)</f>
        <v>11660</v>
      </c>
      <c r="AD185" s="329">
        <f>IFERROR(__xludf.DUMMYFUNCTION("""COMPUTED_VALUE"""),244520.0)</f>
        <v>244520</v>
      </c>
      <c r="AE185" s="329">
        <f>IFERROR(__xludf.DUMMYFUNCTION("""COMPUTED_VALUE"""),8691.0)</f>
        <v>8691</v>
      </c>
      <c r="AF185" s="329">
        <f>IFERROR(__xludf.DUMMYFUNCTION("""COMPUTED_VALUE"""),173414.0)</f>
        <v>173414</v>
      </c>
      <c r="AG185" s="329">
        <f>IFERROR(__xludf.DUMMYFUNCTION("""COMPUTED_VALUE"""),2969.0)</f>
        <v>2969</v>
      </c>
      <c r="AH185" s="329">
        <f>IFERROR(__xludf.DUMMYFUNCTION("""COMPUTED_VALUE"""),71106.0)</f>
        <v>71106</v>
      </c>
    </row>
    <row r="186">
      <c r="A186" s="328">
        <f>IFERROR(__xludf.DUMMYFUNCTION("""COMPUTED_VALUE"""),44253.0)</f>
        <v>44253</v>
      </c>
      <c r="B186" s="329">
        <f>IFERROR(__xludf.DUMMYFUNCTION("""COMPUTED_VALUE"""),433.0)</f>
        <v>433</v>
      </c>
      <c r="C186" s="329">
        <f>IFERROR(__xludf.DUMMYFUNCTION("""COMPUTED_VALUE"""),484.0)</f>
        <v>484</v>
      </c>
      <c r="D186" s="329">
        <f>IFERROR(__xludf.DUMMYFUNCTION("""COMPUTED_VALUE"""),150279.0)</f>
        <v>150279</v>
      </c>
      <c r="E186" s="329">
        <f>IFERROR(__xludf.DUMMYFUNCTION("""COMPUTED_VALUE"""),18585.0)</f>
        <v>18585</v>
      </c>
      <c r="F186" s="329">
        <f>IFERROR(__xludf.DUMMYFUNCTION("""COMPUTED_VALUE"""),2841213.0)</f>
        <v>2841213</v>
      </c>
      <c r="G186" s="329">
        <f>IFERROR(__xludf.DUMMYFUNCTION("""COMPUTED_VALUE"""),19018.0)</f>
        <v>19018</v>
      </c>
      <c r="H186" s="329">
        <f>IFERROR(__xludf.DUMMYFUNCTION("""COMPUTED_VALUE"""),2991492.0)</f>
        <v>2991492</v>
      </c>
      <c r="I186" s="329">
        <f>IFERROR(__xludf.DUMMYFUNCTION("""COMPUTED_VALUE"""),371.0)</f>
        <v>371</v>
      </c>
      <c r="J186" s="329">
        <f>IFERROR(__xludf.DUMMYFUNCTION("""COMPUTED_VALUE"""),416.0)</f>
        <v>416</v>
      </c>
      <c r="K186" s="329">
        <f>IFERROR(__xludf.DUMMYFUNCTION("""COMPUTED_VALUE"""),126182.0)</f>
        <v>126182</v>
      </c>
      <c r="L186" s="329">
        <f>IFERROR(__xludf.DUMMYFUNCTION("""COMPUTED_VALUE"""),1588.0)</f>
        <v>1588</v>
      </c>
      <c r="M186" s="329">
        <f>IFERROR(__xludf.DUMMYFUNCTION("""COMPUTED_VALUE"""),664246.0)</f>
        <v>664246</v>
      </c>
      <c r="N186" s="329">
        <f>IFERROR(__xludf.DUMMYFUNCTION("""COMPUTED_VALUE"""),790428.0)</f>
        <v>790428</v>
      </c>
      <c r="O186" s="329">
        <f>IFERROR(__xludf.DUMMYFUNCTION("""COMPUTED_VALUE"""),25.0)</f>
        <v>25</v>
      </c>
      <c r="P186" s="329">
        <f>IFERROR(__xludf.DUMMYFUNCTION("""COMPUTED_VALUE"""),8959.0)</f>
        <v>8959</v>
      </c>
      <c r="Q186" s="329">
        <f>IFERROR(__xludf.DUMMYFUNCTION("""COMPUTED_VALUE"""),24.0)</f>
        <v>24</v>
      </c>
      <c r="R186" s="329">
        <f>IFERROR(__xludf.DUMMYFUNCTION("""COMPUTED_VALUE"""),7779.0)</f>
        <v>7779</v>
      </c>
      <c r="S186" s="329">
        <f>IFERROR(__xludf.DUMMYFUNCTION("""COMPUTED_VALUE"""),1.0)</f>
        <v>1</v>
      </c>
      <c r="T186" s="329">
        <f>IFERROR(__xludf.DUMMYFUNCTION("""COMPUTED_VALUE"""),1005.0)</f>
        <v>1005</v>
      </c>
      <c r="U186" s="329">
        <f>IFERROR(__xludf.DUMMYFUNCTION("""COMPUTED_VALUE"""),175.0)</f>
        <v>175</v>
      </c>
      <c r="V186" s="329">
        <f>IFERROR(__xludf.DUMMYFUNCTION("""COMPUTED_VALUE"""),176.0)</f>
        <v>176</v>
      </c>
      <c r="W186" s="329">
        <f>IFERROR(__xludf.DUMMYFUNCTION("""COMPUTED_VALUE"""),29.0)</f>
        <v>29</v>
      </c>
      <c r="X186" s="329">
        <f>IFERROR(__xludf.DUMMYFUNCTION("""COMPUTED_VALUE"""),21.0)</f>
        <v>21</v>
      </c>
      <c r="Y186" s="329">
        <f>IFERROR(__xludf.DUMMYFUNCTION("""COMPUTED_VALUE"""),0.0)</f>
        <v>0</v>
      </c>
      <c r="Z186" s="329">
        <f>IFERROR(__xludf.DUMMYFUNCTION("""COMPUTED_VALUE"""),2533.0)</f>
        <v>2533</v>
      </c>
      <c r="AA186" s="329">
        <f>IFERROR(__xludf.DUMMYFUNCTION("""COMPUTED_VALUE"""),8401.0)</f>
        <v>8401</v>
      </c>
      <c r="AB186" s="329">
        <f>IFERROR(__xludf.DUMMYFUNCTION("""COMPUTED_VALUE"""),2630.0)</f>
        <v>2630</v>
      </c>
      <c r="AC186" s="329">
        <f>IFERROR(__xludf.DUMMYFUNCTION("""COMPUTED_VALUE"""),11031.0)</f>
        <v>11031</v>
      </c>
      <c r="AD186" s="329">
        <f>IFERROR(__xludf.DUMMYFUNCTION("""COMPUTED_VALUE"""),255551.0)</f>
        <v>255551</v>
      </c>
      <c r="AE186" s="329">
        <f>IFERROR(__xludf.DUMMYFUNCTION("""COMPUTED_VALUE"""),8401.0)</f>
        <v>8401</v>
      </c>
      <c r="AF186" s="329">
        <f>IFERROR(__xludf.DUMMYFUNCTION("""COMPUTED_VALUE"""),181815.0)</f>
        <v>181815</v>
      </c>
      <c r="AG186" s="329">
        <f>IFERROR(__xludf.DUMMYFUNCTION("""COMPUTED_VALUE"""),2630.0)</f>
        <v>2630</v>
      </c>
      <c r="AH186" s="329">
        <f>IFERROR(__xludf.DUMMYFUNCTION("""COMPUTED_VALUE"""),73736.0)</f>
        <v>73736</v>
      </c>
    </row>
    <row r="187">
      <c r="A187" s="328">
        <f>IFERROR(__xludf.DUMMYFUNCTION("""COMPUTED_VALUE"""),44254.0)</f>
        <v>44254</v>
      </c>
      <c r="B187" s="329">
        <f>IFERROR(__xludf.DUMMYFUNCTION("""COMPUTED_VALUE"""),384.0)</f>
        <v>384</v>
      </c>
      <c r="C187" s="329">
        <f>IFERROR(__xludf.DUMMYFUNCTION("""COMPUTED_VALUE"""),449.0)</f>
        <v>449</v>
      </c>
      <c r="D187" s="329">
        <f>IFERROR(__xludf.DUMMYFUNCTION("""COMPUTED_VALUE"""),150663.0)</f>
        <v>150663</v>
      </c>
      <c r="E187" s="329">
        <f>IFERROR(__xludf.DUMMYFUNCTION("""COMPUTED_VALUE"""),14920.0)</f>
        <v>14920</v>
      </c>
      <c r="F187" s="329">
        <f>IFERROR(__xludf.DUMMYFUNCTION("""COMPUTED_VALUE"""),2856133.0)</f>
        <v>2856133</v>
      </c>
      <c r="G187" s="329">
        <f>IFERROR(__xludf.DUMMYFUNCTION("""COMPUTED_VALUE"""),15304.0)</f>
        <v>15304</v>
      </c>
      <c r="H187" s="329">
        <f>IFERROR(__xludf.DUMMYFUNCTION("""COMPUTED_VALUE"""),3006796.0)</f>
        <v>3006796</v>
      </c>
      <c r="I187" s="329">
        <f>IFERROR(__xludf.DUMMYFUNCTION("""COMPUTED_VALUE"""),341.0)</f>
        <v>341</v>
      </c>
      <c r="J187" s="329">
        <f>IFERROR(__xludf.DUMMYFUNCTION("""COMPUTED_VALUE"""),389.0)</f>
        <v>389</v>
      </c>
      <c r="K187" s="329">
        <f>IFERROR(__xludf.DUMMYFUNCTION("""COMPUTED_VALUE"""),126523.0)</f>
        <v>126523</v>
      </c>
      <c r="L187" s="329">
        <f>IFERROR(__xludf.DUMMYFUNCTION("""COMPUTED_VALUE"""),1640.0)</f>
        <v>1640</v>
      </c>
      <c r="M187" s="329">
        <f>IFERROR(__xludf.DUMMYFUNCTION("""COMPUTED_VALUE"""),665886.0)</f>
        <v>665886</v>
      </c>
      <c r="N187" s="329">
        <f>IFERROR(__xludf.DUMMYFUNCTION("""COMPUTED_VALUE"""),792409.0)</f>
        <v>792409</v>
      </c>
      <c r="O187" s="329">
        <f>IFERROR(__xludf.DUMMYFUNCTION("""COMPUTED_VALUE"""),14.0)</f>
        <v>14</v>
      </c>
      <c r="P187" s="329">
        <f>IFERROR(__xludf.DUMMYFUNCTION("""COMPUTED_VALUE"""),8973.0)</f>
        <v>8973</v>
      </c>
      <c r="Q187" s="329">
        <f>IFERROR(__xludf.DUMMYFUNCTION("""COMPUTED_VALUE"""),13.0)</f>
        <v>13</v>
      </c>
      <c r="R187" s="329">
        <f>IFERROR(__xludf.DUMMYFUNCTION("""COMPUTED_VALUE"""),7792.0)</f>
        <v>7792</v>
      </c>
      <c r="S187" s="329">
        <f>IFERROR(__xludf.DUMMYFUNCTION("""COMPUTED_VALUE"""),1.0)</f>
        <v>1</v>
      </c>
      <c r="T187" s="329">
        <f>IFERROR(__xludf.DUMMYFUNCTION("""COMPUTED_VALUE"""),1006.0)</f>
        <v>1006</v>
      </c>
      <c r="U187" s="329">
        <f>IFERROR(__xludf.DUMMYFUNCTION("""COMPUTED_VALUE"""),175.0)</f>
        <v>175</v>
      </c>
      <c r="V187" s="329">
        <f>IFERROR(__xludf.DUMMYFUNCTION("""COMPUTED_VALUE"""),175.0)</f>
        <v>175</v>
      </c>
      <c r="W187" s="329">
        <f>IFERROR(__xludf.DUMMYFUNCTION("""COMPUTED_VALUE"""),29.0)</f>
        <v>29</v>
      </c>
      <c r="X187" s="329">
        <f>IFERROR(__xludf.DUMMYFUNCTION("""COMPUTED_VALUE"""),20.0)</f>
        <v>20</v>
      </c>
      <c r="Y187" s="329">
        <f>IFERROR(__xludf.DUMMYFUNCTION("""COMPUTED_VALUE"""),4.0)</f>
        <v>4</v>
      </c>
      <c r="Z187" s="329">
        <f>IFERROR(__xludf.DUMMYFUNCTION("""COMPUTED_VALUE"""),2537.0)</f>
        <v>2537</v>
      </c>
      <c r="AA187" s="329">
        <f>IFERROR(__xludf.DUMMYFUNCTION("""COMPUTED_VALUE"""),8497.0)</f>
        <v>8497</v>
      </c>
      <c r="AB187" s="329">
        <f>IFERROR(__xludf.DUMMYFUNCTION("""COMPUTED_VALUE"""),3724.0)</f>
        <v>3724</v>
      </c>
      <c r="AC187" s="329">
        <f>IFERROR(__xludf.DUMMYFUNCTION("""COMPUTED_VALUE"""),12221.0)</f>
        <v>12221</v>
      </c>
      <c r="AD187" s="329">
        <f>IFERROR(__xludf.DUMMYFUNCTION("""COMPUTED_VALUE"""),267772.0)</f>
        <v>267772</v>
      </c>
      <c r="AE187" s="329">
        <f>IFERROR(__xludf.DUMMYFUNCTION("""COMPUTED_VALUE"""),8497.0)</f>
        <v>8497</v>
      </c>
      <c r="AF187" s="329">
        <f>IFERROR(__xludf.DUMMYFUNCTION("""COMPUTED_VALUE"""),190312.0)</f>
        <v>190312</v>
      </c>
      <c r="AG187" s="329">
        <f>IFERROR(__xludf.DUMMYFUNCTION("""COMPUTED_VALUE"""),3724.0)</f>
        <v>3724</v>
      </c>
      <c r="AH187" s="329">
        <f>IFERROR(__xludf.DUMMYFUNCTION("""COMPUTED_VALUE"""),77460.0)</f>
        <v>77460</v>
      </c>
    </row>
    <row r="188">
      <c r="A188" s="328">
        <f>IFERROR(__xludf.DUMMYFUNCTION("""COMPUTED_VALUE"""),44255.0)</f>
        <v>44255</v>
      </c>
      <c r="B188" s="329">
        <f>IFERROR(__xludf.DUMMYFUNCTION("""COMPUTED_VALUE"""),193.0)</f>
        <v>193</v>
      </c>
      <c r="C188" s="329">
        <f>IFERROR(__xludf.DUMMYFUNCTION("""COMPUTED_VALUE"""),337.0)</f>
        <v>337</v>
      </c>
      <c r="D188" s="329">
        <f>IFERROR(__xludf.DUMMYFUNCTION("""COMPUTED_VALUE"""),150856.0)</f>
        <v>150856</v>
      </c>
      <c r="E188" s="329">
        <f>IFERROR(__xludf.DUMMYFUNCTION("""COMPUTED_VALUE"""),6184.0)</f>
        <v>6184</v>
      </c>
      <c r="F188" s="329">
        <f>IFERROR(__xludf.DUMMYFUNCTION("""COMPUTED_VALUE"""),2862317.0)</f>
        <v>2862317</v>
      </c>
      <c r="G188" s="329">
        <f>IFERROR(__xludf.DUMMYFUNCTION("""COMPUTED_VALUE"""),6377.0)</f>
        <v>6377</v>
      </c>
      <c r="H188" s="329">
        <f>IFERROR(__xludf.DUMMYFUNCTION("""COMPUTED_VALUE"""),3013173.0)</f>
        <v>3013173</v>
      </c>
      <c r="I188" s="329">
        <f>IFERROR(__xludf.DUMMYFUNCTION("""COMPUTED_VALUE"""),167.0)</f>
        <v>167</v>
      </c>
      <c r="J188" s="329">
        <f>IFERROR(__xludf.DUMMYFUNCTION("""COMPUTED_VALUE"""),293.0)</f>
        <v>293</v>
      </c>
      <c r="K188" s="329">
        <f>IFERROR(__xludf.DUMMYFUNCTION("""COMPUTED_VALUE"""),126690.0)</f>
        <v>126690</v>
      </c>
      <c r="L188" s="329">
        <f>IFERROR(__xludf.DUMMYFUNCTION("""COMPUTED_VALUE"""),729.0)</f>
        <v>729</v>
      </c>
      <c r="M188" s="329">
        <f>IFERROR(__xludf.DUMMYFUNCTION("""COMPUTED_VALUE"""),666615.0)</f>
        <v>666615</v>
      </c>
      <c r="N188" s="329">
        <f>IFERROR(__xludf.DUMMYFUNCTION("""COMPUTED_VALUE"""),793305.0)</f>
        <v>793305</v>
      </c>
      <c r="O188" s="329">
        <f>IFERROR(__xludf.DUMMYFUNCTION("""COMPUTED_VALUE"""),8.0)</f>
        <v>8</v>
      </c>
      <c r="P188" s="329">
        <f>IFERROR(__xludf.DUMMYFUNCTION("""COMPUTED_VALUE"""),8981.0)</f>
        <v>8981</v>
      </c>
      <c r="Q188" s="329">
        <f>IFERROR(__xludf.DUMMYFUNCTION("""COMPUTED_VALUE"""),9.0)</f>
        <v>9</v>
      </c>
      <c r="R188" s="329">
        <f>IFERROR(__xludf.DUMMYFUNCTION("""COMPUTED_VALUE"""),7801.0)</f>
        <v>7801</v>
      </c>
      <c r="S188" s="329">
        <f>IFERROR(__xludf.DUMMYFUNCTION("""COMPUTED_VALUE"""),2.0)</f>
        <v>2</v>
      </c>
      <c r="T188" s="329">
        <f>IFERROR(__xludf.DUMMYFUNCTION("""COMPUTED_VALUE"""),1008.0)</f>
        <v>1008</v>
      </c>
      <c r="U188" s="329">
        <f>IFERROR(__xludf.DUMMYFUNCTION("""COMPUTED_VALUE"""),172.0)</f>
        <v>172</v>
      </c>
      <c r="V188" s="329">
        <f>IFERROR(__xludf.DUMMYFUNCTION("""COMPUTED_VALUE"""),174.0)</f>
        <v>174</v>
      </c>
      <c r="W188" s="329">
        <f>IFERROR(__xludf.DUMMYFUNCTION("""COMPUTED_VALUE"""),27.0)</f>
        <v>27</v>
      </c>
      <c r="X188" s="329">
        <f>IFERROR(__xludf.DUMMYFUNCTION("""COMPUTED_VALUE"""),19.0)</f>
        <v>19</v>
      </c>
      <c r="Y188" s="329">
        <f>IFERROR(__xludf.DUMMYFUNCTION("""COMPUTED_VALUE"""),3.0)</f>
        <v>3</v>
      </c>
      <c r="Z188" s="329">
        <f>IFERROR(__xludf.DUMMYFUNCTION("""COMPUTED_VALUE"""),2540.0)</f>
        <v>2540</v>
      </c>
      <c r="AA188" s="329">
        <f>IFERROR(__xludf.DUMMYFUNCTION("""COMPUTED_VALUE"""),2498.0)</f>
        <v>2498</v>
      </c>
      <c r="AB188" s="329">
        <f>IFERROR(__xludf.DUMMYFUNCTION("""COMPUTED_VALUE"""),1338.0)</f>
        <v>1338</v>
      </c>
      <c r="AC188" s="329">
        <f>IFERROR(__xludf.DUMMYFUNCTION("""COMPUTED_VALUE"""),3836.0)</f>
        <v>3836</v>
      </c>
      <c r="AD188" s="329">
        <f>IFERROR(__xludf.DUMMYFUNCTION("""COMPUTED_VALUE"""),271608.0)</f>
        <v>271608</v>
      </c>
      <c r="AE188" s="329">
        <f>IFERROR(__xludf.DUMMYFUNCTION("""COMPUTED_VALUE"""),2498.0)</f>
        <v>2498</v>
      </c>
      <c r="AF188" s="329">
        <f>IFERROR(__xludf.DUMMYFUNCTION("""COMPUTED_VALUE"""),192810.0)</f>
        <v>192810</v>
      </c>
      <c r="AG188" s="329">
        <f>IFERROR(__xludf.DUMMYFUNCTION("""COMPUTED_VALUE"""),1338.0)</f>
        <v>1338</v>
      </c>
      <c r="AH188" s="329">
        <f>IFERROR(__xludf.DUMMYFUNCTION("""COMPUTED_VALUE"""),78798.0)</f>
        <v>78798</v>
      </c>
    </row>
    <row r="189">
      <c r="A189" s="328">
        <f>IFERROR(__xludf.DUMMYFUNCTION("""COMPUTED_VALUE"""),44256.0)</f>
        <v>44256</v>
      </c>
      <c r="B189" s="329">
        <f>IFERROR(__xludf.DUMMYFUNCTION("""COMPUTED_VALUE"""),360.0)</f>
        <v>360</v>
      </c>
      <c r="C189" s="329">
        <f>IFERROR(__xludf.DUMMYFUNCTION("""COMPUTED_VALUE"""),312.0)</f>
        <v>312</v>
      </c>
      <c r="D189" s="329">
        <f>IFERROR(__xludf.DUMMYFUNCTION("""COMPUTED_VALUE"""),151216.0)</f>
        <v>151216</v>
      </c>
      <c r="E189" s="329">
        <f>IFERROR(__xludf.DUMMYFUNCTION("""COMPUTED_VALUE"""),11346.0)</f>
        <v>11346</v>
      </c>
      <c r="F189" s="329">
        <f>IFERROR(__xludf.DUMMYFUNCTION("""COMPUTED_VALUE"""),2873663.0)</f>
        <v>2873663</v>
      </c>
      <c r="G189" s="329">
        <f>IFERROR(__xludf.DUMMYFUNCTION("""COMPUTED_VALUE"""),11706.0)</f>
        <v>11706</v>
      </c>
      <c r="H189" s="329">
        <f>IFERROR(__xludf.DUMMYFUNCTION("""COMPUTED_VALUE"""),3024879.0)</f>
        <v>3024879</v>
      </c>
      <c r="I189" s="329">
        <f>IFERROR(__xludf.DUMMYFUNCTION("""COMPUTED_VALUE"""),321.0)</f>
        <v>321</v>
      </c>
      <c r="J189" s="329">
        <f>IFERROR(__xludf.DUMMYFUNCTION("""COMPUTED_VALUE"""),276.0)</f>
        <v>276</v>
      </c>
      <c r="K189" s="329">
        <f>IFERROR(__xludf.DUMMYFUNCTION("""COMPUTED_VALUE"""),127011.0)</f>
        <v>127011</v>
      </c>
      <c r="L189" s="329">
        <f>IFERROR(__xludf.DUMMYFUNCTION("""COMPUTED_VALUE"""),1377.0)</f>
        <v>1377</v>
      </c>
      <c r="M189" s="329">
        <f>IFERROR(__xludf.DUMMYFUNCTION("""COMPUTED_VALUE"""),667992.0)</f>
        <v>667992</v>
      </c>
      <c r="N189" s="329">
        <f>IFERROR(__xludf.DUMMYFUNCTION("""COMPUTED_VALUE"""),795003.0)</f>
        <v>795003</v>
      </c>
      <c r="O189" s="329">
        <f>IFERROR(__xludf.DUMMYFUNCTION("""COMPUTED_VALUE"""),14.0)</f>
        <v>14</v>
      </c>
      <c r="P189" s="329">
        <f>IFERROR(__xludf.DUMMYFUNCTION("""COMPUTED_VALUE"""),8995.0)</f>
        <v>8995</v>
      </c>
      <c r="Q189" s="329">
        <f>IFERROR(__xludf.DUMMYFUNCTION("""COMPUTED_VALUE"""),22.0)</f>
        <v>22</v>
      </c>
      <c r="R189" s="329">
        <f>IFERROR(__xludf.DUMMYFUNCTION("""COMPUTED_VALUE"""),7823.0)</f>
        <v>7823</v>
      </c>
      <c r="S189" s="329">
        <f>IFERROR(__xludf.DUMMYFUNCTION("""COMPUTED_VALUE"""),4.0)</f>
        <v>4</v>
      </c>
      <c r="T189" s="329">
        <f>IFERROR(__xludf.DUMMYFUNCTION("""COMPUTED_VALUE"""),1012.0)</f>
        <v>1012</v>
      </c>
      <c r="U189" s="329">
        <f>IFERROR(__xludf.DUMMYFUNCTION("""COMPUTED_VALUE"""),160.0)</f>
        <v>160</v>
      </c>
      <c r="V189" s="329">
        <f>IFERROR(__xludf.DUMMYFUNCTION("""COMPUTED_VALUE"""),169.0)</f>
        <v>169</v>
      </c>
      <c r="W189" s="329">
        <f>IFERROR(__xludf.DUMMYFUNCTION("""COMPUTED_VALUE"""),25.0)</f>
        <v>25</v>
      </c>
      <c r="X189" s="329">
        <f>IFERROR(__xludf.DUMMYFUNCTION("""COMPUTED_VALUE"""),17.0)</f>
        <v>17</v>
      </c>
      <c r="Y189" s="329">
        <f>IFERROR(__xludf.DUMMYFUNCTION("""COMPUTED_VALUE"""),5.0)</f>
        <v>5</v>
      </c>
      <c r="Z189" s="329">
        <f>IFERROR(__xludf.DUMMYFUNCTION("""COMPUTED_VALUE"""),2545.0)</f>
        <v>2545</v>
      </c>
      <c r="AA189" s="329">
        <f>IFERROR(__xludf.DUMMYFUNCTION("""COMPUTED_VALUE"""),4795.0)</f>
        <v>4795</v>
      </c>
      <c r="AB189" s="329">
        <f>IFERROR(__xludf.DUMMYFUNCTION("""COMPUTED_VALUE"""),1483.0)</f>
        <v>1483</v>
      </c>
      <c r="AC189" s="329">
        <f>IFERROR(__xludf.DUMMYFUNCTION("""COMPUTED_VALUE"""),6278.0)</f>
        <v>6278</v>
      </c>
      <c r="AD189" s="329">
        <f>IFERROR(__xludf.DUMMYFUNCTION("""COMPUTED_VALUE"""),277886.0)</f>
        <v>277886</v>
      </c>
      <c r="AE189" s="329">
        <f>IFERROR(__xludf.DUMMYFUNCTION("""COMPUTED_VALUE"""),4795.0)</f>
        <v>4795</v>
      </c>
      <c r="AF189" s="329">
        <f>IFERROR(__xludf.DUMMYFUNCTION("""COMPUTED_VALUE"""),197605.0)</f>
        <v>197605</v>
      </c>
      <c r="AG189" s="329">
        <f>IFERROR(__xludf.DUMMYFUNCTION("""COMPUTED_VALUE"""),1483.0)</f>
        <v>1483</v>
      </c>
      <c r="AH189" s="329">
        <f>IFERROR(__xludf.DUMMYFUNCTION("""COMPUTED_VALUE"""),80281.0)</f>
        <v>80281</v>
      </c>
    </row>
    <row r="190">
      <c r="A190" s="328">
        <f>IFERROR(__xludf.DUMMYFUNCTION("""COMPUTED_VALUE"""),44257.0)</f>
        <v>44257</v>
      </c>
      <c r="B190" s="329">
        <f>IFERROR(__xludf.DUMMYFUNCTION("""COMPUTED_VALUE"""),481.0)</f>
        <v>481</v>
      </c>
      <c r="C190" s="329">
        <f>IFERROR(__xludf.DUMMYFUNCTION("""COMPUTED_VALUE"""),345.0)</f>
        <v>345</v>
      </c>
      <c r="D190" s="329">
        <f>IFERROR(__xludf.DUMMYFUNCTION("""COMPUTED_VALUE"""),151697.0)</f>
        <v>151697</v>
      </c>
      <c r="E190" s="329">
        <f>IFERROR(__xludf.DUMMYFUNCTION("""COMPUTED_VALUE"""),20851.0)</f>
        <v>20851</v>
      </c>
      <c r="F190" s="329">
        <f>IFERROR(__xludf.DUMMYFUNCTION("""COMPUTED_VALUE"""),2894514.0)</f>
        <v>2894514</v>
      </c>
      <c r="G190" s="329">
        <f>IFERROR(__xludf.DUMMYFUNCTION("""COMPUTED_VALUE"""),21332.0)</f>
        <v>21332</v>
      </c>
      <c r="H190" s="329">
        <f>IFERROR(__xludf.DUMMYFUNCTION("""COMPUTED_VALUE"""),3046211.0)</f>
        <v>3046211</v>
      </c>
      <c r="I190" s="329">
        <f>IFERROR(__xludf.DUMMYFUNCTION("""COMPUTED_VALUE"""),426.0)</f>
        <v>426</v>
      </c>
      <c r="J190" s="329">
        <f>IFERROR(__xludf.DUMMYFUNCTION("""COMPUTED_VALUE"""),305.0)</f>
        <v>305</v>
      </c>
      <c r="K190" s="329">
        <f>IFERROR(__xludf.DUMMYFUNCTION("""COMPUTED_VALUE"""),127437.0)</f>
        <v>127437</v>
      </c>
      <c r="L190" s="329">
        <f>IFERROR(__xludf.DUMMYFUNCTION("""COMPUTED_VALUE"""),1708.0)</f>
        <v>1708</v>
      </c>
      <c r="M190" s="329">
        <f>IFERROR(__xludf.DUMMYFUNCTION("""COMPUTED_VALUE"""),669700.0)</f>
        <v>669700</v>
      </c>
      <c r="N190" s="329">
        <f>IFERROR(__xludf.DUMMYFUNCTION("""COMPUTED_VALUE"""),797137.0)</f>
        <v>797137</v>
      </c>
      <c r="O190" s="329">
        <f>IFERROR(__xludf.DUMMYFUNCTION("""COMPUTED_VALUE"""),23.0)</f>
        <v>23</v>
      </c>
      <c r="P190" s="329">
        <f>IFERROR(__xludf.DUMMYFUNCTION("""COMPUTED_VALUE"""),9018.0)</f>
        <v>9018</v>
      </c>
      <c r="Q190" s="329">
        <f>IFERROR(__xludf.DUMMYFUNCTION("""COMPUTED_VALUE"""),22.0)</f>
        <v>22</v>
      </c>
      <c r="R190" s="329">
        <f>IFERROR(__xludf.DUMMYFUNCTION("""COMPUTED_VALUE"""),7845.0)</f>
        <v>7845</v>
      </c>
      <c r="S190" s="329">
        <f>IFERROR(__xludf.DUMMYFUNCTION("""COMPUTED_VALUE"""),0.0)</f>
        <v>0</v>
      </c>
      <c r="T190" s="329">
        <f>IFERROR(__xludf.DUMMYFUNCTION("""COMPUTED_VALUE"""),1012.0)</f>
        <v>1012</v>
      </c>
      <c r="U190" s="329">
        <f>IFERROR(__xludf.DUMMYFUNCTION("""COMPUTED_VALUE"""),161.0)</f>
        <v>161</v>
      </c>
      <c r="V190" s="329">
        <f>IFERROR(__xludf.DUMMYFUNCTION("""COMPUTED_VALUE"""),164.0)</f>
        <v>164</v>
      </c>
      <c r="W190" s="329">
        <f>IFERROR(__xludf.DUMMYFUNCTION("""COMPUTED_VALUE"""),25.0)</f>
        <v>25</v>
      </c>
      <c r="X190" s="329">
        <f>IFERROR(__xludf.DUMMYFUNCTION("""COMPUTED_VALUE"""),18.0)</f>
        <v>18</v>
      </c>
      <c r="Y190" s="329">
        <f>IFERROR(__xludf.DUMMYFUNCTION("""COMPUTED_VALUE"""),0.0)</f>
        <v>0</v>
      </c>
      <c r="Z190" s="329">
        <f>IFERROR(__xludf.DUMMYFUNCTION("""COMPUTED_VALUE"""),2545.0)</f>
        <v>2545</v>
      </c>
      <c r="AA190" s="329">
        <f>IFERROR(__xludf.DUMMYFUNCTION("""COMPUTED_VALUE"""),6188.0)</f>
        <v>6188</v>
      </c>
      <c r="AB190" s="329">
        <f>IFERROR(__xludf.DUMMYFUNCTION("""COMPUTED_VALUE"""),1275.0)</f>
        <v>1275</v>
      </c>
      <c r="AC190" s="329">
        <f>IFERROR(__xludf.DUMMYFUNCTION("""COMPUTED_VALUE"""),7463.0)</f>
        <v>7463</v>
      </c>
      <c r="AD190" s="329">
        <f>IFERROR(__xludf.DUMMYFUNCTION("""COMPUTED_VALUE"""),285349.0)</f>
        <v>285349</v>
      </c>
      <c r="AE190" s="329">
        <f>IFERROR(__xludf.DUMMYFUNCTION("""COMPUTED_VALUE"""),6188.0)</f>
        <v>6188</v>
      </c>
      <c r="AF190" s="329">
        <f>IFERROR(__xludf.DUMMYFUNCTION("""COMPUTED_VALUE"""),203793.0)</f>
        <v>203793</v>
      </c>
      <c r="AG190" s="329">
        <f>IFERROR(__xludf.DUMMYFUNCTION("""COMPUTED_VALUE"""),1275.0)</f>
        <v>1275</v>
      </c>
      <c r="AH190" s="329">
        <f>IFERROR(__xludf.DUMMYFUNCTION("""COMPUTED_VALUE"""),81556.0)</f>
        <v>81556</v>
      </c>
    </row>
    <row r="191">
      <c r="A191" s="328">
        <f>IFERROR(__xludf.DUMMYFUNCTION("""COMPUTED_VALUE"""),44258.0)</f>
        <v>44258</v>
      </c>
      <c r="B191" s="329">
        <f>IFERROR(__xludf.DUMMYFUNCTION("""COMPUTED_VALUE"""),474.0)</f>
        <v>474</v>
      </c>
      <c r="C191" s="329">
        <f>IFERROR(__xludf.DUMMYFUNCTION("""COMPUTED_VALUE"""),438.0)</f>
        <v>438</v>
      </c>
      <c r="D191" s="329">
        <f>IFERROR(__xludf.DUMMYFUNCTION("""COMPUTED_VALUE"""),152171.0)</f>
        <v>152171</v>
      </c>
      <c r="E191" s="329">
        <f>IFERROR(__xludf.DUMMYFUNCTION("""COMPUTED_VALUE"""),24014.0)</f>
        <v>24014</v>
      </c>
      <c r="F191" s="329">
        <f>IFERROR(__xludf.DUMMYFUNCTION("""COMPUTED_VALUE"""),2918528.0)</f>
        <v>2918528</v>
      </c>
      <c r="G191" s="329">
        <f>IFERROR(__xludf.DUMMYFUNCTION("""COMPUTED_VALUE"""),24488.0)</f>
        <v>24488</v>
      </c>
      <c r="H191" s="329">
        <f>IFERROR(__xludf.DUMMYFUNCTION("""COMPUTED_VALUE"""),3070699.0)</f>
        <v>3070699</v>
      </c>
      <c r="I191" s="329">
        <f>IFERROR(__xludf.DUMMYFUNCTION("""COMPUTED_VALUE"""),420.0)</f>
        <v>420</v>
      </c>
      <c r="J191" s="329">
        <f>IFERROR(__xludf.DUMMYFUNCTION("""COMPUTED_VALUE"""),389.0)</f>
        <v>389</v>
      </c>
      <c r="K191" s="329">
        <f>IFERROR(__xludf.DUMMYFUNCTION("""COMPUTED_VALUE"""),127857.0)</f>
        <v>127857</v>
      </c>
      <c r="L191" s="329">
        <f>IFERROR(__xludf.DUMMYFUNCTION("""COMPUTED_VALUE"""),1829.0)</f>
        <v>1829</v>
      </c>
      <c r="M191" s="329">
        <f>IFERROR(__xludf.DUMMYFUNCTION("""COMPUTED_VALUE"""),671529.0)</f>
        <v>671529</v>
      </c>
      <c r="N191" s="329">
        <f>IFERROR(__xludf.DUMMYFUNCTION("""COMPUTED_VALUE"""),799386.0)</f>
        <v>799386</v>
      </c>
      <c r="O191" s="329">
        <f>IFERROR(__xludf.DUMMYFUNCTION("""COMPUTED_VALUE"""),16.0)</f>
        <v>16</v>
      </c>
      <c r="P191" s="329">
        <f>IFERROR(__xludf.DUMMYFUNCTION("""COMPUTED_VALUE"""),9034.0)</f>
        <v>9034</v>
      </c>
      <c r="Q191" s="329">
        <f>IFERROR(__xludf.DUMMYFUNCTION("""COMPUTED_VALUE"""),23.0)</f>
        <v>23</v>
      </c>
      <c r="R191" s="329">
        <f>IFERROR(__xludf.DUMMYFUNCTION("""COMPUTED_VALUE"""),7868.0)</f>
        <v>7868</v>
      </c>
      <c r="S191" s="329">
        <f>IFERROR(__xludf.DUMMYFUNCTION("""COMPUTED_VALUE"""),2.0)</f>
        <v>2</v>
      </c>
      <c r="T191" s="329">
        <f>IFERROR(__xludf.DUMMYFUNCTION("""COMPUTED_VALUE"""),1014.0)</f>
        <v>1014</v>
      </c>
      <c r="U191" s="329">
        <f>IFERROR(__xludf.DUMMYFUNCTION("""COMPUTED_VALUE"""),152.0)</f>
        <v>152</v>
      </c>
      <c r="V191" s="329">
        <f>IFERROR(__xludf.DUMMYFUNCTION("""COMPUTED_VALUE"""),158.0)</f>
        <v>158</v>
      </c>
      <c r="W191" s="329">
        <f>IFERROR(__xludf.DUMMYFUNCTION("""COMPUTED_VALUE"""),25.0)</f>
        <v>25</v>
      </c>
      <c r="X191" s="329">
        <f>IFERROR(__xludf.DUMMYFUNCTION("""COMPUTED_VALUE"""),17.0)</f>
        <v>17</v>
      </c>
      <c r="Y191" s="329">
        <f>IFERROR(__xludf.DUMMYFUNCTION("""COMPUTED_VALUE"""),3.0)</f>
        <v>3</v>
      </c>
      <c r="Z191" s="329">
        <f>IFERROR(__xludf.DUMMYFUNCTION("""COMPUTED_VALUE"""),2548.0)</f>
        <v>2548</v>
      </c>
      <c r="AA191" s="329">
        <f>IFERROR(__xludf.DUMMYFUNCTION("""COMPUTED_VALUE"""),7588.0)</f>
        <v>7588</v>
      </c>
      <c r="AB191" s="329">
        <f>IFERROR(__xludf.DUMMYFUNCTION("""COMPUTED_VALUE"""),3139.0)</f>
        <v>3139</v>
      </c>
      <c r="AC191" s="329">
        <f>IFERROR(__xludf.DUMMYFUNCTION("""COMPUTED_VALUE"""),10727.0)</f>
        <v>10727</v>
      </c>
      <c r="AD191" s="329">
        <f>IFERROR(__xludf.DUMMYFUNCTION("""COMPUTED_VALUE"""),296076.0)</f>
        <v>296076</v>
      </c>
      <c r="AE191" s="329">
        <f>IFERROR(__xludf.DUMMYFUNCTION("""COMPUTED_VALUE"""),7588.0)</f>
        <v>7588</v>
      </c>
      <c r="AF191" s="329">
        <f>IFERROR(__xludf.DUMMYFUNCTION("""COMPUTED_VALUE"""),211381.0)</f>
        <v>211381</v>
      </c>
      <c r="AG191" s="329">
        <f>IFERROR(__xludf.DUMMYFUNCTION("""COMPUTED_VALUE"""),3139.0)</f>
        <v>3139</v>
      </c>
      <c r="AH191" s="329">
        <f>IFERROR(__xludf.DUMMYFUNCTION("""COMPUTED_VALUE"""),84695.0)</f>
        <v>84695</v>
      </c>
    </row>
    <row r="192">
      <c r="A192" s="328">
        <f>IFERROR(__xludf.DUMMYFUNCTION("""COMPUTED_VALUE"""),44259.0)</f>
        <v>44259</v>
      </c>
      <c r="B192" s="329">
        <f>IFERROR(__xludf.DUMMYFUNCTION("""COMPUTED_VALUE"""),432.0)</f>
        <v>432</v>
      </c>
      <c r="C192" s="329">
        <f>IFERROR(__xludf.DUMMYFUNCTION("""COMPUTED_VALUE"""),462.0)</f>
        <v>462</v>
      </c>
      <c r="D192" s="329">
        <f>IFERROR(__xludf.DUMMYFUNCTION("""COMPUTED_VALUE"""),152603.0)</f>
        <v>152603</v>
      </c>
      <c r="E192" s="329">
        <f>IFERROR(__xludf.DUMMYFUNCTION("""COMPUTED_VALUE"""),20735.0)</f>
        <v>20735</v>
      </c>
      <c r="F192" s="329">
        <f>IFERROR(__xludf.DUMMYFUNCTION("""COMPUTED_VALUE"""),2939263.0)</f>
        <v>2939263</v>
      </c>
      <c r="G192" s="329">
        <f>IFERROR(__xludf.DUMMYFUNCTION("""COMPUTED_VALUE"""),21167.0)</f>
        <v>21167</v>
      </c>
      <c r="H192" s="329">
        <f>IFERROR(__xludf.DUMMYFUNCTION("""COMPUTED_VALUE"""),3091866.0)</f>
        <v>3091866</v>
      </c>
      <c r="I192" s="329">
        <f>IFERROR(__xludf.DUMMYFUNCTION("""COMPUTED_VALUE"""),383.0)</f>
        <v>383</v>
      </c>
      <c r="J192" s="329">
        <f>IFERROR(__xludf.DUMMYFUNCTION("""COMPUTED_VALUE"""),410.0)</f>
        <v>410</v>
      </c>
      <c r="K192" s="329">
        <f>IFERROR(__xludf.DUMMYFUNCTION("""COMPUTED_VALUE"""),128240.0)</f>
        <v>128240</v>
      </c>
      <c r="L192" s="329">
        <f>IFERROR(__xludf.DUMMYFUNCTION("""COMPUTED_VALUE"""),1744.0)</f>
        <v>1744</v>
      </c>
      <c r="M192" s="329">
        <f>IFERROR(__xludf.DUMMYFUNCTION("""COMPUTED_VALUE"""),673273.0)</f>
        <v>673273</v>
      </c>
      <c r="N192" s="329">
        <f>IFERROR(__xludf.DUMMYFUNCTION("""COMPUTED_VALUE"""),801513.0)</f>
        <v>801513</v>
      </c>
      <c r="O192" s="329">
        <f>IFERROR(__xludf.DUMMYFUNCTION("""COMPUTED_VALUE"""),21.0)</f>
        <v>21</v>
      </c>
      <c r="P192" s="329">
        <f>IFERROR(__xludf.DUMMYFUNCTION("""COMPUTED_VALUE"""),9055.0)</f>
        <v>9055</v>
      </c>
      <c r="Q192" s="329">
        <f>IFERROR(__xludf.DUMMYFUNCTION("""COMPUTED_VALUE"""),29.0)</f>
        <v>29</v>
      </c>
      <c r="R192" s="329">
        <f>IFERROR(__xludf.DUMMYFUNCTION("""COMPUTED_VALUE"""),7897.0)</f>
        <v>7897</v>
      </c>
      <c r="S192" s="329">
        <f>IFERROR(__xludf.DUMMYFUNCTION("""COMPUTED_VALUE"""),2.0)</f>
        <v>2</v>
      </c>
      <c r="T192" s="329">
        <f>IFERROR(__xludf.DUMMYFUNCTION("""COMPUTED_VALUE"""),1016.0)</f>
        <v>1016</v>
      </c>
      <c r="U192" s="329">
        <f>IFERROR(__xludf.DUMMYFUNCTION("""COMPUTED_VALUE"""),142.0)</f>
        <v>142</v>
      </c>
      <c r="V192" s="329">
        <f>IFERROR(__xludf.DUMMYFUNCTION("""COMPUTED_VALUE"""),152.0)</f>
        <v>152</v>
      </c>
      <c r="W192" s="329">
        <f>IFERROR(__xludf.DUMMYFUNCTION("""COMPUTED_VALUE"""),24.0)</f>
        <v>24</v>
      </c>
      <c r="X192" s="329">
        <f>IFERROR(__xludf.DUMMYFUNCTION("""COMPUTED_VALUE"""),17.0)</f>
        <v>17</v>
      </c>
      <c r="Y192" s="329">
        <f>IFERROR(__xludf.DUMMYFUNCTION("""COMPUTED_VALUE"""),3.0)</f>
        <v>3</v>
      </c>
      <c r="Z192" s="329">
        <f>IFERROR(__xludf.DUMMYFUNCTION("""COMPUTED_VALUE"""),2551.0)</f>
        <v>2551</v>
      </c>
      <c r="AA192" s="329">
        <f>IFERROR(__xludf.DUMMYFUNCTION("""COMPUTED_VALUE"""),6641.0)</f>
        <v>6641</v>
      </c>
      <c r="AB192" s="329">
        <f>IFERROR(__xludf.DUMMYFUNCTION("""COMPUTED_VALUE"""),2742.0)</f>
        <v>2742</v>
      </c>
      <c r="AC192" s="329">
        <f>IFERROR(__xludf.DUMMYFUNCTION("""COMPUTED_VALUE"""),9383.0)</f>
        <v>9383</v>
      </c>
      <c r="AD192" s="329">
        <f>IFERROR(__xludf.DUMMYFUNCTION("""COMPUTED_VALUE"""),305459.0)</f>
        <v>305459</v>
      </c>
      <c r="AE192" s="329">
        <f>IFERROR(__xludf.DUMMYFUNCTION("""COMPUTED_VALUE"""),6641.0)</f>
        <v>6641</v>
      </c>
      <c r="AF192" s="329">
        <f>IFERROR(__xludf.DUMMYFUNCTION("""COMPUTED_VALUE"""),218022.0)</f>
        <v>218022</v>
      </c>
      <c r="AG192" s="329">
        <f>IFERROR(__xludf.DUMMYFUNCTION("""COMPUTED_VALUE"""),2742.0)</f>
        <v>2742</v>
      </c>
      <c r="AH192" s="329">
        <f>IFERROR(__xludf.DUMMYFUNCTION("""COMPUTED_VALUE"""),87437.0)</f>
        <v>87437</v>
      </c>
    </row>
    <row r="193">
      <c r="A193" s="328">
        <f>IFERROR(__xludf.DUMMYFUNCTION("""COMPUTED_VALUE"""),44260.0)</f>
        <v>44260</v>
      </c>
      <c r="B193" s="329">
        <f>IFERROR(__xludf.DUMMYFUNCTION("""COMPUTED_VALUE"""),423.0)</f>
        <v>423</v>
      </c>
      <c r="C193" s="329">
        <f>IFERROR(__xludf.DUMMYFUNCTION("""COMPUTED_VALUE"""),443.0)</f>
        <v>443</v>
      </c>
      <c r="D193" s="329">
        <f>IFERROR(__xludf.DUMMYFUNCTION("""COMPUTED_VALUE"""),153026.0)</f>
        <v>153026</v>
      </c>
      <c r="E193" s="329">
        <f>IFERROR(__xludf.DUMMYFUNCTION("""COMPUTED_VALUE"""),18651.0)</f>
        <v>18651</v>
      </c>
      <c r="F193" s="329">
        <f>IFERROR(__xludf.DUMMYFUNCTION("""COMPUTED_VALUE"""),2957914.0)</f>
        <v>2957914</v>
      </c>
      <c r="G193" s="329">
        <f>IFERROR(__xludf.DUMMYFUNCTION("""COMPUTED_VALUE"""),19074.0)</f>
        <v>19074</v>
      </c>
      <c r="H193" s="329">
        <f>IFERROR(__xludf.DUMMYFUNCTION("""COMPUTED_VALUE"""),3110940.0)</f>
        <v>3110940</v>
      </c>
      <c r="I193" s="329">
        <f>IFERROR(__xludf.DUMMYFUNCTION("""COMPUTED_VALUE"""),354.0)</f>
        <v>354</v>
      </c>
      <c r="J193" s="329">
        <f>IFERROR(__xludf.DUMMYFUNCTION("""COMPUTED_VALUE"""),386.0)</f>
        <v>386</v>
      </c>
      <c r="K193" s="329">
        <f>IFERROR(__xludf.DUMMYFUNCTION("""COMPUTED_VALUE"""),128594.0)</f>
        <v>128594</v>
      </c>
      <c r="L193" s="329">
        <f>IFERROR(__xludf.DUMMYFUNCTION("""COMPUTED_VALUE"""),1868.0)</f>
        <v>1868</v>
      </c>
      <c r="M193" s="329">
        <f>IFERROR(__xludf.DUMMYFUNCTION("""COMPUTED_VALUE"""),675141.0)</f>
        <v>675141</v>
      </c>
      <c r="N193" s="329">
        <f>IFERROR(__xludf.DUMMYFUNCTION("""COMPUTED_VALUE"""),803735.0)</f>
        <v>803735</v>
      </c>
      <c r="O193" s="329">
        <f>IFERROR(__xludf.DUMMYFUNCTION("""COMPUTED_VALUE"""),19.0)</f>
        <v>19</v>
      </c>
      <c r="P193" s="329">
        <f>IFERROR(__xludf.DUMMYFUNCTION("""COMPUTED_VALUE"""),9074.0)</f>
        <v>9074</v>
      </c>
      <c r="Q193" s="329">
        <f>IFERROR(__xludf.DUMMYFUNCTION("""COMPUTED_VALUE"""),18.0)</f>
        <v>18</v>
      </c>
      <c r="R193" s="329">
        <f>IFERROR(__xludf.DUMMYFUNCTION("""COMPUTED_VALUE"""),7915.0)</f>
        <v>7915</v>
      </c>
      <c r="S193" s="329">
        <f>IFERROR(__xludf.DUMMYFUNCTION("""COMPUTED_VALUE"""),2.0)</f>
        <v>2</v>
      </c>
      <c r="T193" s="329">
        <f>IFERROR(__xludf.DUMMYFUNCTION("""COMPUTED_VALUE"""),1018.0)</f>
        <v>1018</v>
      </c>
      <c r="U193" s="329">
        <f>IFERROR(__xludf.DUMMYFUNCTION("""COMPUTED_VALUE"""),141.0)</f>
        <v>141</v>
      </c>
      <c r="V193" s="329">
        <f>IFERROR(__xludf.DUMMYFUNCTION("""COMPUTED_VALUE"""),145.0)</f>
        <v>145</v>
      </c>
      <c r="W193" s="329">
        <f>IFERROR(__xludf.DUMMYFUNCTION("""COMPUTED_VALUE"""),24.0)</f>
        <v>24</v>
      </c>
      <c r="X193" s="329">
        <f>IFERROR(__xludf.DUMMYFUNCTION("""COMPUTED_VALUE"""),16.0)</f>
        <v>16</v>
      </c>
      <c r="Y193" s="329">
        <f>IFERROR(__xludf.DUMMYFUNCTION("""COMPUTED_VALUE"""),3.0)</f>
        <v>3</v>
      </c>
      <c r="Z193" s="329">
        <f>IFERROR(__xludf.DUMMYFUNCTION("""COMPUTED_VALUE"""),2554.0)</f>
        <v>2554</v>
      </c>
      <c r="AA193" s="329">
        <f>IFERROR(__xludf.DUMMYFUNCTION("""COMPUTED_VALUE"""),6258.0)</f>
        <v>6258</v>
      </c>
      <c r="AB193" s="329">
        <f>IFERROR(__xludf.DUMMYFUNCTION("""COMPUTED_VALUE"""),2773.0)</f>
        <v>2773</v>
      </c>
      <c r="AC193" s="329">
        <f>IFERROR(__xludf.DUMMYFUNCTION("""COMPUTED_VALUE"""),9031.0)</f>
        <v>9031</v>
      </c>
      <c r="AD193" s="329">
        <f>IFERROR(__xludf.DUMMYFUNCTION("""COMPUTED_VALUE"""),314490.0)</f>
        <v>314490</v>
      </c>
      <c r="AE193" s="329">
        <f>IFERROR(__xludf.DUMMYFUNCTION("""COMPUTED_VALUE"""),6258.0)</f>
        <v>6258</v>
      </c>
      <c r="AF193" s="329">
        <f>IFERROR(__xludf.DUMMYFUNCTION("""COMPUTED_VALUE"""),224280.0)</f>
        <v>224280</v>
      </c>
      <c r="AG193" s="329">
        <f>IFERROR(__xludf.DUMMYFUNCTION("""COMPUTED_VALUE"""),2773.0)</f>
        <v>2773</v>
      </c>
      <c r="AH193" s="329">
        <f>IFERROR(__xludf.DUMMYFUNCTION("""COMPUTED_VALUE"""),90210.0)</f>
        <v>90210</v>
      </c>
    </row>
    <row r="194">
      <c r="A194" s="328">
        <f>IFERROR(__xludf.DUMMYFUNCTION("""COMPUTED_VALUE"""),44261.0)</f>
        <v>44261</v>
      </c>
      <c r="B194" s="329">
        <f>IFERROR(__xludf.DUMMYFUNCTION("""COMPUTED_VALUE"""),299.0)</f>
        <v>299</v>
      </c>
      <c r="C194" s="329">
        <f>IFERROR(__xludf.DUMMYFUNCTION("""COMPUTED_VALUE"""),385.0)</f>
        <v>385</v>
      </c>
      <c r="D194" s="329">
        <f>IFERROR(__xludf.DUMMYFUNCTION("""COMPUTED_VALUE"""),153325.0)</f>
        <v>153325</v>
      </c>
      <c r="E194" s="329">
        <f>IFERROR(__xludf.DUMMYFUNCTION("""COMPUTED_VALUE"""),13414.0)</f>
        <v>13414</v>
      </c>
      <c r="F194" s="329">
        <f>IFERROR(__xludf.DUMMYFUNCTION("""COMPUTED_VALUE"""),2971328.0)</f>
        <v>2971328</v>
      </c>
      <c r="G194" s="329">
        <f>IFERROR(__xludf.DUMMYFUNCTION("""COMPUTED_VALUE"""),13713.0)</f>
        <v>13713</v>
      </c>
      <c r="H194" s="329">
        <f>IFERROR(__xludf.DUMMYFUNCTION("""COMPUTED_VALUE"""),3124653.0)</f>
        <v>3124653</v>
      </c>
      <c r="I194" s="329">
        <f>IFERROR(__xludf.DUMMYFUNCTION("""COMPUTED_VALUE"""),244.0)</f>
        <v>244</v>
      </c>
      <c r="J194" s="329">
        <f>IFERROR(__xludf.DUMMYFUNCTION("""COMPUTED_VALUE"""),327.0)</f>
        <v>327</v>
      </c>
      <c r="K194" s="329">
        <f>IFERROR(__xludf.DUMMYFUNCTION("""COMPUTED_VALUE"""),128838.0)</f>
        <v>128838</v>
      </c>
      <c r="L194" s="329">
        <f>IFERROR(__xludf.DUMMYFUNCTION("""COMPUTED_VALUE"""),1461.0)</f>
        <v>1461</v>
      </c>
      <c r="M194" s="329">
        <f>IFERROR(__xludf.DUMMYFUNCTION("""COMPUTED_VALUE"""),676602.0)</f>
        <v>676602</v>
      </c>
      <c r="N194" s="329">
        <f>IFERROR(__xludf.DUMMYFUNCTION("""COMPUTED_VALUE"""),805440.0)</f>
        <v>805440</v>
      </c>
      <c r="O194" s="329">
        <f>IFERROR(__xludf.DUMMYFUNCTION("""COMPUTED_VALUE"""),17.0)</f>
        <v>17</v>
      </c>
      <c r="P194" s="329">
        <f>IFERROR(__xludf.DUMMYFUNCTION("""COMPUTED_VALUE"""),9091.0)</f>
        <v>9091</v>
      </c>
      <c r="Q194" s="329">
        <f>IFERROR(__xludf.DUMMYFUNCTION("""COMPUTED_VALUE"""),16.0)</f>
        <v>16</v>
      </c>
      <c r="R194" s="329">
        <f>IFERROR(__xludf.DUMMYFUNCTION("""COMPUTED_VALUE"""),7931.0)</f>
        <v>7931</v>
      </c>
      <c r="S194" s="329">
        <f>IFERROR(__xludf.DUMMYFUNCTION("""COMPUTED_VALUE"""),1.0)</f>
        <v>1</v>
      </c>
      <c r="T194" s="329">
        <f>IFERROR(__xludf.DUMMYFUNCTION("""COMPUTED_VALUE"""),1019.0)</f>
        <v>1019</v>
      </c>
      <c r="U194" s="329">
        <f>IFERROR(__xludf.DUMMYFUNCTION("""COMPUTED_VALUE"""),141.0)</f>
        <v>141</v>
      </c>
      <c r="V194" s="329">
        <f>IFERROR(__xludf.DUMMYFUNCTION("""COMPUTED_VALUE"""),141.0)</f>
        <v>141</v>
      </c>
      <c r="W194" s="329">
        <f>IFERROR(__xludf.DUMMYFUNCTION("""COMPUTED_VALUE"""),22.0)</f>
        <v>22</v>
      </c>
      <c r="X194" s="329">
        <f>IFERROR(__xludf.DUMMYFUNCTION("""COMPUTED_VALUE"""),18.0)</f>
        <v>18</v>
      </c>
      <c r="Y194" s="329">
        <f>IFERROR(__xludf.DUMMYFUNCTION("""COMPUTED_VALUE"""),1.0)</f>
        <v>1</v>
      </c>
      <c r="Z194" s="329">
        <f>IFERROR(__xludf.DUMMYFUNCTION("""COMPUTED_VALUE"""),2555.0)</f>
        <v>2555</v>
      </c>
      <c r="AA194" s="329">
        <f>IFERROR(__xludf.DUMMYFUNCTION("""COMPUTED_VALUE"""),7448.0)</f>
        <v>7448</v>
      </c>
      <c r="AB194" s="329">
        <f>IFERROR(__xludf.DUMMYFUNCTION("""COMPUTED_VALUE"""),2333.0)</f>
        <v>2333</v>
      </c>
      <c r="AC194" s="329">
        <f>IFERROR(__xludf.DUMMYFUNCTION("""COMPUTED_VALUE"""),9781.0)</f>
        <v>9781</v>
      </c>
      <c r="AD194" s="329">
        <f>IFERROR(__xludf.DUMMYFUNCTION("""COMPUTED_VALUE"""),324271.0)</f>
        <v>324271</v>
      </c>
      <c r="AE194" s="329">
        <f>IFERROR(__xludf.DUMMYFUNCTION("""COMPUTED_VALUE"""),7448.0)</f>
        <v>7448</v>
      </c>
      <c r="AF194" s="329">
        <f>IFERROR(__xludf.DUMMYFUNCTION("""COMPUTED_VALUE"""),231728.0)</f>
        <v>231728</v>
      </c>
      <c r="AG194" s="329">
        <f>IFERROR(__xludf.DUMMYFUNCTION("""COMPUTED_VALUE"""),2720.0)</f>
        <v>2720</v>
      </c>
      <c r="AH194" s="329">
        <f>IFERROR(__xludf.DUMMYFUNCTION("""COMPUTED_VALUE"""),92930.0)</f>
        <v>92930</v>
      </c>
    </row>
    <row r="195">
      <c r="A195" s="328">
        <f>IFERROR(__xludf.DUMMYFUNCTION("""COMPUTED_VALUE"""),44262.0)</f>
        <v>44262</v>
      </c>
      <c r="B195" s="329">
        <f>IFERROR(__xludf.DUMMYFUNCTION("""COMPUTED_VALUE"""),246.0)</f>
        <v>246</v>
      </c>
      <c r="C195" s="329">
        <f>IFERROR(__xludf.DUMMYFUNCTION("""COMPUTED_VALUE"""),323.0)</f>
        <v>323</v>
      </c>
      <c r="D195" s="329">
        <f>IFERROR(__xludf.DUMMYFUNCTION("""COMPUTED_VALUE"""),153571.0)</f>
        <v>153571</v>
      </c>
      <c r="E195" s="329">
        <f>IFERROR(__xludf.DUMMYFUNCTION("""COMPUTED_VALUE"""),5078.0)</f>
        <v>5078</v>
      </c>
      <c r="F195" s="329">
        <f>IFERROR(__xludf.DUMMYFUNCTION("""COMPUTED_VALUE"""),2976406.0)</f>
        <v>2976406</v>
      </c>
      <c r="G195" s="329">
        <f>IFERROR(__xludf.DUMMYFUNCTION("""COMPUTED_VALUE"""),5324.0)</f>
        <v>5324</v>
      </c>
      <c r="H195" s="329">
        <f>IFERROR(__xludf.DUMMYFUNCTION("""COMPUTED_VALUE"""),3129977.0)</f>
        <v>3129977</v>
      </c>
      <c r="I195" s="329">
        <f>IFERROR(__xludf.DUMMYFUNCTION("""COMPUTED_VALUE"""),203.0)</f>
        <v>203</v>
      </c>
      <c r="J195" s="329">
        <f>IFERROR(__xludf.DUMMYFUNCTION("""COMPUTED_VALUE"""),267.0)</f>
        <v>267</v>
      </c>
      <c r="K195" s="329">
        <f>IFERROR(__xludf.DUMMYFUNCTION("""COMPUTED_VALUE"""),129041.0)</f>
        <v>129041</v>
      </c>
      <c r="L195" s="329">
        <f>IFERROR(__xludf.DUMMYFUNCTION("""COMPUTED_VALUE"""),681.0)</f>
        <v>681</v>
      </c>
      <c r="M195" s="329">
        <f>IFERROR(__xludf.DUMMYFUNCTION("""COMPUTED_VALUE"""),677283.0)</f>
        <v>677283</v>
      </c>
      <c r="N195" s="329">
        <f>IFERROR(__xludf.DUMMYFUNCTION("""COMPUTED_VALUE"""),806324.0)</f>
        <v>806324</v>
      </c>
      <c r="O195" s="329">
        <f>IFERROR(__xludf.DUMMYFUNCTION("""COMPUTED_VALUE"""),13.0)</f>
        <v>13</v>
      </c>
      <c r="P195" s="329">
        <f>IFERROR(__xludf.DUMMYFUNCTION("""COMPUTED_VALUE"""),9104.0)</f>
        <v>9104</v>
      </c>
      <c r="Q195" s="329">
        <f>IFERROR(__xludf.DUMMYFUNCTION("""COMPUTED_VALUE"""),6.0)</f>
        <v>6</v>
      </c>
      <c r="R195" s="329">
        <f>IFERROR(__xludf.DUMMYFUNCTION("""COMPUTED_VALUE"""),7937.0)</f>
        <v>7937</v>
      </c>
      <c r="S195" s="329">
        <f>IFERROR(__xludf.DUMMYFUNCTION("""COMPUTED_VALUE"""),0.0)</f>
        <v>0</v>
      </c>
      <c r="T195" s="329">
        <f>IFERROR(__xludf.DUMMYFUNCTION("""COMPUTED_VALUE"""),1019.0)</f>
        <v>1019</v>
      </c>
      <c r="U195" s="329">
        <f>IFERROR(__xludf.DUMMYFUNCTION("""COMPUTED_VALUE"""),148.0)</f>
        <v>148</v>
      </c>
      <c r="V195" s="329">
        <f>IFERROR(__xludf.DUMMYFUNCTION("""COMPUTED_VALUE"""),143.0)</f>
        <v>143</v>
      </c>
      <c r="W195" s="329">
        <f>IFERROR(__xludf.DUMMYFUNCTION("""COMPUTED_VALUE"""),21.0)</f>
        <v>21</v>
      </c>
      <c r="X195" s="329">
        <f>IFERROR(__xludf.DUMMYFUNCTION("""COMPUTED_VALUE"""),17.0)</f>
        <v>17</v>
      </c>
      <c r="Y195" s="329">
        <f>IFERROR(__xludf.DUMMYFUNCTION("""COMPUTED_VALUE"""),4.0)</f>
        <v>4</v>
      </c>
      <c r="Z195" s="329">
        <f>IFERROR(__xludf.DUMMYFUNCTION("""COMPUTED_VALUE"""),2559.0)</f>
        <v>2559</v>
      </c>
      <c r="AA195" s="329">
        <f>IFERROR(__xludf.DUMMYFUNCTION("""COMPUTED_VALUE"""),2648.0)</f>
        <v>2648</v>
      </c>
      <c r="AB195" s="329">
        <f>IFERROR(__xludf.DUMMYFUNCTION("""COMPUTED_VALUE"""),368.0)</f>
        <v>368</v>
      </c>
      <c r="AC195" s="329">
        <f>IFERROR(__xludf.DUMMYFUNCTION("""COMPUTED_VALUE"""),3016.0)</f>
        <v>3016</v>
      </c>
      <c r="AD195" s="329">
        <f>IFERROR(__xludf.DUMMYFUNCTION("""COMPUTED_VALUE"""),327287.0)</f>
        <v>327287</v>
      </c>
      <c r="AE195" s="329">
        <f>IFERROR(__xludf.DUMMYFUNCTION("""COMPUTED_VALUE"""),2648.0)</f>
        <v>2648</v>
      </c>
      <c r="AF195" s="329">
        <f>IFERROR(__xludf.DUMMYFUNCTION("""COMPUTED_VALUE"""),234376.0)</f>
        <v>234376</v>
      </c>
      <c r="AG195" s="329">
        <f>IFERROR(__xludf.DUMMYFUNCTION("""COMPUTED_VALUE"""),746.0)</f>
        <v>746</v>
      </c>
      <c r="AH195" s="329">
        <f>IFERROR(__xludf.DUMMYFUNCTION("""COMPUTED_VALUE"""),93676.0)</f>
        <v>93676</v>
      </c>
    </row>
    <row r="196">
      <c r="A196" s="328">
        <f>IFERROR(__xludf.DUMMYFUNCTION("""COMPUTED_VALUE"""),44263.0)</f>
        <v>44263</v>
      </c>
      <c r="B196" s="329">
        <f>IFERROR(__xludf.DUMMYFUNCTION("""COMPUTED_VALUE"""),361.0)</f>
        <v>361</v>
      </c>
      <c r="C196" s="329">
        <f>IFERROR(__xludf.DUMMYFUNCTION("""COMPUTED_VALUE"""),302.0)</f>
        <v>302</v>
      </c>
      <c r="D196" s="329">
        <f>IFERROR(__xludf.DUMMYFUNCTION("""COMPUTED_VALUE"""),153932.0)</f>
        <v>153932</v>
      </c>
      <c r="E196" s="329">
        <f>IFERROR(__xludf.DUMMYFUNCTION("""COMPUTED_VALUE"""),12053.0)</f>
        <v>12053</v>
      </c>
      <c r="F196" s="329">
        <f>IFERROR(__xludf.DUMMYFUNCTION("""COMPUTED_VALUE"""),2988459.0)</f>
        <v>2988459</v>
      </c>
      <c r="G196" s="329">
        <f>IFERROR(__xludf.DUMMYFUNCTION("""COMPUTED_VALUE"""),12414.0)</f>
        <v>12414</v>
      </c>
      <c r="H196" s="329">
        <f>IFERROR(__xludf.DUMMYFUNCTION("""COMPUTED_VALUE"""),3142391.0)</f>
        <v>3142391</v>
      </c>
      <c r="I196" s="329">
        <f>IFERROR(__xludf.DUMMYFUNCTION("""COMPUTED_VALUE"""),302.0)</f>
        <v>302</v>
      </c>
      <c r="J196" s="329">
        <f>IFERROR(__xludf.DUMMYFUNCTION("""COMPUTED_VALUE"""),250.0)</f>
        <v>250</v>
      </c>
      <c r="K196" s="329">
        <f>IFERROR(__xludf.DUMMYFUNCTION("""COMPUTED_VALUE"""),129343.0)</f>
        <v>129343</v>
      </c>
      <c r="L196" s="329">
        <f>IFERROR(__xludf.DUMMYFUNCTION("""COMPUTED_VALUE"""),1384.0)</f>
        <v>1384</v>
      </c>
      <c r="M196" s="329">
        <f>IFERROR(__xludf.DUMMYFUNCTION("""COMPUTED_VALUE"""),678667.0)</f>
        <v>678667</v>
      </c>
      <c r="N196" s="329">
        <f>IFERROR(__xludf.DUMMYFUNCTION("""COMPUTED_VALUE"""),808010.0)</f>
        <v>808010</v>
      </c>
      <c r="O196" s="329">
        <f>IFERROR(__xludf.DUMMYFUNCTION("""COMPUTED_VALUE"""),23.0)</f>
        <v>23</v>
      </c>
      <c r="P196" s="329">
        <f>IFERROR(__xludf.DUMMYFUNCTION("""COMPUTED_VALUE"""),9127.0)</f>
        <v>9127</v>
      </c>
      <c r="Q196" s="329">
        <f>IFERROR(__xludf.DUMMYFUNCTION("""COMPUTED_VALUE"""),22.0)</f>
        <v>22</v>
      </c>
      <c r="R196" s="329">
        <f>IFERROR(__xludf.DUMMYFUNCTION("""COMPUTED_VALUE"""),7959.0)</f>
        <v>7959</v>
      </c>
      <c r="S196" s="329">
        <f>IFERROR(__xludf.DUMMYFUNCTION("""COMPUTED_VALUE"""),1.0)</f>
        <v>1</v>
      </c>
      <c r="T196" s="329">
        <f>IFERROR(__xludf.DUMMYFUNCTION("""COMPUTED_VALUE"""),1020.0)</f>
        <v>1020</v>
      </c>
      <c r="U196" s="329">
        <f>IFERROR(__xludf.DUMMYFUNCTION("""COMPUTED_VALUE"""),148.0)</f>
        <v>148</v>
      </c>
      <c r="V196" s="329">
        <f>IFERROR(__xludf.DUMMYFUNCTION("""COMPUTED_VALUE"""),146.0)</f>
        <v>146</v>
      </c>
      <c r="W196" s="329">
        <f>IFERROR(__xludf.DUMMYFUNCTION("""COMPUTED_VALUE"""),21.0)</f>
        <v>21</v>
      </c>
      <c r="X196" s="329">
        <f>IFERROR(__xludf.DUMMYFUNCTION("""COMPUTED_VALUE"""),17.0)</f>
        <v>17</v>
      </c>
      <c r="Y196" s="329">
        <f>IFERROR(__xludf.DUMMYFUNCTION("""COMPUTED_VALUE"""),1.0)</f>
        <v>1</v>
      </c>
      <c r="Z196" s="329">
        <f>IFERROR(__xludf.DUMMYFUNCTION("""COMPUTED_VALUE"""),2560.0)</f>
        <v>2560</v>
      </c>
      <c r="AA196" s="329">
        <f>IFERROR(__xludf.DUMMYFUNCTION("""COMPUTED_VALUE"""),4448.0)</f>
        <v>4448</v>
      </c>
      <c r="AB196" s="329">
        <f>IFERROR(__xludf.DUMMYFUNCTION("""COMPUTED_VALUE"""),1614.0)</f>
        <v>1614</v>
      </c>
      <c r="AC196" s="329">
        <f>IFERROR(__xludf.DUMMYFUNCTION("""COMPUTED_VALUE"""),6062.0)</f>
        <v>6062</v>
      </c>
      <c r="AD196" s="329">
        <f>IFERROR(__xludf.DUMMYFUNCTION("""COMPUTED_VALUE"""),333349.0)</f>
        <v>333349</v>
      </c>
      <c r="AE196" s="329">
        <f>IFERROR(__xludf.DUMMYFUNCTION("""COMPUTED_VALUE"""),4448.0)</f>
        <v>4448</v>
      </c>
      <c r="AF196" s="329">
        <f>IFERROR(__xludf.DUMMYFUNCTION("""COMPUTED_VALUE"""),238824.0)</f>
        <v>238824</v>
      </c>
      <c r="AG196" s="329">
        <f>IFERROR(__xludf.DUMMYFUNCTION("""COMPUTED_VALUE"""),2112.0)</f>
        <v>2112</v>
      </c>
      <c r="AH196" s="329">
        <f>IFERROR(__xludf.DUMMYFUNCTION("""COMPUTED_VALUE"""),95788.0)</f>
        <v>95788</v>
      </c>
    </row>
    <row r="197">
      <c r="A197" s="328">
        <f>IFERROR(__xludf.DUMMYFUNCTION("""COMPUTED_VALUE"""),44264.0)</f>
        <v>44264</v>
      </c>
      <c r="B197" s="329">
        <f>IFERROR(__xludf.DUMMYFUNCTION("""COMPUTED_VALUE"""),419.0)</f>
        <v>419</v>
      </c>
      <c r="C197" s="329">
        <f>IFERROR(__xludf.DUMMYFUNCTION("""COMPUTED_VALUE"""),342.0)</f>
        <v>342</v>
      </c>
      <c r="D197" s="329">
        <f>IFERROR(__xludf.DUMMYFUNCTION("""COMPUTED_VALUE"""),154351.0)</f>
        <v>154351</v>
      </c>
      <c r="E197" s="329">
        <f>IFERROR(__xludf.DUMMYFUNCTION("""COMPUTED_VALUE"""),19373.0)</f>
        <v>19373</v>
      </c>
      <c r="F197" s="329">
        <f>IFERROR(__xludf.DUMMYFUNCTION("""COMPUTED_VALUE"""),3007832.0)</f>
        <v>3007832</v>
      </c>
      <c r="G197" s="329">
        <f>IFERROR(__xludf.DUMMYFUNCTION("""COMPUTED_VALUE"""),19792.0)</f>
        <v>19792</v>
      </c>
      <c r="H197" s="329">
        <f>IFERROR(__xludf.DUMMYFUNCTION("""COMPUTED_VALUE"""),3162183.0)</f>
        <v>3162183</v>
      </c>
      <c r="I197" s="329">
        <f>IFERROR(__xludf.DUMMYFUNCTION("""COMPUTED_VALUE"""),375.0)</f>
        <v>375</v>
      </c>
      <c r="J197" s="329">
        <f>IFERROR(__xludf.DUMMYFUNCTION("""COMPUTED_VALUE"""),293.0)</f>
        <v>293</v>
      </c>
      <c r="K197" s="329">
        <f>IFERROR(__xludf.DUMMYFUNCTION("""COMPUTED_VALUE"""),129718.0)</f>
        <v>129718</v>
      </c>
      <c r="L197" s="329">
        <f>IFERROR(__xludf.DUMMYFUNCTION("""COMPUTED_VALUE"""),1839.0)</f>
        <v>1839</v>
      </c>
      <c r="M197" s="329">
        <f>IFERROR(__xludf.DUMMYFUNCTION("""COMPUTED_VALUE"""),680506.0)</f>
        <v>680506</v>
      </c>
      <c r="N197" s="329">
        <f>IFERROR(__xludf.DUMMYFUNCTION("""COMPUTED_VALUE"""),810224.0)</f>
        <v>810224</v>
      </c>
      <c r="O197" s="329">
        <f>IFERROR(__xludf.DUMMYFUNCTION("""COMPUTED_VALUE"""),23.0)</f>
        <v>23</v>
      </c>
      <c r="P197" s="329">
        <f>IFERROR(__xludf.DUMMYFUNCTION("""COMPUTED_VALUE"""),9150.0)</f>
        <v>9150</v>
      </c>
      <c r="Q197" s="329">
        <f>IFERROR(__xludf.DUMMYFUNCTION("""COMPUTED_VALUE"""),24.0)</f>
        <v>24</v>
      </c>
      <c r="R197" s="329">
        <f>IFERROR(__xludf.DUMMYFUNCTION("""COMPUTED_VALUE"""),7983.0)</f>
        <v>7983</v>
      </c>
      <c r="S197" s="329">
        <f>IFERROR(__xludf.DUMMYFUNCTION("""COMPUTED_VALUE"""),1.0)</f>
        <v>1</v>
      </c>
      <c r="T197" s="329">
        <f>IFERROR(__xludf.DUMMYFUNCTION("""COMPUTED_VALUE"""),1021.0)</f>
        <v>1021</v>
      </c>
      <c r="U197" s="329">
        <f>IFERROR(__xludf.DUMMYFUNCTION("""COMPUTED_VALUE"""),146.0)</f>
        <v>146</v>
      </c>
      <c r="V197" s="329">
        <f>IFERROR(__xludf.DUMMYFUNCTION("""COMPUTED_VALUE"""),147.0)</f>
        <v>147</v>
      </c>
      <c r="W197" s="329">
        <f>IFERROR(__xludf.DUMMYFUNCTION("""COMPUTED_VALUE"""),25.0)</f>
        <v>25</v>
      </c>
      <c r="X197" s="329">
        <f>IFERROR(__xludf.DUMMYFUNCTION("""COMPUTED_VALUE"""),18.0)</f>
        <v>18</v>
      </c>
      <c r="Y197" s="329">
        <f>IFERROR(__xludf.DUMMYFUNCTION("""COMPUTED_VALUE"""),1.0)</f>
        <v>1</v>
      </c>
      <c r="Z197" s="329">
        <f>IFERROR(__xludf.DUMMYFUNCTION("""COMPUTED_VALUE"""),2561.0)</f>
        <v>2561</v>
      </c>
      <c r="AA197" s="329">
        <f>IFERROR(__xludf.DUMMYFUNCTION("""COMPUTED_VALUE"""),5015.0)</f>
        <v>5015</v>
      </c>
      <c r="AB197" s="329">
        <f>IFERROR(__xludf.DUMMYFUNCTION("""COMPUTED_VALUE"""),2457.0)</f>
        <v>2457</v>
      </c>
      <c r="AC197" s="329">
        <f>IFERROR(__xludf.DUMMYFUNCTION("""COMPUTED_VALUE"""),7472.0)</f>
        <v>7472</v>
      </c>
      <c r="AD197" s="329">
        <f>IFERROR(__xludf.DUMMYFUNCTION("""COMPUTED_VALUE"""),340821.0)</f>
        <v>340821</v>
      </c>
      <c r="AE197" s="329">
        <f>IFERROR(__xludf.DUMMYFUNCTION("""COMPUTED_VALUE"""),5015.0)</f>
        <v>5015</v>
      </c>
      <c r="AF197" s="329">
        <f>IFERROR(__xludf.DUMMYFUNCTION("""COMPUTED_VALUE"""),243839.0)</f>
        <v>243839</v>
      </c>
      <c r="AG197" s="329">
        <f>IFERROR(__xludf.DUMMYFUNCTION("""COMPUTED_VALUE"""),3237.0)</f>
        <v>3237</v>
      </c>
      <c r="AH197" s="329">
        <f>IFERROR(__xludf.DUMMYFUNCTION("""COMPUTED_VALUE"""),99025.0)</f>
        <v>99025</v>
      </c>
    </row>
    <row r="198">
      <c r="A198" s="328">
        <f>IFERROR(__xludf.DUMMYFUNCTION("""COMPUTED_VALUE"""),44265.0)</f>
        <v>44265</v>
      </c>
      <c r="B198" s="329">
        <f>IFERROR(__xludf.DUMMYFUNCTION("""COMPUTED_VALUE"""),539.0)</f>
        <v>539</v>
      </c>
      <c r="C198" s="329">
        <f>IFERROR(__xludf.DUMMYFUNCTION("""COMPUTED_VALUE"""),440.0)</f>
        <v>440</v>
      </c>
      <c r="D198" s="329">
        <f>IFERROR(__xludf.DUMMYFUNCTION("""COMPUTED_VALUE"""),154890.0)</f>
        <v>154890</v>
      </c>
      <c r="E198" s="329">
        <f>IFERROR(__xludf.DUMMYFUNCTION("""COMPUTED_VALUE"""),25318.0)</f>
        <v>25318</v>
      </c>
      <c r="F198" s="329">
        <f>IFERROR(__xludf.DUMMYFUNCTION("""COMPUTED_VALUE"""),3033150.0)</f>
        <v>3033150</v>
      </c>
      <c r="G198" s="329">
        <f>IFERROR(__xludf.DUMMYFUNCTION("""COMPUTED_VALUE"""),25857.0)</f>
        <v>25857</v>
      </c>
      <c r="H198" s="329">
        <f>IFERROR(__xludf.DUMMYFUNCTION("""COMPUTED_VALUE"""),3188040.0)</f>
        <v>3188040</v>
      </c>
      <c r="I198" s="329">
        <f>IFERROR(__xludf.DUMMYFUNCTION("""COMPUTED_VALUE"""),469.0)</f>
        <v>469</v>
      </c>
      <c r="J198" s="329">
        <f>IFERROR(__xludf.DUMMYFUNCTION("""COMPUTED_VALUE"""),382.0)</f>
        <v>382</v>
      </c>
      <c r="K198" s="329">
        <f>IFERROR(__xludf.DUMMYFUNCTION("""COMPUTED_VALUE"""),130187.0)</f>
        <v>130187</v>
      </c>
      <c r="L198" s="329">
        <f>IFERROR(__xludf.DUMMYFUNCTION("""COMPUTED_VALUE"""),2055.0)</f>
        <v>2055</v>
      </c>
      <c r="M198" s="329">
        <f>IFERROR(__xludf.DUMMYFUNCTION("""COMPUTED_VALUE"""),682561.0)</f>
        <v>682561</v>
      </c>
      <c r="N198" s="329">
        <f>IFERROR(__xludf.DUMMYFUNCTION("""COMPUTED_VALUE"""),812748.0)</f>
        <v>812748</v>
      </c>
      <c r="O198" s="329">
        <f>IFERROR(__xludf.DUMMYFUNCTION("""COMPUTED_VALUE"""),17.0)</f>
        <v>17</v>
      </c>
      <c r="P198" s="329">
        <f>IFERROR(__xludf.DUMMYFUNCTION("""COMPUTED_VALUE"""),9167.0)</f>
        <v>9167</v>
      </c>
      <c r="Q198" s="329">
        <f>IFERROR(__xludf.DUMMYFUNCTION("""COMPUTED_VALUE"""),25.0)</f>
        <v>25</v>
      </c>
      <c r="R198" s="329">
        <f>IFERROR(__xludf.DUMMYFUNCTION("""COMPUTED_VALUE"""),8008.0)</f>
        <v>8008</v>
      </c>
      <c r="S198" s="329">
        <f>IFERROR(__xludf.DUMMYFUNCTION("""COMPUTED_VALUE"""),0.0)</f>
        <v>0</v>
      </c>
      <c r="T198" s="329">
        <f>IFERROR(__xludf.DUMMYFUNCTION("""COMPUTED_VALUE"""),1021.0)</f>
        <v>1021</v>
      </c>
      <c r="U198" s="329">
        <f>IFERROR(__xludf.DUMMYFUNCTION("""COMPUTED_VALUE"""),138.0)</f>
        <v>138</v>
      </c>
      <c r="V198" s="329">
        <f>IFERROR(__xludf.DUMMYFUNCTION("""COMPUTED_VALUE"""),144.0)</f>
        <v>144</v>
      </c>
      <c r="W198" s="329">
        <f>IFERROR(__xludf.DUMMYFUNCTION("""COMPUTED_VALUE"""),24.0)</f>
        <v>24</v>
      </c>
      <c r="X198" s="329">
        <f>IFERROR(__xludf.DUMMYFUNCTION("""COMPUTED_VALUE"""),19.0)</f>
        <v>19</v>
      </c>
      <c r="Y198" s="329">
        <f>IFERROR(__xludf.DUMMYFUNCTION("""COMPUTED_VALUE"""),4.0)</f>
        <v>4</v>
      </c>
      <c r="Z198" s="329">
        <f>IFERROR(__xludf.DUMMYFUNCTION("""COMPUTED_VALUE"""),2565.0)</f>
        <v>2565</v>
      </c>
      <c r="AA198" s="329">
        <f>IFERROR(__xludf.DUMMYFUNCTION("""COMPUTED_VALUE"""),5515.0)</f>
        <v>5515</v>
      </c>
      <c r="AB198" s="329">
        <f>IFERROR(__xludf.DUMMYFUNCTION("""COMPUTED_VALUE"""),2085.0)</f>
        <v>2085</v>
      </c>
      <c r="AC198" s="329">
        <f>IFERROR(__xludf.DUMMYFUNCTION("""COMPUTED_VALUE"""),7600.0)</f>
        <v>7600</v>
      </c>
      <c r="AD198" s="329">
        <f>IFERROR(__xludf.DUMMYFUNCTION("""COMPUTED_VALUE"""),348421.0)</f>
        <v>348421</v>
      </c>
      <c r="AE198" s="329">
        <f>IFERROR(__xludf.DUMMYFUNCTION("""COMPUTED_VALUE"""),5515.0)</f>
        <v>5515</v>
      </c>
      <c r="AF198" s="329">
        <f>IFERROR(__xludf.DUMMYFUNCTION("""COMPUTED_VALUE"""),249354.0)</f>
        <v>249354</v>
      </c>
      <c r="AG198" s="329">
        <f>IFERROR(__xludf.DUMMYFUNCTION("""COMPUTED_VALUE"""),2624.0)</f>
        <v>2624</v>
      </c>
      <c r="AH198" s="329">
        <f>IFERROR(__xludf.DUMMYFUNCTION("""COMPUTED_VALUE"""),101649.0)</f>
        <v>101649</v>
      </c>
    </row>
    <row r="199">
      <c r="A199" s="328">
        <f>IFERROR(__xludf.DUMMYFUNCTION("""COMPUTED_VALUE"""),44266.0)</f>
        <v>44266</v>
      </c>
      <c r="B199" s="329">
        <f>IFERROR(__xludf.DUMMYFUNCTION("""COMPUTED_VALUE"""),369.0)</f>
        <v>369</v>
      </c>
      <c r="C199" s="329">
        <f>IFERROR(__xludf.DUMMYFUNCTION("""COMPUTED_VALUE"""),442.0)</f>
        <v>442</v>
      </c>
      <c r="D199" s="329">
        <f>IFERROR(__xludf.DUMMYFUNCTION("""COMPUTED_VALUE"""),155259.0)</f>
        <v>155259</v>
      </c>
      <c r="E199" s="329">
        <f>IFERROR(__xludf.DUMMYFUNCTION("""COMPUTED_VALUE"""),16843.0)</f>
        <v>16843</v>
      </c>
      <c r="F199" s="329">
        <f>IFERROR(__xludf.DUMMYFUNCTION("""COMPUTED_VALUE"""),3049993.0)</f>
        <v>3049993</v>
      </c>
      <c r="G199" s="329">
        <f>IFERROR(__xludf.DUMMYFUNCTION("""COMPUTED_VALUE"""),17212.0)</f>
        <v>17212</v>
      </c>
      <c r="H199" s="329">
        <f>IFERROR(__xludf.DUMMYFUNCTION("""COMPUTED_VALUE"""),3205252.0)</f>
        <v>3205252</v>
      </c>
      <c r="I199" s="329">
        <f>IFERROR(__xludf.DUMMYFUNCTION("""COMPUTED_VALUE"""),315.0)</f>
        <v>315</v>
      </c>
      <c r="J199" s="329">
        <f>IFERROR(__xludf.DUMMYFUNCTION("""COMPUTED_VALUE"""),386.0)</f>
        <v>386</v>
      </c>
      <c r="K199" s="329">
        <f>IFERROR(__xludf.DUMMYFUNCTION("""COMPUTED_VALUE"""),130502.0)</f>
        <v>130502</v>
      </c>
      <c r="L199" s="329">
        <f>IFERROR(__xludf.DUMMYFUNCTION("""COMPUTED_VALUE"""),1837.0)</f>
        <v>1837</v>
      </c>
      <c r="M199" s="329">
        <f>IFERROR(__xludf.DUMMYFUNCTION("""COMPUTED_VALUE"""),684398.0)</f>
        <v>684398</v>
      </c>
      <c r="N199" s="329">
        <f>IFERROR(__xludf.DUMMYFUNCTION("""COMPUTED_VALUE"""),814900.0)</f>
        <v>814900</v>
      </c>
      <c r="O199" s="329"/>
      <c r="P199" s="329"/>
      <c r="Q199" s="329"/>
      <c r="R199" s="329"/>
      <c r="S199" s="329"/>
      <c r="T199" s="329"/>
      <c r="U199" s="329"/>
      <c r="V199" s="329"/>
      <c r="W199" s="329"/>
      <c r="X199" s="329"/>
      <c r="Y199" s="329">
        <f>IFERROR(__xludf.DUMMYFUNCTION("""COMPUTED_VALUE"""),2.0)</f>
        <v>2</v>
      </c>
      <c r="Z199" s="329">
        <f>IFERROR(__xludf.DUMMYFUNCTION("""COMPUTED_VALUE"""),2567.0)</f>
        <v>2567</v>
      </c>
      <c r="AA199" s="329">
        <f>IFERROR(__xludf.DUMMYFUNCTION("""COMPUTED_VALUE"""),4603.0)</f>
        <v>4603</v>
      </c>
      <c r="AB199" s="329">
        <f>IFERROR(__xludf.DUMMYFUNCTION("""COMPUTED_VALUE"""),2150.0)</f>
        <v>2150</v>
      </c>
      <c r="AC199" s="329">
        <f>IFERROR(__xludf.DUMMYFUNCTION("""COMPUTED_VALUE"""),6753.0)</f>
        <v>6753</v>
      </c>
      <c r="AD199" s="329">
        <f>IFERROR(__xludf.DUMMYFUNCTION("""COMPUTED_VALUE"""),355174.0)</f>
        <v>355174</v>
      </c>
      <c r="AE199" s="329">
        <f>IFERROR(__xludf.DUMMYFUNCTION("""COMPUTED_VALUE"""),4603.0)</f>
        <v>4603</v>
      </c>
      <c r="AF199" s="329">
        <f>IFERROR(__xludf.DUMMYFUNCTION("""COMPUTED_VALUE"""),253957.0)</f>
        <v>253957</v>
      </c>
      <c r="AG199" s="329">
        <f>IFERROR(__xludf.DUMMYFUNCTION("""COMPUTED_VALUE"""),2699.0)</f>
        <v>2699</v>
      </c>
      <c r="AH199" s="329">
        <f>IFERROR(__xludf.DUMMYFUNCTION("""COMPUTED_VALUE"""),104348.0)</f>
        <v>104348</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1120</v>
      </c>
      <c r="B1" s="331" t="s">
        <v>357</v>
      </c>
      <c r="C1" s="255" t="s">
        <v>221</v>
      </c>
    </row>
    <row r="2" ht="14.25" customHeight="1">
      <c r="A2" s="332" t="str">
        <f>'Cases by ZCTA'!A2</f>
        <v>02802</v>
      </c>
      <c r="B2" s="333">
        <f>'Cases by ZCTA'!B2</f>
        <v>52</v>
      </c>
      <c r="C2" s="333">
        <f>'Cases by ZCTA'!C2</f>
        <v>7750</v>
      </c>
    </row>
    <row r="3" ht="14.25" customHeight="1">
      <c r="A3" s="332" t="str">
        <f>'Cases by ZCTA'!A3</f>
        <v>02804</v>
      </c>
      <c r="B3" s="333">
        <f>'Cases by ZCTA'!B3</f>
        <v>194</v>
      </c>
      <c r="C3" s="333">
        <f>'Cases by ZCTA'!C3</f>
        <v>9681</v>
      </c>
    </row>
    <row r="4" ht="14.25" customHeight="1">
      <c r="A4" s="332" t="str">
        <f>'Cases by ZCTA'!A4</f>
        <v>02806</v>
      </c>
      <c r="B4" s="333">
        <f>'Cases by ZCTA'!B4</f>
        <v>1132</v>
      </c>
      <c r="C4" s="333">
        <f>'Cases by ZCTA'!C4</f>
        <v>6991</v>
      </c>
    </row>
    <row r="5" ht="14.25" customHeight="1">
      <c r="A5" s="332" t="str">
        <f>'Cases by ZCTA'!A5</f>
        <v>02807</v>
      </c>
      <c r="B5" s="333">
        <f>'Cases by ZCTA'!B5</f>
        <v>45</v>
      </c>
      <c r="C5" s="333">
        <f>'Cases by ZCTA'!C5</f>
        <v>5441</v>
      </c>
    </row>
    <row r="6" ht="14.25" customHeight="1">
      <c r="A6" s="332" t="str">
        <f>'Cases by ZCTA'!A6</f>
        <v>02808</v>
      </c>
      <c r="B6" s="333">
        <f>'Cases by ZCTA'!B6</f>
        <v>167</v>
      </c>
      <c r="C6" s="333">
        <f>'Cases by ZCTA'!C6</f>
        <v>6511</v>
      </c>
    </row>
    <row r="7" ht="14.25" customHeight="1">
      <c r="A7" s="332" t="str">
        <f>'Cases by ZCTA'!A7</f>
        <v>02809</v>
      </c>
      <c r="B7" s="333">
        <f>'Cases by ZCTA'!B7</f>
        <v>2106</v>
      </c>
      <c r="C7" s="333">
        <f>'Cases by ZCTA'!C7</f>
        <v>9462</v>
      </c>
    </row>
    <row r="8" ht="14.25" customHeight="1">
      <c r="A8" s="332" t="str">
        <f>'Cases by ZCTA'!A8</f>
        <v>02812</v>
      </c>
      <c r="B8" s="333">
        <f>'Cases by ZCTA'!B8</f>
        <v>82</v>
      </c>
      <c r="C8" s="333">
        <f>'Cases by ZCTA'!C8</f>
        <v>6788</v>
      </c>
    </row>
    <row r="9" ht="14.25" customHeight="1">
      <c r="A9" s="332" t="str">
        <f>'Cases by ZCTA'!A9</f>
        <v>02813</v>
      </c>
      <c r="B9" s="333">
        <f>'Cases by ZCTA'!B9</f>
        <v>451</v>
      </c>
      <c r="C9" s="333">
        <f>'Cases by ZCTA'!C9</f>
        <v>5797</v>
      </c>
    </row>
    <row r="10" ht="14.25" customHeight="1">
      <c r="A10" s="332" t="str">
        <f>'Cases by ZCTA'!A10</f>
        <v>02814</v>
      </c>
      <c r="B10" s="333">
        <f>'Cases by ZCTA'!B10</f>
        <v>656</v>
      </c>
      <c r="C10" s="333">
        <f>'Cases by ZCTA'!C10</f>
        <v>8549</v>
      </c>
    </row>
    <row r="11" ht="14.25" customHeight="1">
      <c r="A11" s="332" t="str">
        <f>'Cases by ZCTA'!A11</f>
        <v>02815</v>
      </c>
      <c r="B11" s="333">
        <f>'Cases by ZCTA'!B11</f>
        <v>23</v>
      </c>
      <c r="C11" s="333">
        <f>'Cases by ZCTA'!C11</f>
        <v>11058</v>
      </c>
    </row>
    <row r="12" ht="14.25" customHeight="1">
      <c r="A12" s="332" t="str">
        <f>'Cases by ZCTA'!A12</f>
        <v>02816</v>
      </c>
      <c r="B12" s="333">
        <f>'Cases by ZCTA'!B12</f>
        <v>3239</v>
      </c>
      <c r="C12" s="333">
        <f>'Cases by ZCTA'!C12</f>
        <v>9867</v>
      </c>
    </row>
    <row r="13" ht="14.25" customHeight="1">
      <c r="A13" s="332" t="str">
        <f>'Cases by ZCTA'!A13</f>
        <v>02817</v>
      </c>
      <c r="B13" s="333">
        <f>'Cases by ZCTA'!B13</f>
        <v>482</v>
      </c>
      <c r="C13" s="333">
        <f>'Cases by ZCTA'!C13</f>
        <v>7989</v>
      </c>
    </row>
    <row r="14" ht="14.25" customHeight="1">
      <c r="A14" s="332" t="str">
        <f>'Cases by ZCTA'!A14</f>
        <v>02818</v>
      </c>
      <c r="B14" s="333">
        <f>'Cases by ZCTA'!B14</f>
        <v>1566</v>
      </c>
      <c r="C14" s="333">
        <f>'Cases by ZCTA'!C14</f>
        <v>8609</v>
      </c>
    </row>
    <row r="15" ht="14.25" customHeight="1">
      <c r="A15" s="332" t="str">
        <f>'Cases by ZCTA'!A15</f>
        <v>02822</v>
      </c>
      <c r="B15" s="333">
        <f>'Cases by ZCTA'!B15</f>
        <v>432</v>
      </c>
      <c r="C15" s="333">
        <f>'Cases by ZCTA'!C15</f>
        <v>6564</v>
      </c>
    </row>
    <row r="16" ht="14.25" customHeight="1">
      <c r="A16" s="332" t="str">
        <f>'Cases by ZCTA'!A16</f>
        <v>02825</v>
      </c>
      <c r="B16" s="333">
        <f>'Cases by ZCTA'!B16</f>
        <v>421</v>
      </c>
      <c r="C16" s="333">
        <f>'Cases by ZCTA'!C16</f>
        <v>7655</v>
      </c>
    </row>
    <row r="17" ht="14.25" customHeight="1">
      <c r="A17" s="332" t="str">
        <f>'Cases by ZCTA'!A17</f>
        <v>02826</v>
      </c>
      <c r="B17" s="333">
        <f>'Cases by ZCTA'!B17</f>
        <v>76</v>
      </c>
      <c r="C17" s="333">
        <f>'Cases by ZCTA'!C17</f>
        <v>15170</v>
      </c>
    </row>
    <row r="18" ht="14.25" customHeight="1">
      <c r="A18" s="332" t="str">
        <f>'Cases by ZCTA'!A18</f>
        <v>02827</v>
      </c>
      <c r="B18" s="333">
        <f>'Cases by ZCTA'!B18</f>
        <v>191</v>
      </c>
      <c r="C18" s="333">
        <f>'Cases by ZCTA'!C18</f>
        <v>9272</v>
      </c>
    </row>
    <row r="19" ht="14.25" customHeight="1">
      <c r="A19" s="332" t="str">
        <f>'Cases by ZCTA'!A19</f>
        <v>02828</v>
      </c>
      <c r="B19" s="333">
        <f>'Cases by ZCTA'!B19</f>
        <v>975</v>
      </c>
      <c r="C19" s="333">
        <f>'Cases by ZCTA'!C19</f>
        <v>12400</v>
      </c>
    </row>
    <row r="20" ht="14.25" customHeight="1">
      <c r="A20" s="332" t="str">
        <f>'Cases by ZCTA'!A20</f>
        <v>02830</v>
      </c>
      <c r="B20" s="333">
        <f>'Cases by ZCTA'!B20</f>
        <v>576</v>
      </c>
      <c r="C20" s="333">
        <f>'Cases by ZCTA'!C20</f>
        <v>9705</v>
      </c>
    </row>
    <row r="21" ht="14.25" customHeight="1">
      <c r="A21" s="332" t="str">
        <f>'Cases by ZCTA'!A21</f>
        <v>02831</v>
      </c>
      <c r="B21" s="333">
        <f>'Cases by ZCTA'!B21</f>
        <v>433</v>
      </c>
      <c r="C21" s="333">
        <f>'Cases by ZCTA'!C21</f>
        <v>12368</v>
      </c>
    </row>
    <row r="22" ht="14.25" customHeight="1">
      <c r="A22" s="332" t="str">
        <f>'Cases by ZCTA'!A22</f>
        <v>02832</v>
      </c>
      <c r="B22" s="333">
        <f>'Cases by ZCTA'!B22</f>
        <v>301</v>
      </c>
      <c r="C22" s="333">
        <f>'Cases by ZCTA'!C22</f>
        <v>6968</v>
      </c>
    </row>
    <row r="23" ht="14.25" customHeight="1">
      <c r="A23" s="332" t="str">
        <f>'Cases by ZCTA'!A23</f>
        <v>02833</v>
      </c>
      <c r="B23" s="333">
        <f>'Cases by ZCTA'!B23</f>
        <v>30</v>
      </c>
      <c r="C23" s="333">
        <f>'Cases by ZCTA'!C23</f>
        <v>2622</v>
      </c>
    </row>
    <row r="24" ht="14.25" customHeight="1">
      <c r="A24" s="332" t="str">
        <f>'Cases by ZCTA'!A24</f>
        <v>02835</v>
      </c>
      <c r="B24" s="333">
        <f>'Cases by ZCTA'!B24</f>
        <v>300</v>
      </c>
      <c r="C24" s="333">
        <f>'Cases by ZCTA'!C24</f>
        <v>5459</v>
      </c>
    </row>
    <row r="25" ht="14.25" customHeight="1">
      <c r="A25" s="332" t="str">
        <f>'Cases by ZCTA'!A25</f>
        <v>02836</v>
      </c>
      <c r="B25" s="333">
        <f>'Cases by ZCTA'!B25</f>
        <v>6</v>
      </c>
      <c r="C25" s="333">
        <f>'Cases by ZCTA'!C25</f>
        <v>3209</v>
      </c>
    </row>
    <row r="26" ht="14.25" customHeight="1">
      <c r="A26" s="332" t="str">
        <f>'Cases by ZCTA'!A26</f>
        <v>02837</v>
      </c>
      <c r="B26" s="333">
        <f>'Cases by ZCTA'!B26</f>
        <v>150</v>
      </c>
      <c r="C26" s="333">
        <f>'Cases by ZCTA'!C26</f>
        <v>4280</v>
      </c>
    </row>
    <row r="27" ht="14.25" customHeight="1">
      <c r="A27" s="332" t="str">
        <f>'Cases by ZCTA'!A27</f>
        <v>02838</v>
      </c>
      <c r="B27" s="333">
        <f>'Cases by ZCTA'!B27</f>
        <v>450</v>
      </c>
      <c r="C27" s="333">
        <f>'Cases by ZCTA'!C27</f>
        <v>12788</v>
      </c>
    </row>
    <row r="28" ht="14.25" customHeight="1">
      <c r="A28" s="332" t="str">
        <f>'Cases by ZCTA'!A28</f>
        <v>02839</v>
      </c>
      <c r="B28" s="333">
        <f>'Cases by ZCTA'!B28</f>
        <v>171</v>
      </c>
      <c r="C28" s="333">
        <f>'Cases by ZCTA'!C28</f>
        <v>8293</v>
      </c>
    </row>
    <row r="29" ht="14.25" customHeight="1">
      <c r="A29" s="332" t="str">
        <f>'Cases by ZCTA'!A29</f>
        <v>02840</v>
      </c>
      <c r="B29" s="333">
        <f>'Cases by ZCTA'!B29</f>
        <v>1589</v>
      </c>
      <c r="C29" s="333">
        <f>'Cases by ZCTA'!C29</f>
        <v>6846</v>
      </c>
    </row>
    <row r="30" ht="14.25" customHeight="1">
      <c r="A30" s="332" t="str">
        <f>'Cases by ZCTA'!A30</f>
        <v>02841</v>
      </c>
      <c r="B30" s="333">
        <f>'Cases by ZCTA'!B30</f>
        <v>75</v>
      </c>
      <c r="C30" s="333">
        <f>'Cases by ZCTA'!C30</f>
        <v>4596</v>
      </c>
    </row>
    <row r="31" ht="14.25" customHeight="1">
      <c r="A31" s="332" t="str">
        <f>'Cases by ZCTA'!A31</f>
        <v>02842</v>
      </c>
      <c r="B31" s="333">
        <f>'Cases by ZCTA'!B31</f>
        <v>982</v>
      </c>
      <c r="C31" s="333">
        <f>'Cases by ZCTA'!C31</f>
        <v>6139</v>
      </c>
    </row>
    <row r="32" ht="14.25" customHeight="1">
      <c r="A32" s="332" t="str">
        <f>'Cases by ZCTA'!A32</f>
        <v>02852</v>
      </c>
      <c r="B32" s="333">
        <f>'Cases by ZCTA'!B32</f>
        <v>1907</v>
      </c>
      <c r="C32" s="333">
        <f>'Cases by ZCTA'!C32</f>
        <v>8656</v>
      </c>
    </row>
    <row r="33" ht="14.25" customHeight="1">
      <c r="A33" s="332" t="str">
        <f>'Cases by ZCTA'!A33</f>
        <v>02857</v>
      </c>
      <c r="B33" s="333">
        <f>'Cases by ZCTA'!B33</f>
        <v>707</v>
      </c>
      <c r="C33" s="333">
        <f>'Cases by ZCTA'!C33</f>
        <v>8096</v>
      </c>
    </row>
    <row r="34" ht="14.25" customHeight="1">
      <c r="A34" s="332" t="str">
        <f>'Cases by ZCTA'!A34</f>
        <v>02858</v>
      </c>
      <c r="B34" s="333">
        <f>'Cases by ZCTA'!B34</f>
        <v>68</v>
      </c>
      <c r="C34" s="333">
        <f>'Cases by ZCTA'!C34</f>
        <v>9341</v>
      </c>
    </row>
    <row r="35" ht="14.25" customHeight="1">
      <c r="A35" s="332" t="str">
        <f>'Cases by ZCTA'!A35</f>
        <v>02859</v>
      </c>
      <c r="B35" s="333">
        <f>'Cases by ZCTA'!B35</f>
        <v>824</v>
      </c>
      <c r="C35" s="333">
        <f>'Cases by ZCTA'!C35</f>
        <v>11402</v>
      </c>
    </row>
    <row r="36" ht="14.25" customHeight="1">
      <c r="A36" s="332" t="str">
        <f>'Cases by ZCTA'!A36</f>
        <v>02860</v>
      </c>
      <c r="B36" s="333">
        <f>'Cases by ZCTA'!B36</f>
        <v>6900</v>
      </c>
      <c r="C36" s="333">
        <f>'Cases by ZCTA'!C36</f>
        <v>14641</v>
      </c>
    </row>
    <row r="37" ht="14.25" customHeight="1">
      <c r="A37" s="332" t="str">
        <f>'Cases by ZCTA'!A37</f>
        <v>02861</v>
      </c>
      <c r="B37" s="333">
        <f>'Cases by ZCTA'!B37</f>
        <v>3097</v>
      </c>
      <c r="C37" s="333">
        <f>'Cases by ZCTA'!C37</f>
        <v>12366</v>
      </c>
    </row>
    <row r="38" ht="14.25" customHeight="1">
      <c r="A38" s="332" t="str">
        <f>'Cases by ZCTA'!A38</f>
        <v>02863</v>
      </c>
      <c r="B38" s="333">
        <f>'Cases by ZCTA'!B38</f>
        <v>4075</v>
      </c>
      <c r="C38" s="333">
        <f>'Cases by ZCTA'!C38</f>
        <v>21064</v>
      </c>
    </row>
    <row r="39" ht="14.25" customHeight="1">
      <c r="A39" s="332" t="str">
        <f>'Cases by ZCTA'!A39</f>
        <v>02864</v>
      </c>
      <c r="B39" s="333">
        <f>'Cases by ZCTA'!B39</f>
        <v>3543</v>
      </c>
      <c r="C39" s="333">
        <f>'Cases by ZCTA'!C39</f>
        <v>10233</v>
      </c>
    </row>
    <row r="40" ht="14.25" customHeight="1">
      <c r="A40" s="332" t="str">
        <f>'Cases by ZCTA'!A40</f>
        <v>02865</v>
      </c>
      <c r="B40" s="333">
        <f>'Cases by ZCTA'!B40</f>
        <v>1870</v>
      </c>
      <c r="C40" s="333">
        <f>'Cases by ZCTA'!C40</f>
        <v>10718</v>
      </c>
    </row>
    <row r="41" ht="14.25" customHeight="1">
      <c r="A41" s="332" t="str">
        <f>'Cases by ZCTA'!A41</f>
        <v>02871</v>
      </c>
      <c r="B41" s="333">
        <f>'Cases by ZCTA'!B41</f>
        <v>1072</v>
      </c>
      <c r="C41" s="333">
        <f>'Cases by ZCTA'!C41</f>
        <v>6254</v>
      </c>
    </row>
    <row r="42" ht="14.25" customHeight="1">
      <c r="A42" s="332" t="str">
        <f>'Cases by ZCTA'!A42</f>
        <v>02872</v>
      </c>
      <c r="B42" s="333">
        <f>'Cases by ZCTA'!B42</f>
        <v>6</v>
      </c>
      <c r="C42" s="333">
        <f>'Cases by ZCTA'!C42</f>
        <v>2158</v>
      </c>
    </row>
    <row r="43" ht="14.25" customHeight="1">
      <c r="A43" s="332" t="str">
        <f>'Cases by ZCTA'!A43</f>
        <v>02873</v>
      </c>
      <c r="B43" s="333">
        <f>'Cases by ZCTA'!B43</f>
        <v>12</v>
      </c>
      <c r="C43" s="333">
        <f>'Cases by ZCTA'!C43</f>
        <v>6316</v>
      </c>
    </row>
    <row r="44" ht="14.25" customHeight="1">
      <c r="A44" s="332" t="str">
        <f>'Cases by ZCTA'!A44</f>
        <v>02874</v>
      </c>
      <c r="B44" s="333">
        <f>'Cases by ZCTA'!B44</f>
        <v>444</v>
      </c>
      <c r="C44" s="333">
        <f>'Cases by ZCTA'!C44</f>
        <v>7450</v>
      </c>
    </row>
    <row r="45" ht="14.25" customHeight="1">
      <c r="A45" s="332" t="str">
        <f>'Cases by ZCTA'!A45</f>
        <v>02875</v>
      </c>
      <c r="B45" s="333">
        <f>'Cases by ZCTA'!B45</f>
        <v>24</v>
      </c>
      <c r="C45" s="333">
        <f>'Cases by ZCTA'!C45</f>
        <v>4396</v>
      </c>
    </row>
    <row r="46" ht="14.25" customHeight="1">
      <c r="A46" s="332" t="str">
        <f>'Cases by ZCTA'!A46</f>
        <v>02876</v>
      </c>
      <c r="B46" s="333">
        <f>'Cases by ZCTA'!B46</f>
        <v>64</v>
      </c>
      <c r="C46" s="333">
        <f>'Cases by ZCTA'!C46</f>
        <v>21993</v>
      </c>
    </row>
    <row r="47" ht="14.25" customHeight="1">
      <c r="A47" s="332" t="str">
        <f>'Cases by ZCTA'!A47</f>
        <v>02878</v>
      </c>
      <c r="B47" s="333">
        <f>'Cases by ZCTA'!B47</f>
        <v>1180</v>
      </c>
      <c r="C47" s="333">
        <f>'Cases by ZCTA'!C47</f>
        <v>7461</v>
      </c>
    </row>
    <row r="48" ht="14.25" customHeight="1">
      <c r="A48" s="332" t="str">
        <f>'Cases by ZCTA'!A48</f>
        <v>02879</v>
      </c>
      <c r="B48" s="333">
        <f>'Cases by ZCTA'!B48</f>
        <v>1401</v>
      </c>
      <c r="C48" s="333">
        <f>'Cases by ZCTA'!C48</f>
        <v>6826</v>
      </c>
    </row>
    <row r="49" ht="14.25" customHeight="1">
      <c r="A49" s="332" t="str">
        <f>'Cases by ZCTA'!A49</f>
        <v>02881</v>
      </c>
      <c r="B49" s="333">
        <f>'Cases by ZCTA'!B49</f>
        <v>439</v>
      </c>
      <c r="C49" s="333">
        <f>'Cases by ZCTA'!C49</f>
        <v>5602</v>
      </c>
    </row>
    <row r="50" ht="14.25" customHeight="1">
      <c r="A50" s="332" t="str">
        <f>'Cases by ZCTA'!A50</f>
        <v>02882</v>
      </c>
      <c r="B50" s="333">
        <f>'Cases by ZCTA'!B50</f>
        <v>1277</v>
      </c>
      <c r="C50" s="333">
        <f>'Cases by ZCTA'!C50</f>
        <v>9153</v>
      </c>
    </row>
    <row r="51" ht="14.25" customHeight="1">
      <c r="A51" s="332" t="str">
        <f>'Cases by ZCTA'!A51</f>
        <v>02885</v>
      </c>
      <c r="B51" s="333">
        <f>'Cases by ZCTA'!B51</f>
        <v>1075</v>
      </c>
      <c r="C51" s="333">
        <f>'Cases by ZCTA'!C51</f>
        <v>10273</v>
      </c>
    </row>
    <row r="52" ht="14.25" customHeight="1">
      <c r="A52" s="332" t="str">
        <f>'Cases by ZCTA'!A52</f>
        <v>02886</v>
      </c>
      <c r="B52" s="333">
        <f>'Cases by ZCTA'!B52</f>
        <v>2837</v>
      </c>
      <c r="C52" s="333">
        <f>'Cases by ZCTA'!C52</f>
        <v>9780</v>
      </c>
    </row>
    <row r="53" ht="14.25" customHeight="1">
      <c r="A53" s="332" t="str">
        <f>'Cases by ZCTA'!A53</f>
        <v>02888</v>
      </c>
      <c r="B53" s="333">
        <f>'Cases by ZCTA'!B53</f>
        <v>1819</v>
      </c>
      <c r="C53" s="333">
        <f>'Cases by ZCTA'!C53</f>
        <v>9490</v>
      </c>
    </row>
    <row r="54" ht="14.25" customHeight="1">
      <c r="A54" s="332" t="str">
        <f>'Cases by ZCTA'!A54</f>
        <v>02889</v>
      </c>
      <c r="B54" s="333">
        <f>'Cases by ZCTA'!B54</f>
        <v>2710</v>
      </c>
      <c r="C54" s="333">
        <f>'Cases by ZCTA'!C54</f>
        <v>9915</v>
      </c>
    </row>
    <row r="55" ht="14.25" customHeight="1">
      <c r="A55" s="332" t="str">
        <f>'Cases by ZCTA'!A55</f>
        <v>02891</v>
      </c>
      <c r="B55" s="333">
        <f>'Cases by ZCTA'!B55</f>
        <v>1443</v>
      </c>
      <c r="C55" s="333">
        <f>'Cases by ZCTA'!C55</f>
        <v>6844</v>
      </c>
    </row>
    <row r="56" ht="14.25" customHeight="1">
      <c r="A56" s="332" t="str">
        <f>'Cases by ZCTA'!A56</f>
        <v>02892</v>
      </c>
      <c r="B56" s="333">
        <f>'Cases by ZCTA'!B56</f>
        <v>414</v>
      </c>
      <c r="C56" s="333">
        <f>'Cases by ZCTA'!C56</f>
        <v>7983</v>
      </c>
    </row>
    <row r="57" ht="14.25" customHeight="1">
      <c r="A57" s="332" t="str">
        <f>'Cases by ZCTA'!A57</f>
        <v>02893</v>
      </c>
      <c r="B57" s="333">
        <f>'Cases by ZCTA'!B57</f>
        <v>2868</v>
      </c>
      <c r="C57" s="333">
        <f>'Cases by ZCTA'!C57</f>
        <v>9838</v>
      </c>
    </row>
    <row r="58" ht="14.25" customHeight="1">
      <c r="A58" s="332" t="str">
        <f>'Cases by ZCTA'!A58</f>
        <v>02894</v>
      </c>
      <c r="B58" s="333">
        <f>'Cases by ZCTA'!B58</f>
        <v>48</v>
      </c>
      <c r="C58" s="333">
        <f>'Cases by ZCTA'!C58</f>
        <v>7122</v>
      </c>
    </row>
    <row r="59" ht="14.25" customHeight="1">
      <c r="A59" s="332" t="str">
        <f>'Cases by ZCTA'!A59</f>
        <v>02895</v>
      </c>
      <c r="B59" s="333">
        <f>'Cases by ZCTA'!B59</f>
        <v>4610</v>
      </c>
      <c r="C59" s="333">
        <f>'Cases by ZCTA'!C59</f>
        <v>11098</v>
      </c>
    </row>
    <row r="60" ht="14.25" customHeight="1">
      <c r="A60" s="332" t="str">
        <f>'Cases by ZCTA'!A60</f>
        <v>02896</v>
      </c>
      <c r="B60" s="333">
        <f>'Cases by ZCTA'!B60</f>
        <v>1160</v>
      </c>
      <c r="C60" s="333">
        <f>'Cases by ZCTA'!C60</f>
        <v>9620</v>
      </c>
    </row>
    <row r="61" ht="14.25" customHeight="1">
      <c r="A61" s="332" t="str">
        <f>'Cases by ZCTA'!A61</f>
        <v>02898</v>
      </c>
      <c r="B61" s="333">
        <f>'Cases by ZCTA'!B61</f>
        <v>128</v>
      </c>
      <c r="C61" s="333">
        <f>'Cases by ZCTA'!C61</f>
        <v>7791</v>
      </c>
    </row>
    <row r="62" ht="14.25" customHeight="1">
      <c r="A62" s="332" t="str">
        <f>'Cases by ZCTA'!A62</f>
        <v>02903</v>
      </c>
      <c r="B62" s="333">
        <f>'Cases by ZCTA'!B62</f>
        <v>1066</v>
      </c>
      <c r="C62" s="333">
        <f>'Cases by ZCTA'!C62</f>
        <v>10112</v>
      </c>
    </row>
    <row r="63" ht="14.25" customHeight="1">
      <c r="A63" s="332" t="str">
        <f>'Cases by ZCTA'!A63</f>
        <v>02904</v>
      </c>
      <c r="B63" s="333">
        <f>'Cases by ZCTA'!B63</f>
        <v>4408</v>
      </c>
      <c r="C63" s="333">
        <f>'Cases by ZCTA'!C63</f>
        <v>14442</v>
      </c>
    </row>
    <row r="64" ht="14.25" customHeight="1">
      <c r="A64" s="332" t="str">
        <f>'Cases by ZCTA'!A64</f>
        <v>02905</v>
      </c>
      <c r="B64" s="333">
        <f>'Cases by ZCTA'!B64</f>
        <v>3453</v>
      </c>
      <c r="C64" s="333">
        <f>'Cases by ZCTA'!C64</f>
        <v>13548</v>
      </c>
    </row>
    <row r="65" ht="14.25" customHeight="1">
      <c r="A65" s="332" t="str">
        <f>'Cases by ZCTA'!A65</f>
        <v>02906</v>
      </c>
      <c r="B65" s="333">
        <f>'Cases by ZCTA'!B65</f>
        <v>2776</v>
      </c>
      <c r="C65" s="333">
        <f>'Cases by ZCTA'!C65</f>
        <v>9845</v>
      </c>
    </row>
    <row r="66" ht="14.25" customHeight="1">
      <c r="A66" s="332" t="str">
        <f>'Cases by ZCTA'!A66</f>
        <v>02907</v>
      </c>
      <c r="B66" s="333">
        <f>'Cases by ZCTA'!B66</f>
        <v>5453</v>
      </c>
      <c r="C66" s="333">
        <f>'Cases by ZCTA'!C66</f>
        <v>17715</v>
      </c>
    </row>
    <row r="67" ht="14.25" customHeight="1">
      <c r="A67" s="332" t="str">
        <f>'Cases by ZCTA'!A67</f>
        <v>02908</v>
      </c>
      <c r="B67" s="333">
        <f>'Cases by ZCTA'!B67</f>
        <v>6420</v>
      </c>
      <c r="C67" s="333">
        <f>'Cases by ZCTA'!C67</f>
        <v>17098</v>
      </c>
    </row>
    <row r="68" ht="14.25" customHeight="1">
      <c r="A68" s="332" t="str">
        <f>'Cases by ZCTA'!A68</f>
        <v>02909</v>
      </c>
      <c r="B68" s="333">
        <f>'Cases by ZCTA'!B68</f>
        <v>7646</v>
      </c>
      <c r="C68" s="333">
        <f>'Cases by ZCTA'!C68</f>
        <v>18846</v>
      </c>
    </row>
    <row r="69" ht="14.25" customHeight="1">
      <c r="A69" s="332" t="str">
        <f>'Cases by ZCTA'!A69</f>
        <v>02910</v>
      </c>
      <c r="B69" s="333">
        <f>'Cases by ZCTA'!B69</f>
        <v>2594</v>
      </c>
      <c r="C69" s="333">
        <f>'Cases by ZCTA'!C69</f>
        <v>11715</v>
      </c>
    </row>
    <row r="70" ht="14.25" customHeight="1">
      <c r="A70" s="332" t="str">
        <f>'Cases by ZCTA'!A70</f>
        <v>02911</v>
      </c>
      <c r="B70" s="333">
        <f>'Cases by ZCTA'!B70</f>
        <v>1737</v>
      </c>
      <c r="C70" s="333">
        <f>'Cases by ZCTA'!C70</f>
        <v>10949</v>
      </c>
    </row>
    <row r="71" ht="14.25" customHeight="1">
      <c r="A71" s="332" t="str">
        <f>'Cases by ZCTA'!A71</f>
        <v>02912</v>
      </c>
      <c r="B71" s="333">
        <f>'Cases by ZCTA'!B71</f>
        <v>44</v>
      </c>
      <c r="C71" s="333">
        <f>'Cases by ZCTA'!C71</f>
        <v>3235</v>
      </c>
    </row>
    <row r="72" ht="14.25" customHeight="1">
      <c r="A72" s="332" t="str">
        <f>'Cases by ZCTA'!A72</f>
        <v>02914</v>
      </c>
      <c r="B72" s="333">
        <f>'Cases by ZCTA'!B72</f>
        <v>2748</v>
      </c>
      <c r="C72" s="333">
        <f>'Cases by ZCTA'!C72</f>
        <v>12719</v>
      </c>
    </row>
    <row r="73" ht="14.25" customHeight="1">
      <c r="A73" s="332" t="str">
        <f>'Cases by ZCTA'!A73</f>
        <v>02915</v>
      </c>
      <c r="B73" s="333">
        <f>'Cases by ZCTA'!B73</f>
        <v>1510</v>
      </c>
      <c r="C73" s="333">
        <f>'Cases by ZCTA'!C73</f>
        <v>9071</v>
      </c>
    </row>
    <row r="74" ht="14.25" customHeight="1">
      <c r="A74" s="332" t="str">
        <f>'Cases by ZCTA'!A74</f>
        <v>02916</v>
      </c>
      <c r="B74" s="333">
        <f>'Cases by ZCTA'!B74</f>
        <v>712</v>
      </c>
      <c r="C74" s="333">
        <f>'Cases by ZCTA'!C74</f>
        <v>7846</v>
      </c>
    </row>
    <row r="75" ht="14.25" customHeight="1">
      <c r="A75" s="332" t="str">
        <f>'Cases by ZCTA'!A75</f>
        <v>02917</v>
      </c>
      <c r="B75" s="333">
        <f>'Cases by ZCTA'!B75</f>
        <v>1788</v>
      </c>
      <c r="C75" s="333">
        <f>'Cases by ZCTA'!C75</f>
        <v>12954</v>
      </c>
    </row>
    <row r="76" ht="14.25" customHeight="1">
      <c r="A76" s="332" t="str">
        <f>'Cases by ZCTA'!A76</f>
        <v>02919</v>
      </c>
      <c r="B76" s="333">
        <f>'Cases by ZCTA'!B76</f>
        <v>4133</v>
      </c>
      <c r="C76" s="333">
        <f>'Cases by ZCTA'!C76</f>
        <v>14128</v>
      </c>
    </row>
    <row r="77" ht="14.25" customHeight="1">
      <c r="A77" s="332" t="str">
        <f>'Cases by ZCTA'!A77</f>
        <v>02920</v>
      </c>
      <c r="B77" s="333">
        <f>'Cases by ZCTA'!B77</f>
        <v>5853</v>
      </c>
      <c r="C77" s="333">
        <f>'Cases by ZCTA'!C77</f>
        <v>15734</v>
      </c>
    </row>
    <row r="78" ht="14.25" customHeight="1">
      <c r="A78" s="332" t="str">
        <f>'Cases by ZCTA'!A78</f>
        <v>02921</v>
      </c>
      <c r="B78" s="333">
        <f>'Cases by ZCTA'!B78</f>
        <v>1483</v>
      </c>
      <c r="C78" s="333">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2"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1121</v>
      </c>
      <c r="AB1" s="340" t="s">
        <v>1122</v>
      </c>
      <c r="AC1" s="340" t="s">
        <v>1123</v>
      </c>
      <c r="AD1" s="340" t="s">
        <v>1124</v>
      </c>
    </row>
    <row r="2">
      <c r="A2" s="341">
        <f>Summary!B1</f>
        <v>44267</v>
      </c>
      <c r="B2" s="342">
        <f>Summary!B2</f>
        <v>369</v>
      </c>
      <c r="C2" s="343">
        <f>Summary!B3</f>
        <v>442</v>
      </c>
      <c r="D2" s="343">
        <f>Summary!B4</f>
        <v>155259</v>
      </c>
      <c r="E2" s="343">
        <f>Summary!B5</f>
        <v>16843</v>
      </c>
      <c r="F2" s="343">
        <f>Summary!B6</f>
        <v>3049993</v>
      </c>
      <c r="G2" s="343">
        <f>Summary!B7</f>
        <v>17212</v>
      </c>
      <c r="H2" s="343">
        <f>Summary!B8</f>
        <v>3205252</v>
      </c>
      <c r="I2" s="343">
        <f>Summary!B9</f>
        <v>315</v>
      </c>
      <c r="J2" s="343">
        <f>Summary!B10</f>
        <v>386</v>
      </c>
      <c r="K2" s="343">
        <f>Summary!B11</f>
        <v>130502</v>
      </c>
      <c r="L2" s="343">
        <f>Summary!B12</f>
        <v>1837</v>
      </c>
      <c r="M2" s="343">
        <f>Summary!B13</f>
        <v>684398</v>
      </c>
      <c r="N2" s="343">
        <f>Summary!B14</f>
        <v>814900</v>
      </c>
      <c r="O2" s="343">
        <f>Summary!B15</f>
        <v>17</v>
      </c>
      <c r="P2" s="343">
        <f>Summary!B16</f>
        <v>9167</v>
      </c>
      <c r="Q2" s="343">
        <f>Summary!B17</f>
        <v>25</v>
      </c>
      <c r="R2" s="343">
        <f>Summary!B18</f>
        <v>8008</v>
      </c>
      <c r="S2" s="343">
        <f>Summary!B19</f>
        <v>0</v>
      </c>
      <c r="T2" s="343">
        <f>Summary!B20</f>
        <v>1021</v>
      </c>
      <c r="U2" s="343">
        <f>Summary!B21</f>
        <v>138</v>
      </c>
      <c r="V2" s="343">
        <f>Summary!B22</f>
        <v>144</v>
      </c>
      <c r="W2" s="343">
        <f>Summary!B23</f>
        <v>24</v>
      </c>
      <c r="X2" s="343">
        <f>Summary!B24</f>
        <v>19</v>
      </c>
      <c r="Y2" s="343">
        <f>Summary!B25</f>
        <v>4</v>
      </c>
      <c r="Z2" s="343">
        <f>Summary!B26</f>
        <v>2567</v>
      </c>
      <c r="AA2" s="344">
        <f>I2+E2</f>
        <v>17158</v>
      </c>
      <c r="AB2" s="344">
        <f>K2+F2</f>
        <v>3180495</v>
      </c>
      <c r="AC2" s="345">
        <f>K2/H2</f>
        <v>0.04071505142</v>
      </c>
      <c r="AD2" s="345">
        <f>I2/G2</f>
        <v>0.01830118522</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