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<sst xmlns="http://schemas.openxmlformats.org/spreadsheetml/2006/main" count="11315" uniqueCount="1127">
  <si>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</si>
  <si>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</si>
  <si>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</si>
  <si>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</si>
  <si>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</si>
  <si>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</si>
  <si>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</si>
  <si>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</si>
  <si>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</si>
  <si>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</si>
  <si>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</si>
  <si>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</si>
  <si>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</si>
  <si>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</si>
  <si>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</si>
  <si>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</si>
  <si>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</si>
  <si>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</si>
  <si>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</si>
  <si>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</si>
  <si>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</si>
  <si>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</si>
  <si>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</si>
  <si>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</si>
  <si>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</si>
  <si>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</si>
  <si>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</si>
  <si>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</si>
  <si>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</si>
  <si>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</si>
  <si>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</si>
  <si>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</si>
  <si>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</si>
  <si>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</si>
  <si>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</si>
  <si>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</si>
  <si>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</si>
  <si>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</si>
  <si>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</si>
  <si>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</si>
  <si>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</si>
  <si>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</si>
  <si>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</si>
  <si>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</si>
  <si>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</si>
  <si>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</si>
  <si>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</si>
  <si>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N=762,133</t>
  </si>
  <si>
    <t>N=125,601</t>
  </si>
  <si>
    <t>N=9,231</t>
  </si>
  <si>
    <t>N=2,576</t>
  </si>
  <si>
    <t>N=256,783</t>
  </si>
  <si>
    <t>N=105,037</t>
  </si>
  <si>
    <t>N=355,889</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</si>
  <si>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</si>
  <si>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</si>
  <si>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</si>
  <si>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</si>
  <si>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</si>
  <si>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</si>
  <si>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</si>
  <si>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</si>
  <si>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</si>
  <si>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</si>
  <si>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</si>
  <si>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</si>
  <si>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</si>
  <si>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</si>
  <si>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</si>
  <si>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</si>
  <si>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</si>
  <si>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</si>
  <si>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</si>
  <si>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</si>
  <si>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</si>
  <si>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</si>
  <si>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</si>
  <si>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</si>
  <si>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</si>
  <si>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</si>
  <si>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</si>
  <si>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</si>
  <si>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</si>
  <si>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</si>
  <si>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</si>
  <si>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</si>
  <si>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</si>
  <si>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</si>
  <si>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</si>
  <si>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</si>
  <si>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</si>
  <si>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</si>
  <si>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</si>
  <si>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</si>
  <si>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</si>
  <si>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</si>
  <si>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</si>
  <si>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</si>
  <si>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</si>
  <si>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</si>
  <si>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</si>
  <si>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</si>
  <si>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</si>
  <si>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</si>
  <si>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</si>
  <si>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</si>
  <si>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</si>
  <si>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</si>
  <si>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</si>
  <si>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</si>
  <si>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</si>
  <si>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</si>
  <si>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</si>
  <si>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</si>
  <si>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</si>
  <si>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</si>
  <si>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</si>
  <si>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</si>
  <si>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</si>
  <si>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</si>
  <si>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</si>
  <si>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</si>
  <si>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</si>
  <si>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</si>
  <si>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</si>
  <si>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</si>
  <si>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</si>
  <si>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</si>
  <si>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</si>
  <si>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</si>
  <si>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</si>
  <si>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</si>
  <si>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</si>
  <si>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</si>
  <si>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</si>
  <si>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</si>
  <si>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</si>
  <si>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</si>
  <si>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</si>
  <si>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</si>
  <si>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</si>
  <si>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</si>
  <si>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</si>
  <si>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</si>
  <si>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</si>
  <si>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</si>
  <si>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</si>
  <si>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</si>
  <si>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</si>
  <si>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</si>
  <si>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</si>
  <si>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</si>
  <si>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</si>
  <si>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</si>
  <si>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</si>
  <si>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</si>
  <si>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</si>
  <si>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</si>
  <si>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</si>
  <si>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</si>
  <si>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</si>
  <si>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</si>
  <si>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</si>
  <si>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</si>
  <si>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</si>
  <si>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</si>
  <si>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</si>
  <si>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</si>
  <si>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</si>
  <si>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</si>
  <si>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</si>
  <si>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</si>
  <si>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</si>
  <si>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</si>
  <si>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</si>
  <si>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</si>
  <si>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</si>
  <si>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</si>
  <si>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</si>
  <si>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</si>
  <si>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</si>
  <si>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</si>
  <si>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</si>
  <si>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</si>
  <si>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</si>
  <si>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</si>
  <si>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</si>
  <si>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</si>
  <si>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</si>
  <si>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</si>
  <si>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</si>
  <si>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</si>
  <si>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</si>
  <si>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</si>
  <si>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</si>
  <si>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</si>
  <si>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</si>
  <si>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</si>
  <si>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</si>
  <si>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</si>
  <si>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</si>
  <si>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</si>
  <si>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</si>
  <si>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</si>
  <si>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</si>
  <si>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</si>
  <si>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</si>
  <si>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</si>
  <si>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</si>
  <si>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</si>
  <si>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</si>
  <si>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</si>
  <si>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</si>
  <si>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</si>
  <si>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</si>
  <si>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</si>
  <si>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</si>
  <si>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</si>
  <si>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</si>
  <si>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</si>
  <si>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</si>
  <si>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</si>
  <si>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</si>
  <si>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</si>
  <si>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</si>
  <si>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</si>
  <si>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</si>
  <si>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</si>
  <si>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</si>
  <si>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</si>
  <si>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</si>
  <si>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</si>
  <si>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</si>
  <si>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</si>
  <si>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</si>
  <si>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</si>
  <si>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</si>
  <si>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</si>
  <si>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</si>
  <si>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</si>
  <si>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</si>
  <si>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</si>
  <si>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</si>
  <si>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</si>
  <si>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</si>
  <si>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</si>
  <si>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</si>
  <si>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</si>
  <si>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</si>
  <si>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</si>
  <si>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</si>
  <si>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</si>
  <si>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</si>
  <si>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</si>
  <si>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</si>
  <si>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</si>
  <si>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</si>
  <si>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</si>
  <si>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</si>
  <si>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</si>
  <si>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</si>
  <si>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</si>
  <si>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</si>
  <si>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</si>
  <si>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</si>
  <si>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</si>
  <si>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</si>
  <si>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</si>
  <si>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</si>
  <si>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</si>
  <si>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</si>
  <si>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</si>
  <si>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</si>
  <si>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</si>
  <si>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</si>
  <si>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</si>
  <si>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</si>
  <si>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</si>
  <si>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</si>
  <si>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</si>
  <si>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</si>
  <si>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</si>
  <si>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</si>
  <si>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</si>
  <si>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</si>
  <si>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</si>
  <si>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</si>
  <si>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</si>
  <si>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</si>
  <si>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</si>
  <si>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</si>
  <si>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</si>
  <si>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</si>
  <si>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</si>
  <si>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</si>
  <si>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</si>
  <si>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</si>
  <si>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</si>
  <si>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</si>
  <si>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</si>
  <si>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</si>
  <si>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</si>
  <si>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</si>
  <si>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</si>
  <si>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</si>
  <si>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</si>
  <si>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</si>
  <si>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</si>
  <si>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</si>
  <si>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</si>
  <si>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</si>
  <si>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</si>
  <si>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</si>
  <si>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</si>
  <si>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</si>
  <si>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</si>
  <si>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</si>
  <si>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</si>
  <si>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</si>
  <si>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</si>
  <si>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</si>
  <si>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</si>
  <si>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</si>
  <si>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</si>
  <si>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</si>
  <si>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</si>
  <si>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</si>
  <si>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</si>
  <si>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</si>
  <si>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</si>
  <si>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</si>
  <si>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</si>
  <si>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</si>
  <si>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</si>
  <si>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</si>
  <si>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</si>
  <si>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</si>
  <si>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</si>
  <si>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</si>
  <si>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</si>
  <si>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</si>
  <si>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</si>
  <si>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</si>
  <si>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</si>
  <si>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</si>
  <si>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</si>
  <si>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</si>
  <si>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</si>
  <si>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</si>
  <si>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</si>
  <si>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</si>
  <si>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</si>
  <si>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</si>
  <si>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</si>
  <si>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</si>
  <si>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</si>
  <si>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</si>
  <si>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</si>
  <si>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</si>
  <si>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</si>
  <si>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</si>
  <si>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</si>
  <si>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</si>
  <si>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</si>
  <si>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</si>
  <si>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</si>
  <si>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</si>
  <si>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</si>
  <si>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</si>
  <si>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</si>
  <si>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</si>
  <si>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</si>
  <si>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</si>
  <si>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</si>
  <si>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</si>
  <si>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</si>
  <si>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</si>
  <si>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</si>
  <si>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</si>
  <si>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</si>
  <si>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</si>
  <si>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</si>
  <si>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</si>
  <si>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</si>
  <si>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</si>
  <si>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</si>
  <si>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</si>
  <si>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</si>
  <si>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</si>
  <si>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</si>
  <si>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</si>
  <si>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</si>
  <si>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</si>
  <si>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</si>
  <si>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</si>
  <si>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</si>
  <si>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</si>
  <si>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</si>
  <si>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</si>
  <si>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</si>
  <si>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</si>
  <si>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</si>
  <si>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</si>
  <si>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</si>
  <si>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</si>
  <si>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</si>
  <si>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</si>
  <si>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</si>
  <si>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</si>
  <si>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</si>
  <si>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</si>
  <si>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</si>
  <si>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</si>
  <si>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</si>
  <si>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</si>
  <si>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</si>
  <si>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</si>
  <si>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</si>
  <si>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</si>
  <si>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</si>
  <si>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</si>
  <si>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</si>
  <si>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</si>
  <si>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</si>
  <si>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</si>
  <si>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</si>
  <si>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</si>
  <si>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</si>
  <si>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</si>
  <si>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</si>
  <si>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</si>
  <si>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</si>
  <si>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</si>
  <si>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</si>
  <si>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</si>
  <si>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</si>
  <si>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</si>
  <si>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</si>
  <si>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</si>
  <si>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</si>
  <si>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3/17/2021 and include positive cases as of 3/13/2021</t>
  </si>
  <si>
    <t>Cases online are broken down by school and learning type, and do not yet include approximately 330 cases for which that information is pending. For the cases for this reporting period, there are approximately 10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</si>
  <si>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</si>
  <si>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</si>
  <si>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</si>
  <si>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</si>
  <si>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</si>
  <si>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</si>
  <si>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</si>
  <si>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</si>
  <si>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</si>
  <si>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</si>
  <si>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</si>
  <si>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Achievement First Promesa Elementary</t>
  </si>
  <si>
    <t>Achievement First Providence Mayoral Academy</t>
  </si>
  <si>
    <t>10 to 14</t>
  </si>
  <si>
    <t>Barrington High School</t>
  </si>
  <si>
    <t>25 to 29</t>
  </si>
  <si>
    <t>Barrington Middle School</t>
  </si>
  <si>
    <t>35 to 39</t>
  </si>
  <si>
    <t>Hampden Meadows School</t>
  </si>
  <si>
    <t>15 to 19</t>
  </si>
  <si>
    <t>5 to 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</si>
  <si>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</si>
  <si>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</si>
  <si>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</si>
  <si>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</si>
  <si>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</si>
  <si>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</si>
  <si>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</si>
  <si>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</si>
  <si>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</si>
  <si>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</si>
  <si>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</si>
  <si>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</si>
  <si>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</si>
  <si>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</si>
  <si>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</si>
  <si>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</si>
  <si>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</si>
  <si>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</si>
  <si>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</si>
  <si>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Kickemuit Middle School</t>
  </si>
  <si>
    <t>30 to 34</t>
  </si>
  <si>
    <t>Mt. Hope High School</t>
  </si>
  <si>
    <t>Rockwell School</t>
  </si>
  <si>
    <t>Austin T. Levy School</t>
  </si>
  <si>
    <t>Burrillville High School</t>
  </si>
  <si>
    <t>Burrillville Middle School</t>
  </si>
  <si>
    <t>Steere Farm Elementary School</t>
  </si>
  <si>
    <t>William L. Callahan School</t>
  </si>
  <si>
    <t>20 to 24</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</si>
  <si>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</si>
  <si>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</si>
  <si>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</si>
  <si>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</si>
  <si>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</si>
  <si>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</si>
  <si>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</si>
  <si>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</si>
  <si>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</si>
  <si>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</si>
  <si>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</si>
  <si>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</si>
  <si>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70 to 74</t>
  </si>
  <si>
    <t>Mercymount Country Day School</t>
  </si>
  <si>
    <t>Mount St. Charles Academy</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</si>
  <si>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</si>
  <si>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</si>
  <si>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</si>
  <si>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</si>
  <si>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</si>
  <si>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</si>
  <si>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</si>
  <si>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</si>
  <si>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</si>
  <si>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</si>
  <si>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</si>
  <si>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</si>
  <si>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</si>
  <si>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</si>
  <si>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</si>
  <si>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</si>
  <si>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</si>
  <si>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</si>
  <si>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</si>
  <si>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</si>
  <si>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</si>
  <si>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</si>
  <si>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</si>
  <si>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</si>
  <si>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</si>
  <si>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</si>
  <si>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</si>
  <si>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</si>
  <si>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</si>
  <si>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</si>
  <si>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</si>
  <si>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</si>
  <si>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</si>
  <si>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</si>
  <si>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</si>
  <si>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</si>
  <si>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</si>
  <si>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</si>
  <si>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45 to 49</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</si>
  <si>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</si>
  <si>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</si>
  <si>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</si>
  <si>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</si>
  <si>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</si>
  <si>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</si>
  <si>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</si>
  <si>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</si>
  <si>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</si>
  <si>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75 to 79</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</si>
  <si>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</si>
  <si>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</si>
  <si>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</si>
  <si>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</si>
  <si>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</si>
  <si>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</si>
  <si>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</si>
  <si>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</si>
  <si>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</si>
  <si>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</si>
  <si>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</si>
  <si>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</si>
  <si>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</si>
  <si>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</si>
  <si>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</si>
  <si>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</si>
  <si>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</si>
  <si>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</si>
  <si>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</si>
  <si>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</si>
  <si>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</si>
  <si>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</si>
  <si>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</si>
  <si>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</si>
  <si>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</si>
  <si>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</si>
  <si>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</si>
  <si>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</si>
  <si>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</si>
  <si>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</si>
  <si>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</si>
  <si>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</si>
  <si>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</si>
  <si>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</si>
  <si>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</si>
  <si>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</si>
  <si>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</si>
  <si>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</si>
  <si>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</si>
  <si>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</si>
  <si>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</si>
  <si>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</si>
  <si>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</si>
  <si>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</si>
  <si>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65 to 69</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</si>
  <si>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</si>
  <si>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</si>
  <si>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</si>
  <si>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</si>
  <si>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</si>
  <si>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</si>
  <si>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</si>
  <si>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</si>
  <si>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</si>
  <si>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</si>
  <si>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</si>
  <si>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</si>
  <si>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</si>
  <si>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</si>
  <si>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</si>
  <si>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</si>
  <si>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</si>
  <si>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</si>
  <si>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</si>
  <si>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</si>
  <si>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</si>
  <si>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</si>
  <si>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</si>
  <si>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</si>
  <si>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</si>
  <si>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</si>
  <si>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</si>
  <si>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</si>
  <si>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</si>
  <si>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</si>
  <si>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</si>
  <si>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</si>
  <si>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</si>
  <si>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</si>
  <si>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</si>
  <si>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</si>
  <si>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</si>
  <si>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</si>
  <si>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</si>
  <si>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</si>
  <si>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</si>
  <si>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</si>
  <si>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</si>
  <si>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</si>
  <si>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</si>
  <si>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</si>
  <si>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</si>
  <si>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</si>
  <si>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</si>
  <si>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</si>
  <si>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</si>
  <si>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</si>
  <si>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</si>
  <si>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</si>
  <si>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</si>
  <si>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</si>
  <si>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</si>
  <si>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</si>
  <si>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</si>
  <si>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</si>
  <si>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</si>
  <si>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</si>
  <si>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</si>
  <si>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</si>
  <si>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</si>
  <si>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</si>
  <si>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</si>
  <si>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</si>
  <si>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</si>
  <si>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</si>
  <si>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</si>
  <si>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</si>
  <si>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</si>
  <si>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</si>
  <si>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</si>
  <si>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</si>
  <si>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</si>
  <si>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</si>
  <si>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</si>
  <si>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</si>
  <si>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</si>
  <si>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</si>
  <si>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</si>
  <si>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</si>
  <si>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</si>
  <si>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</si>
  <si>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</si>
  <si>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</si>
  <si>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</si>
  <si>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</si>
  <si>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</si>
  <si>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</si>
  <si>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</si>
  <si>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</si>
  <si>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</si>
  <si>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</si>
  <si>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</si>
  <si>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</si>
  <si>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</si>
  <si>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</si>
  <si>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</si>
  <si>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</si>
  <si>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</si>
  <si>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</si>
  <si>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</si>
  <si>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</si>
  <si>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</si>
  <si>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</si>
  <si>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</si>
  <si>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</si>
  <si>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</si>
  <si>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</si>
  <si>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</si>
  <si>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</si>
  <si>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</si>
  <si>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</si>
  <si>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</si>
  <si>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</si>
  <si>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</si>
  <si>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</si>
  <si>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</si>
  <si>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</si>
  <si>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</si>
  <si>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</si>
  <si>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</si>
  <si>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</si>
  <si>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</si>
  <si>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</si>
  <si>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</si>
  <si>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</si>
  <si>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</si>
  <si>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</si>
  <si>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</si>
  <si>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</si>
  <si>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</si>
  <si>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</si>
  <si>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</si>
  <si>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</si>
  <si>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Day Spring Christian Academy</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</si>
  <si>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</si>
  <si>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</si>
  <si>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</si>
  <si>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</si>
  <si>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</si>
  <si>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</si>
  <si>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</si>
  <si>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</si>
  <si>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</si>
  <si>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</si>
  <si>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</si>
  <si>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</si>
  <si>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</si>
  <si>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</si>
  <si>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</si>
  <si>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</si>
  <si>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</si>
  <si>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</si>
  <si>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</si>
  <si>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</si>
  <si>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</si>
  <si>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</si>
  <si>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</si>
  <si>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</si>
  <si>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</si>
  <si>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</si>
  <si>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</si>
  <si>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</si>
  <si>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</si>
  <si>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</si>
  <si>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Roger Williams Day Care Center</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</si>
  <si>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</si>
  <si>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</si>
  <si>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</si>
  <si>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</si>
  <si>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</si>
  <si>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</si>
  <si>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</si>
  <si>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</si>
  <si>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</si>
  <si>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</si>
  <si>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</si>
  <si>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</si>
  <si>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</si>
  <si>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</si>
  <si>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</si>
  <si>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</si>
  <si>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</si>
  <si>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</si>
  <si>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</si>
  <si>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</si>
  <si>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</si>
  <si>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</si>
  <si>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</si>
  <si>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</si>
  <si>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</si>
  <si>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</si>
  <si>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</si>
  <si>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</si>
  <si>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</si>
  <si>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</si>
  <si>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</si>
  <si>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</si>
  <si>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</si>
  <si>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</si>
  <si>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</si>
  <si>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</si>
  <si>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</si>
  <si>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</si>
  <si>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</si>
  <si>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</si>
  <si>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</si>
  <si>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</si>
  <si>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</si>
  <si>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</si>
  <si>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</si>
  <si>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</si>
  <si>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</si>
  <si>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</si>
  <si>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</si>
  <si>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</si>
  <si>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</si>
  <si>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</si>
  <si>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</si>
  <si>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</si>
  <si>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</si>
  <si>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</si>
  <si>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</si>
  <si>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</si>
  <si>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</si>
  <si>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</si>
  <si>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</si>
  <si>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</si>
  <si>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</si>
  <si>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</si>
  <si>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</si>
  <si>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</si>
  <si>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</si>
  <si>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</si>
  <si>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</si>
  <si>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</si>
  <si>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</si>
  <si>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</si>
  <si>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</si>
  <si>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</si>
  <si>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</si>
  <si>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</si>
  <si>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</si>
  <si>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</si>
  <si>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</si>
  <si>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</si>
  <si>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</si>
  <si>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</si>
  <si>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</si>
  <si>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</si>
  <si>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</si>
  <si>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</si>
  <si>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</si>
  <si>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</si>
  <si>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</si>
  <si>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</si>
  <si>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</si>
  <si>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</si>
  <si>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</si>
  <si>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</si>
  <si>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</si>
  <si>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</si>
  <si>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</si>
  <si>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</si>
  <si>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</si>
  <si>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</si>
  <si>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</si>
  <si>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</si>
  <si>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</si>
  <si>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</si>
  <si>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</si>
  <si>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</si>
  <si>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</si>
  <si>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</si>
  <si>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</si>
  <si>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</si>
  <si>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</si>
  <si>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</si>
  <si>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</si>
  <si>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</si>
  <si>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</si>
  <si>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</si>
  <si>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</si>
  <si>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</si>
  <si>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</si>
  <si>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</si>
  <si>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</si>
  <si>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</si>
  <si>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</si>
  <si>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</si>
  <si>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</si>
  <si>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</si>
  <si>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</si>
  <si>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</si>
  <si>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</si>
  <si>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</si>
  <si>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</si>
  <si>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</si>
  <si>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</si>
  <si>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</si>
  <si>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</si>
  <si>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</si>
  <si>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</si>
  <si>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</si>
  <si>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</si>
  <si>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</si>
  <si>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</si>
  <si>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</si>
  <si>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</si>
  <si>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</si>
  <si>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</si>
  <si>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</si>
  <si>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</si>
  <si>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</si>
  <si>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</si>
  <si>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</si>
  <si>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</si>
  <si>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</si>
  <si>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</si>
  <si>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</si>
  <si>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</si>
  <si>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</si>
  <si>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</si>
  <si>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</si>
  <si>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</si>
  <si>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</si>
  <si>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</si>
  <si>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</si>
  <si>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</si>
  <si>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</si>
  <si>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</si>
  <si>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</si>
  <si>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</si>
  <si>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85 to 89</t>
  </si>
  <si>
    <t>280 to 284</t>
  </si>
  <si>
    <t>Total:</t>
  </si>
  <si>
    <t>250 to 254</t>
  </si>
  <si>
    <t>5365 to 5369</t>
  </si>
  <si>
    <t>2340 to 2344</t>
  </si>
  <si>
    <t>Virtual Cases‡</t>
  </si>
  <si>
    <t>AF Iluminar Mayoral Academy Middle School</t>
  </si>
  <si>
    <t>50 to 54</t>
  </si>
  <si>
    <t>105 to 109</t>
  </si>
  <si>
    <t>Cranston Transition Program(CTP)</t>
  </si>
  <si>
    <t>CHILD, Inc., Centerville Road</t>
  </si>
  <si>
    <t>East Side Nursery School</t>
  </si>
  <si>
    <t>Greenville Nursery School</t>
  </si>
  <si>
    <t>Hope Street School</t>
  </si>
  <si>
    <t>Kid's Kingdom</t>
  </si>
  <si>
    <t>The Genesis Daycare Center</t>
  </si>
  <si>
    <t>Providence Virtual Learning Academy</t>
  </si>
  <si>
    <t>Sheila Skip Nowell Leadership Academy (Central Campus)</t>
  </si>
  <si>
    <t>55 to 59</t>
  </si>
  <si>
    <t>80 to 84</t>
  </si>
  <si>
    <t>160 to 164</t>
  </si>
  <si>
    <t>4845 to 4849</t>
  </si>
  <si>
    <t>400 to 404</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</si>
  <si>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3/17/2021 9am.
 †New cases in past 7 days include positive cases between 3/07/2021 and 3/13/2021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</si>
  <si>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</si>
  <si>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3/17/2021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</si>
  <si>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</si>
  <si>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</si>
  <si>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</si>
  <si>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</si>
  <si>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</si>
  <si>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</si>
  <si>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</si>
  <si>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</si>
  <si>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</si>
  <si>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</si>
  <si>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</si>
  <si>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</si>
  <si>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</si>
  <si>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</si>
  <si>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</si>
  <si>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</si>
  <si>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</si>
  <si>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</si>
  <si>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</si>
  <si>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</si>
  <si>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</si>
  <si>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</si>
  <si>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</si>
  <si>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</si>
  <si>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</si>
  <si>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</si>
  <si>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</si>
  <si>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</si>
  <si>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</si>
  <si>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</si>
  <si>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</si>
  <si>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</si>
  <si>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</si>
  <si>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</si>
  <si>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</si>
  <si>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</si>
  <si>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</si>
  <si>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Golden Crest (North Providence)</t>
  </si>
  <si>
    <t>110 to 114</t>
  </si>
  <si>
    <t>Grace Barker Nursing Home (Warren)</t>
  </si>
  <si>
    <t>Grand Islander (Middletown)</t>
  </si>
  <si>
    <t>Grandview Center (Cumberland)</t>
  </si>
  <si>
    <t>Greenville Skilled Nursing &amp; Rehabilitation (Greenville)</t>
  </si>
  <si>
    <t>90 to 94</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</si>
  <si>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</si>
  <si>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</si>
  <si>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</si>
  <si>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</si>
  <si>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</si>
  <si>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</si>
  <si>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</si>
  <si>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</si>
  <si>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</si>
  <si>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</si>
  <si>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</si>
  <si>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</si>
  <si>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</si>
  <si>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</si>
  <si>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</si>
  <si>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</si>
  <si>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</si>
  <si>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</si>
  <si>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</si>
  <si>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Mount St. Rita (Cumberland)</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</si>
  <si>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</si>
  <si>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</si>
  <si>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</si>
  <si>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</si>
  <si>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</si>
  <si>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</si>
  <si>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</si>
  <si>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</si>
  <si>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</si>
  <si>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</si>
  <si>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</si>
  <si>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</si>
  <si>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</si>
  <si>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</si>
  <si>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</si>
  <si>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</si>
  <si>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</si>
  <si>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100 to 104</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</si>
  <si>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</si>
  <si>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</si>
  <si>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</si>
  <si>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</si>
  <si>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</si>
  <si>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</si>
  <si>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</si>
  <si>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</si>
  <si>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</si>
  <si>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</si>
  <si>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</si>
  <si>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</si>
  <si>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</si>
  <si>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</si>
  <si>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</si>
  <si>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</si>
  <si>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</si>
  <si>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</si>
  <si>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</si>
  <si>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</si>
  <si>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5770 to 5774</t>
  </si>
  <si>
    <t>1460 to 1464</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</si>
  <si>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</si>
  <si>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</si>
  <si>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</si>
  <si>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</si>
  <si>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</si>
  <si>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</si>
  <si>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</si>
  <si>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</si>
  <si>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</si>
  <si>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</si>
  <si>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</si>
  <si>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</si>
  <si>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</si>
  <si>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</si>
  <si>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</si>
  <si>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</si>
  <si>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</si>
  <si>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</si>
  <si>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</si>
  <si>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</si>
  <si>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</si>
  <si>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</si>
  <si>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</si>
  <si>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</si>
  <si>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</si>
  <si>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</si>
  <si>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</si>
  <si>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</si>
  <si>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</si>
  <si>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</si>
  <si>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</si>
  <si>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</si>
  <si>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</si>
  <si>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</si>
  <si>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</si>
  <si>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</si>
  <si>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</si>
  <si>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</si>
  <si>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</si>
  <si>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</si>
  <si>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</si>
  <si>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</si>
  <si>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</si>
  <si>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</si>
  <si>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</si>
  <si>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</si>
  <si>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</si>
  <si>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</si>
  <si>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</si>
  <si>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</si>
  <si>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1075 to 1079</t>
  </si>
  <si>
    <t>170 to 174</t>
  </si>
  <si>
    <t>Note: These data are updated weekly and represent cumulative number of cases and deaths, and number of new resident cases in the past 14 days at each facility. Because these data will change throughout the week, number ranges are being presented. Data last updated 3/17/2021.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</si>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</sst>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41">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name val="Arial"/>
    </font>
    <font>
      <b/>
      <name val="Arial"/>
    </font>
    <font>
      <b/>
      <color theme="1"/>
      <name val="Arial"/>
    </font>
    <font>
      <i/>
      <color rgb="FF000000"/>
      <name val="Arial"/>
    </font>
    <font>
      <b/>
      <sz val="10.0"/>
      <color theme="1"/>
      <name val="Arial"/>
    </font>
    <font>
      <b/>
      <sz val="10.0"/>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3" numFmtId="164" xfId="0" applyAlignment="1" applyBorder="1" applyFont="1" applyNumberFormat="1">
      <alignment horizontal="center" readingOrder="0"/>
    </xf>
    <xf borderId="4"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shrinkToFit="0" wrapText="0"/>
    </xf>
    <xf borderId="4" fillId="0" fontId="3" numFmtId="9" xfId="0" applyAlignment="1" applyBorder="1" applyFont="1" applyNumberFormat="1">
      <alignment horizontal="center" readingOrder="0" shrinkToFit="0" wrapText="0"/>
    </xf>
    <xf borderId="4" fillId="0" fontId="3" numFmtId="0" xfId="0" applyAlignment="1" applyBorder="1" applyFont="1">
      <alignment horizontal="center" readingOrder="0" shrinkToFit="0" wrapText="0"/>
    </xf>
    <xf borderId="1" fillId="0" fontId="3" numFmtId="0" xfId="0" applyAlignment="1" applyBorder="1" applyFont="1">
      <alignment horizontal="center" readingOrder="0" shrinkToFit="0" wrapText="0"/>
    </xf>
    <xf borderId="1" fillId="0" fontId="3"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3" numFmtId="0" xfId="0" applyAlignment="1" applyBorder="1" applyFont="1">
      <alignment horizontal="center" readingOrder="0"/>
    </xf>
    <xf borderId="1" fillId="0" fontId="3" numFmtId="0" xfId="0" applyAlignment="1" applyBorder="1" applyFont="1">
      <alignment horizontal="center" readingOrder="0"/>
    </xf>
    <xf borderId="1"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3"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5" numFmtId="0" xfId="0" applyAlignment="1" applyBorder="1" applyFont="1">
      <alignment horizontal="left" readingOrder="0" shrinkToFit="0" vertical="bottom" wrapText="0"/>
    </xf>
    <xf borderId="8" fillId="14" fontId="36" numFmtId="0" xfId="0" applyAlignment="1" applyBorder="1" applyFont="1">
      <alignment horizontal="left" readingOrder="0" shrinkToFit="0" vertical="bottom" wrapText="1"/>
    </xf>
    <xf borderId="0" fillId="19" fontId="37" numFmtId="0" xfId="0" applyAlignment="1" applyFill="1" applyFont="1">
      <alignment shrinkToFit="0" vertical="bottom" wrapText="1"/>
    </xf>
    <xf borderId="1" fillId="19" fontId="38" numFmtId="0" xfId="0" applyAlignment="1" applyBorder="1" applyFont="1">
      <alignment readingOrder="0" shrinkToFit="0" vertical="bottom" wrapText="1"/>
    </xf>
    <xf borderId="1" fillId="19" fontId="37" numFmtId="0" xfId="0" applyAlignment="1" applyBorder="1" applyFont="1">
      <alignment shrinkToFit="0" vertical="bottom" wrapText="1"/>
    </xf>
    <xf borderId="1" fillId="20" fontId="37" numFmtId="0" xfId="0" applyAlignment="1" applyBorder="1" applyFill="1" applyFont="1">
      <alignment shrinkToFit="0" vertical="bottom" wrapText="1"/>
    </xf>
    <xf borderId="1" fillId="21" fontId="37" numFmtId="0" xfId="0" applyAlignment="1" applyBorder="1" applyFill="1" applyFont="1">
      <alignment horizontal="center" shrinkToFit="0" vertical="bottom" wrapText="1"/>
    </xf>
    <xf borderId="1" fillId="22" fontId="37"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9" numFmtId="0" xfId="0" applyAlignment="1" applyBorder="1" applyFont="1">
      <alignment horizontal="left" readingOrder="0"/>
    </xf>
    <xf borderId="4" fillId="0" fontId="39" numFmtId="0" xfId="0" applyAlignment="1" applyBorder="1" applyFont="1">
      <alignment horizontal="center" readingOrder="0" shrinkToFit="0" wrapText="0"/>
    </xf>
    <xf borderId="10" fillId="0" fontId="39" numFmtId="0" xfId="0" applyAlignment="1" applyBorder="1" applyFont="1">
      <alignment horizontal="center" readingOrder="0" shrinkToFit="0" wrapText="0"/>
    </xf>
    <xf borderId="2" fillId="0" fontId="39" numFmtId="0" xfId="0" applyAlignment="1" applyBorder="1" applyFont="1">
      <alignment horizontal="center" readingOrder="0" shrinkToFit="0" wrapText="0"/>
    </xf>
    <xf borderId="2" fillId="0" fontId="39" numFmtId="0" xfId="0" applyAlignment="1" applyBorder="1" applyFont="1">
      <alignment horizontal="left" readingOrder="0" shrinkToFit="0" wrapText="0"/>
    </xf>
    <xf borderId="10" fillId="0" fontId="39" numFmtId="0" xfId="0" applyAlignment="1" applyBorder="1" applyFont="1">
      <alignment horizontal="center" readingOrder="0"/>
    </xf>
    <xf borderId="2" fillId="0" fontId="39" numFmtId="0" xfId="0" applyAlignment="1" applyBorder="1" applyFont="1">
      <alignment horizontal="left" readingOrder="0" vertical="bottom"/>
    </xf>
    <xf borderId="4" fillId="0" fontId="39" numFmtId="0" xfId="0" applyAlignment="1" applyBorder="1" applyFont="1">
      <alignment horizontal="center" readingOrder="0" vertical="bottom"/>
    </xf>
    <xf borderId="10" fillId="0" fontId="39" numFmtId="0" xfId="0" applyAlignment="1" applyBorder="1" applyFont="1">
      <alignment horizontal="center" readingOrder="0" shrinkToFit="0" vertical="bottom" wrapText="0"/>
    </xf>
    <xf borderId="2" fillId="0" fontId="39" numFmtId="0" xfId="0" applyAlignment="1" applyBorder="1" applyFont="1">
      <alignment horizontal="center" readingOrder="0" shrinkToFit="0" vertical="bottom" wrapText="0"/>
    </xf>
    <xf borderId="2" fillId="0" fontId="39" numFmtId="0" xfId="0" applyAlignment="1" applyBorder="1" applyFont="1">
      <alignment horizontal="left" readingOrder="0" shrinkToFit="0" vertical="bottom" wrapText="0"/>
    </xf>
    <xf borderId="4" fillId="0" fontId="39"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9" numFmtId="0" xfId="0" applyAlignment="1" applyBorder="1" applyFont="1">
      <alignment horizontal="center" readingOrder="0" shrinkToFit="0" vertical="bottom" wrapText="0"/>
    </xf>
    <xf borderId="2" fillId="0" fontId="39" numFmtId="0" xfId="0" applyAlignment="1" applyBorder="1" applyFont="1">
      <alignment readingOrder="0" vertical="bottom"/>
    </xf>
    <xf borderId="2" fillId="0" fontId="39" numFmtId="0" xfId="0" applyAlignment="1" applyBorder="1" applyFont="1">
      <alignment horizontal="left" readingOrder="0" shrinkToFit="0" vertical="bottom" wrapText="1"/>
    </xf>
    <xf borderId="2" fillId="0" fontId="40" numFmtId="0" xfId="0" applyAlignment="1" applyBorder="1" applyFont="1">
      <alignment horizontal="right" readingOrder="0" vertical="bottom"/>
    </xf>
    <xf borderId="4" fillId="0" fontId="40" numFmtId="0" xfId="0" applyAlignment="1" applyBorder="1" applyFont="1">
      <alignment horizontal="center" readingOrder="0" vertical="bottom"/>
    </xf>
    <xf borderId="10" fillId="0" fontId="40" numFmtId="0" xfId="0" applyAlignment="1" applyBorder="1" applyFont="1">
      <alignment horizontal="center" readingOrder="0" vertical="bottom"/>
    </xf>
    <xf borderId="2" fillId="0" fontId="40" numFmtId="0" xfId="0" applyAlignment="1" applyBorder="1" applyFont="1">
      <alignment horizontal="center" readingOrder="0" shrinkToFit="0" vertical="bottom" wrapText="0"/>
    </xf>
    <xf borderId="4" fillId="0" fontId="39" numFmtId="0" xfId="0" applyAlignment="1" applyBorder="1" applyFont="1">
      <alignment horizontal="center" readingOrder="0"/>
    </xf>
    <xf borderId="2" fillId="0" fontId="39" numFmtId="0" xfId="0" applyAlignment="1" applyBorder="1" applyFont="1">
      <alignment horizontal="center" readingOrder="0"/>
    </xf>
    <xf borderId="10" fillId="0" fontId="39" numFmtId="0" xfId="0" applyAlignment="1" applyBorder="1" applyFont="1">
      <alignment horizontal="center" readingOrder="0" vertical="bottom"/>
    </xf>
    <xf borderId="2" fillId="0" fontId="39" numFmtId="0" xfId="0" applyAlignment="1" applyBorder="1" applyFont="1">
      <alignment horizontal="center" readingOrder="0" vertical="bottom"/>
    </xf>
    <xf borderId="2" fillId="0" fontId="39" numFmtId="0" xfId="0" applyAlignment="1" applyBorder="1" applyFont="1">
      <alignment readingOrder="0" shrinkToFit="0" vertical="bottom" wrapText="0"/>
    </xf>
    <xf borderId="11" fillId="0" fontId="36"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44272.0</v>
      </c>
    </row>
    <row r="2" ht="14.25" customHeight="1">
      <c r="A2" s="3" t="s">
        <v>1</v>
      </c>
      <c r="B2" s="4">
        <v>412.0</v>
      </c>
    </row>
    <row r="3" ht="14.25" customHeight="1">
      <c r="A3" s="3" t="s">
        <v>2</v>
      </c>
      <c r="B3" s="4">
        <v>297.0</v>
      </c>
    </row>
    <row r="4" ht="14.25" customHeight="1">
      <c r="A4" s="3" t="s">
        <v>3</v>
      </c>
      <c r="B4" s="4">
        <v>156939.0</v>
      </c>
    </row>
    <row r="5" ht="14.25" customHeight="1">
      <c r="A5" s="3" t="s">
        <v>4</v>
      </c>
      <c r="B5" s="4">
        <v>18448.0</v>
      </c>
    </row>
    <row r="6" ht="14.25" customHeight="1">
      <c r="A6" s="5" t="s">
        <v>5</v>
      </c>
      <c r="B6" s="4">
        <v>3120388.0</v>
      </c>
    </row>
    <row r="7" ht="14.25" customHeight="1">
      <c r="A7" s="6" t="s">
        <v>6</v>
      </c>
      <c r="B7" s="4">
        <v>18860.0</v>
      </c>
    </row>
    <row r="8" ht="14.25" customHeight="1">
      <c r="A8" s="6" t="s">
        <v>7</v>
      </c>
      <c r="B8" s="7">
        <v>3277327.0</v>
      </c>
    </row>
    <row r="9" ht="14.25" customHeight="1">
      <c r="A9" s="8" t="s">
        <v>8</v>
      </c>
      <c r="B9" s="7">
        <v>384.0</v>
      </c>
    </row>
    <row r="10" ht="14.25" customHeight="1">
      <c r="A10" s="9" t="s">
        <v>9</v>
      </c>
      <c r="B10" s="7">
        <v>268.0</v>
      </c>
    </row>
    <row r="11" ht="14.25" customHeight="1">
      <c r="A11" s="8" t="s">
        <v>10</v>
      </c>
      <c r="B11" s="7">
        <v>132184.0</v>
      </c>
    </row>
    <row r="12" ht="14.25" customHeight="1">
      <c r="A12" s="8" t="s">
        <v>11</v>
      </c>
      <c r="B12" s="7">
        <v>1411.0</v>
      </c>
    </row>
    <row r="13" ht="14.25" customHeight="1">
      <c r="A13" s="8" t="s">
        <v>12</v>
      </c>
      <c r="B13" s="7">
        <v>690716.0</v>
      </c>
    </row>
    <row r="14" ht="15.0" customHeight="1">
      <c r="A14" s="8" t="s">
        <v>13</v>
      </c>
      <c r="B14" s="7">
        <v>822900.0</v>
      </c>
    </row>
    <row r="15" ht="14.25" customHeight="1">
      <c r="A15" s="10" t="s">
        <v>14</v>
      </c>
      <c r="B15" s="4">
        <v>15.0</v>
      </c>
    </row>
    <row r="16" ht="14.25" customHeight="1">
      <c r="A16" s="10" t="s">
        <v>15</v>
      </c>
      <c r="B16" s="4">
        <v>9268.0</v>
      </c>
    </row>
    <row r="17" ht="14.25" customHeight="1">
      <c r="A17" s="10" t="s">
        <v>16</v>
      </c>
      <c r="B17" s="4">
        <v>20.0</v>
      </c>
    </row>
    <row r="18" ht="14.25" customHeight="1">
      <c r="A18" s="10" t="s">
        <v>17</v>
      </c>
      <c r="B18" s="4">
        <v>8107.0</v>
      </c>
    </row>
    <row r="19" ht="14.25" customHeight="1">
      <c r="A19" s="10" t="s">
        <v>18</v>
      </c>
      <c r="B19" s="4">
        <v>2.0</v>
      </c>
    </row>
    <row r="20" ht="14.25" customHeight="1">
      <c r="A20" s="10" t="s">
        <v>19</v>
      </c>
      <c r="B20" s="4">
        <v>1031.0</v>
      </c>
    </row>
    <row r="21" ht="14.25" customHeight="1">
      <c r="A21" s="10" t="s">
        <v>20</v>
      </c>
      <c r="B21" s="7">
        <v>130.0</v>
      </c>
    </row>
    <row r="22" ht="14.25" customHeight="1">
      <c r="A22" s="10" t="s">
        <v>21</v>
      </c>
      <c r="B22" s="7">
        <v>136.0</v>
      </c>
    </row>
    <row r="23" ht="14.25" customHeight="1">
      <c r="A23" s="10" t="s">
        <v>22</v>
      </c>
      <c r="B23" s="7">
        <v>17.0</v>
      </c>
    </row>
    <row r="24" ht="14.25" customHeight="1">
      <c r="A24" s="10" t="s">
        <v>23</v>
      </c>
      <c r="B24" s="7">
        <v>14.0</v>
      </c>
    </row>
    <row r="25" ht="14.25" customHeight="1">
      <c r="A25" s="11" t="s">
        <v>24</v>
      </c>
      <c r="B25" s="7">
        <v>5.0</v>
      </c>
    </row>
    <row r="26" ht="14.25" customHeight="1">
      <c r="A26" s="12" t="s">
        <v>25</v>
      </c>
      <c r="B26" s="7">
        <v>2588.0</v>
      </c>
    </row>
    <row r="27" ht="14.25" customHeight="1">
      <c r="A27" s="13" t="s">
        <v>26</v>
      </c>
      <c r="B27" s="14">
        <v>1701.0</v>
      </c>
    </row>
    <row r="28" ht="14.25" customHeight="1">
      <c r="A28" s="15" t="s">
        <v>27</v>
      </c>
      <c r="B28" s="16">
        <v>6546.0</v>
      </c>
    </row>
    <row r="29" ht="14.25" customHeight="1">
      <c r="A29" s="15" t="s">
        <v>28</v>
      </c>
      <c r="B29" s="16">
        <v>8247.0</v>
      </c>
    </row>
    <row r="30" ht="14.25" customHeight="1">
      <c r="A30" s="15" t="s">
        <v>29</v>
      </c>
      <c r="B30" s="16">
        <v>398357.0</v>
      </c>
    </row>
    <row r="31" ht="14.25" customHeight="1">
      <c r="A31" s="15" t="s">
        <v>30</v>
      </c>
      <c r="B31" s="16">
        <v>1701.0</v>
      </c>
    </row>
    <row r="32" ht="14.25" customHeight="1">
      <c r="A32" s="15" t="s">
        <v>31</v>
      </c>
      <c r="B32" s="16">
        <v>278866.0</v>
      </c>
    </row>
    <row r="33" ht="14.25" customHeight="1">
      <c r="A33" s="15" t="s">
        <v>32</v>
      </c>
      <c r="B33" s="17">
        <v>6815.0</v>
      </c>
    </row>
    <row r="34" ht="14.25" customHeight="1">
      <c r="A34" s="15" t="s">
        <v>33</v>
      </c>
      <c r="B34" s="17">
        <v>126358.0</v>
      </c>
    </row>
    <row r="35" ht="31.5" customHeight="1">
      <c r="A35" s="18" t="s">
        <v>34</v>
      </c>
      <c r="B35" s="17">
        <v>3252572.0</v>
      </c>
    </row>
    <row r="36" ht="14.25" customHeight="1">
      <c r="A36" s="18" t="s">
        <v>35</v>
      </c>
      <c r="B36" s="17">
        <v>18832.0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85.0</v>
      </c>
      <c r="M20" s="29">
        <v>427.0</v>
      </c>
      <c r="N20" s="29">
        <v>449.0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561.0</v>
      </c>
      <c r="N21" s="29">
        <v>595.0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658.0</v>
      </c>
      <c r="N22" s="29">
        <v>703.0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231.0</v>
      </c>
      <c r="M23" s="29">
        <v>889.0</v>
      </c>
      <c r="N23" s="29">
        <v>951.0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1066.0</v>
      </c>
      <c r="N24" s="29">
        <v>1141.0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1171.0</v>
      </c>
      <c r="N25" s="29">
        <v>1260.0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1411.0</v>
      </c>
      <c r="N26" s="29">
        <v>1525.0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1564.0</v>
      </c>
      <c r="N27" s="29">
        <v>1694.0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206.0</v>
      </c>
      <c r="M28" s="29">
        <v>1770.0</v>
      </c>
      <c r="N28" s="29">
        <v>1919.0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1920.0</v>
      </c>
      <c r="N29" s="29">
        <v>2097.0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152.0</v>
      </c>
      <c r="M30" s="29">
        <v>2072.0</v>
      </c>
      <c r="N30" s="29">
        <v>2290.0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2247.0</v>
      </c>
      <c r="N31" s="29">
        <v>2497.0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2465.0</v>
      </c>
      <c r="N32" s="29">
        <v>2780.0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2740.0</v>
      </c>
      <c r="N33" s="29">
        <v>3160.0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2902.0</v>
      </c>
      <c r="N34" s="29">
        <v>3402.0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3166.0</v>
      </c>
      <c r="N35" s="29">
        <v>3739.0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542.0</v>
      </c>
      <c r="M36" s="29">
        <v>3708.0</v>
      </c>
      <c r="N36" s="29">
        <v>4381.0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384.0</v>
      </c>
      <c r="M37" s="29">
        <v>4092.0</v>
      </c>
      <c r="N37" s="29">
        <v>4827.0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4710.0</v>
      </c>
      <c r="N38" s="29">
        <v>5543.0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5259.0</v>
      </c>
      <c r="N39" s="29">
        <v>6230.0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6178.0</v>
      </c>
      <c r="N40" s="29">
        <v>7330.0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1391.0</v>
      </c>
      <c r="M41" s="29">
        <v>7569.0</v>
      </c>
      <c r="N41" s="29">
        <v>8927.0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1298.0</v>
      </c>
      <c r="M42" s="29">
        <v>8867.0</v>
      </c>
      <c r="N42" s="29">
        <v>10485.0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1373.0</v>
      </c>
      <c r="M43" s="29">
        <v>10240.0</v>
      </c>
      <c r="N43" s="29">
        <v>12129.0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1193.0</v>
      </c>
      <c r="M44" s="29">
        <v>11433.0</v>
      </c>
      <c r="N44" s="29">
        <v>13599.0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2065.0</v>
      </c>
      <c r="M45" s="29">
        <v>13498.0</v>
      </c>
      <c r="N45" s="29">
        <v>16064.0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1511.0</v>
      </c>
      <c r="M46" s="29">
        <v>15009.0</v>
      </c>
      <c r="N46" s="29">
        <v>17855.0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1233.0</v>
      </c>
      <c r="M47" s="29">
        <v>16242.0</v>
      </c>
      <c r="N47" s="29">
        <v>19374.0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736.0</v>
      </c>
      <c r="M48" s="29">
        <v>16978.0</v>
      </c>
      <c r="N48" s="29">
        <v>20297.0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1309.0</v>
      </c>
      <c r="M49" s="29">
        <v>18287.0</v>
      </c>
      <c r="N49" s="29">
        <v>21868.0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1321.0</v>
      </c>
      <c r="M50" s="29">
        <v>19608.0</v>
      </c>
      <c r="N50" s="29">
        <v>23495.0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1798.0</v>
      </c>
      <c r="M51" s="29">
        <v>21406.0</v>
      </c>
      <c r="N51" s="29">
        <v>25677.0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1242.0</v>
      </c>
      <c r="M52" s="29">
        <v>22648.0</v>
      </c>
      <c r="N52" s="29">
        <v>27210.0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1156.0</v>
      </c>
      <c r="M53" s="29">
        <v>23804.0</v>
      </c>
      <c r="N53" s="29">
        <v>28651.0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1523.0</v>
      </c>
      <c r="M54" s="29">
        <v>25327.0</v>
      </c>
      <c r="N54" s="29">
        <v>30511.0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1342.0</v>
      </c>
      <c r="M55" s="29">
        <v>26669.0</v>
      </c>
      <c r="N55" s="29">
        <v>32228.0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1473.0</v>
      </c>
      <c r="M56" s="29">
        <v>28142.0</v>
      </c>
      <c r="N56" s="29">
        <v>34084.0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1617.0</v>
      </c>
      <c r="M57" s="29">
        <v>29759.0</v>
      </c>
      <c r="N57" s="29">
        <v>36081.0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1588.0</v>
      </c>
      <c r="M58" s="29">
        <v>31347.0</v>
      </c>
      <c r="N58" s="29">
        <v>38080.0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2095.0</v>
      </c>
      <c r="M59" s="29">
        <v>33442.0</v>
      </c>
      <c r="N59" s="29">
        <v>40580.0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1461.0</v>
      </c>
      <c r="M60" s="29">
        <v>34903.0</v>
      </c>
      <c r="N60" s="29">
        <v>42340.0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1625.0</v>
      </c>
      <c r="M61" s="29">
        <v>36528.0</v>
      </c>
      <c r="N61" s="29">
        <v>44239.0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985.0</v>
      </c>
      <c r="M62" s="29">
        <v>37513.0</v>
      </c>
      <c r="N62" s="29">
        <v>45430.0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1392.0</v>
      </c>
      <c r="M63" s="29">
        <v>38905.0</v>
      </c>
      <c r="N63" s="29">
        <v>47152.0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2013.0</v>
      </c>
      <c r="M64" s="29">
        <v>40918.0</v>
      </c>
      <c r="N64" s="29">
        <v>49536.0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1572.0</v>
      </c>
      <c r="M65" s="29">
        <v>42490.0</v>
      </c>
      <c r="N65" s="29">
        <v>51458.0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1789.0</v>
      </c>
      <c r="M66" s="29">
        <v>44279.0</v>
      </c>
      <c r="N66" s="29">
        <v>53570.0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193.0</v>
      </c>
      <c r="J67" s="29">
        <v>289.0</v>
      </c>
      <c r="K67" s="29">
        <v>9484.0</v>
      </c>
      <c r="L67" s="29">
        <v>1096.0</v>
      </c>
      <c r="M67" s="29">
        <v>45375.0</v>
      </c>
      <c r="N67" s="29">
        <v>54859.0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9667.0</v>
      </c>
      <c r="L68" s="29">
        <v>1309.0</v>
      </c>
      <c r="M68" s="29">
        <v>46684.0</v>
      </c>
      <c r="N68" s="29">
        <v>56351.0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9957.0</v>
      </c>
      <c r="L69" s="29">
        <v>1370.0</v>
      </c>
      <c r="M69" s="29">
        <v>48054.0</v>
      </c>
      <c r="N69" s="29">
        <v>58011.0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10257.0</v>
      </c>
      <c r="L70" s="29">
        <v>1716.0</v>
      </c>
      <c r="M70" s="29">
        <v>49770.0</v>
      </c>
      <c r="N70" s="29">
        <v>60027.0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10596.0</v>
      </c>
      <c r="L71" s="29">
        <v>1637.0</v>
      </c>
      <c r="M71" s="29">
        <v>51407.0</v>
      </c>
      <c r="N71" s="29">
        <v>62003.0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10867.0</v>
      </c>
      <c r="L72" s="29">
        <v>1664.0</v>
      </c>
      <c r="M72" s="29">
        <v>53071.0</v>
      </c>
      <c r="N72" s="29">
        <v>63938.0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11096.0</v>
      </c>
      <c r="L73" s="29">
        <v>1448.0</v>
      </c>
      <c r="M73" s="29">
        <v>54519.0</v>
      </c>
      <c r="N73" s="29">
        <v>65615.0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11384.0</v>
      </c>
      <c r="L74" s="29">
        <v>1949.0</v>
      </c>
      <c r="M74" s="29">
        <v>56468.0</v>
      </c>
      <c r="N74" s="29">
        <v>67852.0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11574.0</v>
      </c>
      <c r="L75" s="29">
        <v>1320.0</v>
      </c>
      <c r="M75" s="29">
        <v>57788.0</v>
      </c>
      <c r="N75" s="29">
        <v>69362.0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11747.0</v>
      </c>
      <c r="L76" s="29">
        <v>1151.0</v>
      </c>
      <c r="M76" s="29">
        <v>58939.0</v>
      </c>
      <c r="N76" s="29">
        <v>70686.0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11972.0</v>
      </c>
      <c r="L77" s="29">
        <v>1420.0</v>
      </c>
      <c r="M77" s="29">
        <v>60359.0</v>
      </c>
      <c r="N77" s="29">
        <v>72331.0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12171.0</v>
      </c>
      <c r="L78" s="29">
        <v>1712.0</v>
      </c>
      <c r="M78" s="29">
        <v>62071.0</v>
      </c>
      <c r="N78" s="29">
        <v>74242.0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12404.0</v>
      </c>
      <c r="L79" s="29">
        <v>1740.0</v>
      </c>
      <c r="M79" s="29">
        <v>63811.0</v>
      </c>
      <c r="N79" s="29">
        <v>76215.0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12636.0</v>
      </c>
      <c r="L80" s="29">
        <v>1587.0</v>
      </c>
      <c r="M80" s="29">
        <v>65398.0</v>
      </c>
      <c r="N80" s="29">
        <v>78034.0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12883.0</v>
      </c>
      <c r="L81" s="29">
        <v>1690.0</v>
      </c>
      <c r="M81" s="29">
        <v>67088.0</v>
      </c>
      <c r="N81" s="29">
        <v>79971.0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13009.0</v>
      </c>
      <c r="L82" s="29">
        <v>1352.0</v>
      </c>
      <c r="M82" s="29">
        <v>68440.0</v>
      </c>
      <c r="N82" s="29">
        <v>81449.0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13143.0</v>
      </c>
      <c r="L83" s="29">
        <v>1231.0</v>
      </c>
      <c r="M83" s="29">
        <v>69671.0</v>
      </c>
      <c r="N83" s="29">
        <v>82814.0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13358.0</v>
      </c>
      <c r="L84" s="29">
        <v>1724.0</v>
      </c>
      <c r="M84" s="29">
        <v>71395.0</v>
      </c>
      <c r="N84" s="29">
        <v>84753.0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13541.0</v>
      </c>
      <c r="L85" s="29">
        <v>1362.0</v>
      </c>
      <c r="M85" s="29">
        <v>72757.0</v>
      </c>
      <c r="N85" s="29">
        <v>86298.0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13709.0</v>
      </c>
      <c r="L86" s="29">
        <v>1738.0</v>
      </c>
      <c r="M86" s="29">
        <v>74495.0</v>
      </c>
      <c r="N86" s="29">
        <v>88204.0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13915.0</v>
      </c>
      <c r="L87" s="29">
        <v>1417.0</v>
      </c>
      <c r="M87" s="29">
        <v>75912.0</v>
      </c>
      <c r="N87" s="29">
        <v>89827.0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14024.0</v>
      </c>
      <c r="L88" s="29">
        <v>1139.0</v>
      </c>
      <c r="M88" s="29">
        <v>77051.0</v>
      </c>
      <c r="N88" s="29">
        <v>91075.0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14108.0</v>
      </c>
      <c r="L89" s="29">
        <v>693.0</v>
      </c>
      <c r="M89" s="29">
        <v>77744.0</v>
      </c>
      <c r="N89" s="29">
        <v>91852.0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14185.0</v>
      </c>
      <c r="L90" s="29">
        <v>635.0</v>
      </c>
      <c r="M90" s="29">
        <v>78379.0</v>
      </c>
      <c r="N90" s="29">
        <v>92564.0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14343.0</v>
      </c>
      <c r="L91" s="29">
        <v>1465.0</v>
      </c>
      <c r="M91" s="29">
        <v>79844.0</v>
      </c>
      <c r="N91" s="29">
        <v>94187.0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14475.0</v>
      </c>
      <c r="L92" s="29">
        <v>1027.0</v>
      </c>
      <c r="M92" s="29">
        <v>80871.0</v>
      </c>
      <c r="N92" s="29">
        <v>95346.0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14605.0</v>
      </c>
      <c r="L93" s="29">
        <v>978.0</v>
      </c>
      <c r="M93" s="29">
        <v>81849.0</v>
      </c>
      <c r="N93" s="29">
        <v>96454.0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14780.0</v>
      </c>
      <c r="L94" s="29">
        <v>1383.0</v>
      </c>
      <c r="M94" s="29">
        <v>83232.0</v>
      </c>
      <c r="N94" s="29">
        <v>98012.0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14889.0</v>
      </c>
      <c r="L95" s="29">
        <v>1552.0</v>
      </c>
      <c r="M95" s="29">
        <v>84784.0</v>
      </c>
      <c r="N95" s="29">
        <v>99673.0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14967.0</v>
      </c>
      <c r="L96" s="29">
        <v>748.0</v>
      </c>
      <c r="M96" s="29">
        <v>85532.0</v>
      </c>
      <c r="N96" s="29">
        <v>100499.0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15060.0</v>
      </c>
      <c r="L97" s="29">
        <v>1235.0</v>
      </c>
      <c r="M97" s="29">
        <v>86767.0</v>
      </c>
      <c r="N97" s="29">
        <v>101827.0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15158.0</v>
      </c>
      <c r="L98" s="29">
        <v>1280.0</v>
      </c>
      <c r="M98" s="29">
        <v>88047.0</v>
      </c>
      <c r="N98" s="29">
        <v>103205.0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15257.0</v>
      </c>
      <c r="L99" s="29">
        <v>1501.0</v>
      </c>
      <c r="M99" s="29">
        <v>89548.0</v>
      </c>
      <c r="N99" s="29">
        <v>104805.0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15364.0</v>
      </c>
      <c r="L100" s="29">
        <v>1792.0</v>
      </c>
      <c r="M100" s="29">
        <v>91340.0</v>
      </c>
      <c r="N100" s="29">
        <v>106704.0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15463.0</v>
      </c>
      <c r="L101" s="29">
        <v>1349.0</v>
      </c>
      <c r="M101" s="29">
        <v>92689.0</v>
      </c>
      <c r="N101" s="29">
        <v>108152.0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15530.0</v>
      </c>
      <c r="L102" s="29">
        <v>998.0</v>
      </c>
      <c r="M102" s="29">
        <v>93687.0</v>
      </c>
      <c r="N102" s="29">
        <v>109217.0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15580.0</v>
      </c>
      <c r="L103" s="29">
        <v>714.0</v>
      </c>
      <c r="M103" s="29">
        <v>94401.0</v>
      </c>
      <c r="N103" s="29">
        <v>109981.0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15624.0</v>
      </c>
      <c r="L104" s="36">
        <v>870.0</v>
      </c>
      <c r="M104" s="36">
        <v>95271.0</v>
      </c>
      <c r="N104" s="36">
        <v>110895.0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15688.0</v>
      </c>
      <c r="L105" s="36">
        <v>1132.0</v>
      </c>
      <c r="M105" s="36">
        <v>96403.0</v>
      </c>
      <c r="N105" s="36">
        <v>112091.0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15789.0</v>
      </c>
      <c r="L106" s="36">
        <v>1340.0</v>
      </c>
      <c r="M106" s="36">
        <v>97743.0</v>
      </c>
      <c r="N106" s="36">
        <v>113532.0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15877.0</v>
      </c>
      <c r="L107" s="36">
        <v>1390.0</v>
      </c>
      <c r="M107" s="36">
        <v>99133.0</v>
      </c>
      <c r="N107" s="36">
        <v>115010.0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15955.0</v>
      </c>
      <c r="L108" s="36">
        <v>1873.0</v>
      </c>
      <c r="M108" s="36">
        <v>101006.0</v>
      </c>
      <c r="N108" s="36">
        <v>116961.0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16004.0</v>
      </c>
      <c r="L109" s="36">
        <v>1179.0</v>
      </c>
      <c r="M109" s="36">
        <v>102185.0</v>
      </c>
      <c r="N109" s="36">
        <v>118189.0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16037.0</v>
      </c>
      <c r="L110" s="36">
        <v>885.0</v>
      </c>
      <c r="M110" s="36">
        <v>103070.0</v>
      </c>
      <c r="N110" s="36">
        <v>119107.0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16112.0</v>
      </c>
      <c r="L111" s="36">
        <v>1630.0</v>
      </c>
      <c r="M111" s="36">
        <v>104700.0</v>
      </c>
      <c r="N111" s="36">
        <v>120812.0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16162.0</v>
      </c>
      <c r="L112" s="36">
        <v>1403.0</v>
      </c>
      <c r="M112" s="36">
        <v>106103.0</v>
      </c>
      <c r="N112" s="36">
        <v>122265.0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16213.0</v>
      </c>
      <c r="L113" s="36">
        <v>1208.0</v>
      </c>
      <c r="M113" s="36">
        <v>107311.0</v>
      </c>
      <c r="N113" s="36">
        <v>123524.0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16283.0</v>
      </c>
      <c r="L114" s="36">
        <v>1193.0</v>
      </c>
      <c r="M114" s="36">
        <v>108504.0</v>
      </c>
      <c r="N114" s="36">
        <v>124787.0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16342.0</v>
      </c>
      <c r="L115" s="36">
        <v>1228.0</v>
      </c>
      <c r="M115" s="36">
        <v>109732.0</v>
      </c>
      <c r="N115" s="36">
        <v>126074.0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16378.0</v>
      </c>
      <c r="L116" s="36">
        <v>736.0</v>
      </c>
      <c r="M116" s="36">
        <v>110468.0</v>
      </c>
      <c r="N116" s="36">
        <v>126846.0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16408.0</v>
      </c>
      <c r="L117" s="36">
        <v>625.0</v>
      </c>
      <c r="M117" s="36">
        <v>111093.0</v>
      </c>
      <c r="N117" s="36">
        <v>127501.0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16473.0</v>
      </c>
      <c r="L118" s="36">
        <v>1554.0</v>
      </c>
      <c r="M118" s="36">
        <v>112647.0</v>
      </c>
      <c r="N118" s="36">
        <v>129120.0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16554.0</v>
      </c>
      <c r="L119" s="36">
        <v>1632.0</v>
      </c>
      <c r="M119" s="36">
        <v>114279.0</v>
      </c>
      <c r="N119" s="36">
        <v>130833.0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16599.0</v>
      </c>
      <c r="L120" s="36">
        <v>1528.0</v>
      </c>
      <c r="M120" s="36">
        <v>115807.0</v>
      </c>
      <c r="N120" s="36">
        <v>132406.0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16650.0</v>
      </c>
      <c r="L121" s="36">
        <v>1359.0</v>
      </c>
      <c r="M121" s="36">
        <v>117166.0</v>
      </c>
      <c r="N121" s="36">
        <v>133816.0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16710.0</v>
      </c>
      <c r="L122" s="36">
        <v>1232.0</v>
      </c>
      <c r="M122" s="36">
        <v>118398.0</v>
      </c>
      <c r="N122" s="36">
        <v>135108.0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16747.0</v>
      </c>
      <c r="L123" s="36">
        <v>1113.0</v>
      </c>
      <c r="M123" s="36">
        <v>119511.0</v>
      </c>
      <c r="N123" s="36">
        <v>136258.0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16764.0</v>
      </c>
      <c r="L124" s="36">
        <v>549.0</v>
      </c>
      <c r="M124" s="36">
        <v>120060.0</v>
      </c>
      <c r="N124" s="36">
        <v>136824.0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16804.0</v>
      </c>
      <c r="L125" s="36">
        <v>1240.0</v>
      </c>
      <c r="M125" s="36">
        <v>121300.0</v>
      </c>
      <c r="N125" s="36">
        <v>138104.0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16837.0</v>
      </c>
      <c r="L126" s="36">
        <v>912.0</v>
      </c>
      <c r="M126" s="36">
        <v>122212.0</v>
      </c>
      <c r="N126" s="36">
        <v>139049.0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16916.0</v>
      </c>
      <c r="L127" s="36">
        <v>1747.0</v>
      </c>
      <c r="M127" s="36">
        <v>123959.0</v>
      </c>
      <c r="N127" s="36">
        <v>140875.0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16975.0</v>
      </c>
      <c r="L128" s="36">
        <v>978.0</v>
      </c>
      <c r="M128" s="36">
        <v>124937.0</v>
      </c>
      <c r="N128" s="36">
        <v>141912.0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16999.0</v>
      </c>
      <c r="L129" s="36">
        <v>719.0</v>
      </c>
      <c r="M129" s="36">
        <v>125656.0</v>
      </c>
      <c r="N129" s="36">
        <v>142655.0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17032.0</v>
      </c>
      <c r="L130" s="36">
        <v>917.0</v>
      </c>
      <c r="M130" s="36">
        <v>126573.0</v>
      </c>
      <c r="N130" s="36">
        <v>143605.0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17058.0</v>
      </c>
      <c r="L131" s="36">
        <v>1316.0</v>
      </c>
      <c r="M131" s="36">
        <v>127889.0</v>
      </c>
      <c r="N131" s="36">
        <v>144947.0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17115.0</v>
      </c>
      <c r="L132" s="36">
        <v>1429.0</v>
      </c>
      <c r="M132" s="36">
        <v>129318.0</v>
      </c>
      <c r="N132" s="36">
        <v>146433.0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17162.0</v>
      </c>
      <c r="L133" s="36">
        <v>1415.0</v>
      </c>
      <c r="M133" s="36">
        <v>130733.0</v>
      </c>
      <c r="N133" s="36">
        <v>147895.0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17226.0</v>
      </c>
      <c r="L134" s="36">
        <v>1291.0</v>
      </c>
      <c r="M134" s="36">
        <v>132024.0</v>
      </c>
      <c r="N134" s="36">
        <v>149250.0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17276.0</v>
      </c>
      <c r="L135" s="36">
        <v>1480.0</v>
      </c>
      <c r="M135" s="36">
        <v>133504.0</v>
      </c>
      <c r="N135" s="36">
        <v>150780.0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17356.0</v>
      </c>
      <c r="L136" s="36">
        <v>1892.0</v>
      </c>
      <c r="M136" s="36">
        <v>135396.0</v>
      </c>
      <c r="N136" s="36">
        <v>152752.0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17392.0</v>
      </c>
      <c r="L137" s="36">
        <v>1200.0</v>
      </c>
      <c r="M137" s="36">
        <v>136596.0</v>
      </c>
      <c r="N137" s="36">
        <v>153988.0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17426.0</v>
      </c>
      <c r="L138" s="36">
        <v>865.0</v>
      </c>
      <c r="M138" s="36">
        <v>137461.0</v>
      </c>
      <c r="N138" s="36">
        <v>154887.0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17487.0</v>
      </c>
      <c r="L139" s="36">
        <v>1375.0</v>
      </c>
      <c r="M139" s="36">
        <v>138836.0</v>
      </c>
      <c r="N139" s="36">
        <v>156323.0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17531.0</v>
      </c>
      <c r="L140" s="36">
        <v>1289.0</v>
      </c>
      <c r="M140" s="36">
        <v>140125.0</v>
      </c>
      <c r="N140" s="36">
        <v>157656.0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17631.0</v>
      </c>
      <c r="L141" s="36">
        <v>1594.0</v>
      </c>
      <c r="M141" s="36">
        <v>141719.0</v>
      </c>
      <c r="N141" s="36">
        <v>159350.0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17707.0</v>
      </c>
      <c r="L142" s="36">
        <v>1477.0</v>
      </c>
      <c r="M142" s="36">
        <v>143196.0</v>
      </c>
      <c r="N142" s="36">
        <v>160903.0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17786.0</v>
      </c>
      <c r="L143" s="36">
        <v>1703.0</v>
      </c>
      <c r="M143" s="36">
        <v>144899.0</v>
      </c>
      <c r="N143" s="36">
        <v>162685.0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17856.0</v>
      </c>
      <c r="L144" s="36">
        <v>1288.0</v>
      </c>
      <c r="M144" s="36">
        <v>146187.0</v>
      </c>
      <c r="N144" s="36">
        <v>164043.0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17913.0</v>
      </c>
      <c r="L145" s="36">
        <v>1052.0</v>
      </c>
      <c r="M145" s="36">
        <v>147239.0</v>
      </c>
      <c r="N145" s="36">
        <v>165152.0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17981.0</v>
      </c>
      <c r="L146" s="36">
        <v>1345.0</v>
      </c>
      <c r="M146" s="36">
        <v>148584.0</v>
      </c>
      <c r="N146" s="36">
        <v>166565.0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18089.0</v>
      </c>
      <c r="L147" s="36">
        <v>1742.0</v>
      </c>
      <c r="M147" s="36">
        <v>150326.0</v>
      </c>
      <c r="N147" s="36">
        <v>168415.0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18175.0</v>
      </c>
      <c r="L148" s="36">
        <v>1539.0</v>
      </c>
      <c r="M148" s="36">
        <v>151865.0</v>
      </c>
      <c r="N148" s="36">
        <v>170040.0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18290.0</v>
      </c>
      <c r="L149" s="36">
        <v>1802.0</v>
      </c>
      <c r="M149" s="36">
        <v>153667.0</v>
      </c>
      <c r="N149" s="36">
        <v>171957.0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18409.0</v>
      </c>
      <c r="L150" s="36">
        <v>2107.0</v>
      </c>
      <c r="M150" s="36">
        <v>155774.0</v>
      </c>
      <c r="N150" s="36">
        <v>174183.0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18516.0</v>
      </c>
      <c r="L151" s="36">
        <v>1938.0</v>
      </c>
      <c r="M151" s="36">
        <v>157712.0</v>
      </c>
      <c r="N151" s="36">
        <v>176228.0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18570.0</v>
      </c>
      <c r="L152" s="36">
        <v>1206.0</v>
      </c>
      <c r="M152" s="36">
        <v>158918.0</v>
      </c>
      <c r="N152" s="36">
        <v>177488.0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18709.0</v>
      </c>
      <c r="L153" s="36">
        <v>2127.0</v>
      </c>
      <c r="M153" s="36">
        <v>161045.0</v>
      </c>
      <c r="N153" s="36">
        <v>179754.0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18804.0</v>
      </c>
      <c r="L154" s="36">
        <v>1503.0</v>
      </c>
      <c r="M154" s="36">
        <v>162548.0</v>
      </c>
      <c r="N154" s="36">
        <v>181352.0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18957.0</v>
      </c>
      <c r="L155" s="36">
        <v>2105.0</v>
      </c>
      <c r="M155" s="36">
        <v>164653.0</v>
      </c>
      <c r="N155" s="36">
        <v>183610.0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19053.0</v>
      </c>
      <c r="L156" s="36">
        <v>1496.0</v>
      </c>
      <c r="M156" s="36">
        <v>166149.0</v>
      </c>
      <c r="N156" s="36">
        <v>185202.0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19142.0</v>
      </c>
      <c r="L157" s="36">
        <v>1670.0</v>
      </c>
      <c r="M157" s="36">
        <v>167819.0</v>
      </c>
      <c r="N157" s="36">
        <v>186961.0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19231.0</v>
      </c>
      <c r="L158" s="36">
        <v>1417.0</v>
      </c>
      <c r="M158" s="36">
        <v>169236.0</v>
      </c>
      <c r="N158" s="36">
        <v>188467.0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19293.0</v>
      </c>
      <c r="L159" s="36">
        <v>1179.0</v>
      </c>
      <c r="M159" s="36">
        <v>170415.0</v>
      </c>
      <c r="N159" s="36">
        <v>189708.0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19443.0</v>
      </c>
      <c r="L160" s="36">
        <v>2019.0</v>
      </c>
      <c r="M160" s="36">
        <v>172434.0</v>
      </c>
      <c r="N160" s="36">
        <v>191877.0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19542.0</v>
      </c>
      <c r="L161" s="36">
        <v>1621.0</v>
      </c>
      <c r="M161" s="36">
        <v>174055.0</v>
      </c>
      <c r="N161" s="36">
        <v>193597.0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19661.0</v>
      </c>
      <c r="L162" s="36">
        <v>2255.0</v>
      </c>
      <c r="M162" s="36">
        <v>176310.0</v>
      </c>
      <c r="N162" s="36">
        <v>195971.0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19781.0</v>
      </c>
      <c r="L163" s="36">
        <v>2151.0</v>
      </c>
      <c r="M163" s="36">
        <v>178461.0</v>
      </c>
      <c r="N163" s="36">
        <v>198242.0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86.0</v>
      </c>
      <c r="J164" s="36">
        <v>108.0</v>
      </c>
      <c r="K164" s="36">
        <v>19867.0</v>
      </c>
      <c r="L164" s="36">
        <v>1948.0</v>
      </c>
      <c r="M164" s="36">
        <v>180409.0</v>
      </c>
      <c r="N164" s="36">
        <v>200276.0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19958.0</v>
      </c>
      <c r="L165" s="36">
        <v>1649.0</v>
      </c>
      <c r="M165" s="36">
        <v>182058.0</v>
      </c>
      <c r="N165" s="36">
        <v>202016.0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19993.0</v>
      </c>
      <c r="L166" s="36">
        <v>973.0</v>
      </c>
      <c r="M166" s="36">
        <v>183031.0</v>
      </c>
      <c r="N166" s="36">
        <v>203024.0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20106.0</v>
      </c>
      <c r="L167" s="36">
        <v>1860.0</v>
      </c>
      <c r="M167" s="36">
        <v>184891.0</v>
      </c>
      <c r="N167" s="36">
        <v>204997.0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20197.0</v>
      </c>
      <c r="L168" s="36">
        <v>2091.0</v>
      </c>
      <c r="M168" s="36">
        <v>186982.0</v>
      </c>
      <c r="N168" s="36">
        <v>207179.0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20299.0</v>
      </c>
      <c r="L169" s="36">
        <v>2394.0</v>
      </c>
      <c r="M169" s="36">
        <v>189376.0</v>
      </c>
      <c r="N169" s="36">
        <v>209675.0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20394.0</v>
      </c>
      <c r="L170" s="36">
        <v>1748.0</v>
      </c>
      <c r="M170" s="36">
        <v>191124.0</v>
      </c>
      <c r="N170" s="36">
        <v>211518.0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20492.0</v>
      </c>
      <c r="L171" s="36">
        <v>1796.0</v>
      </c>
      <c r="M171" s="36">
        <v>192920.0</v>
      </c>
      <c r="N171" s="36">
        <v>213412.0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20579.0</v>
      </c>
      <c r="L172" s="36">
        <v>1556.0</v>
      </c>
      <c r="M172" s="36">
        <v>194476.0</v>
      </c>
      <c r="N172" s="36">
        <v>215055.0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69.0</v>
      </c>
      <c r="J173" s="36">
        <v>85.0</v>
      </c>
      <c r="K173" s="36">
        <v>20648.0</v>
      </c>
      <c r="L173" s="36">
        <v>879.0</v>
      </c>
      <c r="M173" s="36">
        <v>195355.0</v>
      </c>
      <c r="N173" s="36">
        <v>216003.0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20735.0</v>
      </c>
      <c r="L174" s="36">
        <v>2194.0</v>
      </c>
      <c r="M174" s="36">
        <v>197549.0</v>
      </c>
      <c r="N174" s="36">
        <v>218284.0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20828.0</v>
      </c>
      <c r="L175" s="36">
        <v>2524.0</v>
      </c>
      <c r="M175" s="36">
        <v>200073.0</v>
      </c>
      <c r="N175" s="36">
        <v>220901.0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20918.0</v>
      </c>
      <c r="L176" s="36">
        <v>2384.0</v>
      </c>
      <c r="M176" s="36">
        <v>202457.0</v>
      </c>
      <c r="N176" s="36">
        <v>223375.0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21056.0</v>
      </c>
      <c r="L177" s="36">
        <v>3238.0</v>
      </c>
      <c r="M177" s="36">
        <v>205695.0</v>
      </c>
      <c r="N177" s="36">
        <v>226751.0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21181.0</v>
      </c>
      <c r="L178" s="36">
        <v>2675.0</v>
      </c>
      <c r="M178" s="36">
        <v>208370.0</v>
      </c>
      <c r="N178" s="36">
        <v>229551.0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21265.0</v>
      </c>
      <c r="L179" s="36">
        <v>2341.0</v>
      </c>
      <c r="M179" s="36">
        <v>210711.0</v>
      </c>
      <c r="N179" s="36">
        <v>231976.0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21321.0</v>
      </c>
      <c r="L180" s="36">
        <v>2224.0</v>
      </c>
      <c r="M180" s="36">
        <v>212935.0</v>
      </c>
      <c r="N180" s="36">
        <v>234256.0</v>
      </c>
      <c r="O180" s="36">
        <v>11.0</v>
      </c>
      <c r="P180" s="38">
        <v>2427.0</v>
      </c>
      <c r="Q180" s="38">
        <v>5.0</v>
      </c>
      <c r="R180" s="38">
        <v>2011.0</v>
      </c>
      <c r="S180" s="38">
        <v>0.0</v>
      </c>
      <c r="T180" s="38">
        <v>334.0</v>
      </c>
      <c r="U180" s="38">
        <v>82.0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21398.0</v>
      </c>
      <c r="L181" s="36">
        <v>2877.0</v>
      </c>
      <c r="M181" s="36">
        <v>215812.0</v>
      </c>
      <c r="N181" s="36">
        <v>237210.0</v>
      </c>
      <c r="O181" s="36">
        <v>7.0</v>
      </c>
      <c r="P181" s="38">
        <v>2434.0</v>
      </c>
      <c r="Q181" s="38">
        <v>10.0</v>
      </c>
      <c r="R181" s="38">
        <v>2021.0</v>
      </c>
      <c r="S181" s="38">
        <v>1.0</v>
      </c>
      <c r="T181" s="38">
        <v>335.0</v>
      </c>
      <c r="U181" s="38">
        <v>78.0</v>
      </c>
      <c r="V181" s="38">
        <v>79.0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21491.0</v>
      </c>
      <c r="L182" s="36">
        <v>2124.0</v>
      </c>
      <c r="M182" s="36">
        <v>217936.0</v>
      </c>
      <c r="N182" s="36">
        <v>239427.0</v>
      </c>
      <c r="O182" s="36">
        <v>10.0</v>
      </c>
      <c r="P182" s="38">
        <v>2444.0</v>
      </c>
      <c r="Q182" s="38">
        <v>4.0</v>
      </c>
      <c r="R182" s="38">
        <v>2025.0</v>
      </c>
      <c r="S182" s="38">
        <v>1.0</v>
      </c>
      <c r="T182" s="38">
        <v>336.0</v>
      </c>
      <c r="U182" s="38">
        <v>83.0</v>
      </c>
      <c r="V182" s="38">
        <v>81.0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21618.0</v>
      </c>
      <c r="L183" s="36">
        <v>2835.0</v>
      </c>
      <c r="M183" s="36">
        <v>220771.0</v>
      </c>
      <c r="N183" s="36">
        <v>242389.0</v>
      </c>
      <c r="O183" s="36">
        <v>4.0</v>
      </c>
      <c r="P183" s="38">
        <v>2448.0</v>
      </c>
      <c r="Q183" s="38">
        <v>8.0</v>
      </c>
      <c r="R183" s="38">
        <v>2033.0</v>
      </c>
      <c r="S183" s="38">
        <v>0.0</v>
      </c>
      <c r="T183" s="38">
        <v>336.0</v>
      </c>
      <c r="U183" s="38">
        <v>79.0</v>
      </c>
      <c r="V183" s="38">
        <v>80.0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21687.0</v>
      </c>
      <c r="L184" s="36">
        <v>2900.0</v>
      </c>
      <c r="M184" s="36">
        <v>223671.0</v>
      </c>
      <c r="N184" s="36">
        <v>245358.0</v>
      </c>
      <c r="O184" s="36">
        <v>6.0</v>
      </c>
      <c r="P184" s="38">
        <v>2454.0</v>
      </c>
      <c r="Q184" s="38">
        <v>14.0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21773.0</v>
      </c>
      <c r="L185" s="36">
        <v>2225.0</v>
      </c>
      <c r="M185" s="36">
        <v>225896.0</v>
      </c>
      <c r="N185" s="36">
        <v>247669.0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21825.0</v>
      </c>
      <c r="L186" s="36">
        <v>1778.0</v>
      </c>
      <c r="M186" s="36">
        <v>227674.0</v>
      </c>
      <c r="N186" s="36">
        <v>249499.0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21873.0</v>
      </c>
      <c r="L187" s="36">
        <v>1849.0</v>
      </c>
      <c r="M187" s="36">
        <v>229523.0</v>
      </c>
      <c r="N187" s="36">
        <v>251396.0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21954.0</v>
      </c>
      <c r="L188" s="36">
        <v>2039.0</v>
      </c>
      <c r="M188" s="36">
        <v>231562.0</v>
      </c>
      <c r="N188" s="36">
        <v>253516.0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22020.0</v>
      </c>
      <c r="L189" s="36">
        <v>2213.0</v>
      </c>
      <c r="M189" s="36">
        <v>233775.0</v>
      </c>
      <c r="N189" s="36">
        <v>255795.0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22125.0</v>
      </c>
      <c r="L190" s="36">
        <v>2823.0</v>
      </c>
      <c r="M190" s="36">
        <v>236598.0</v>
      </c>
      <c r="N190" s="36">
        <v>258723.0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22199.0</v>
      </c>
      <c r="L191" s="36">
        <v>2358.0</v>
      </c>
      <c r="M191" s="36">
        <v>238956.0</v>
      </c>
      <c r="N191" s="36">
        <v>261155.0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22281.0</v>
      </c>
      <c r="L192" s="36">
        <v>2176.0</v>
      </c>
      <c r="M192" s="36">
        <v>241132.0</v>
      </c>
      <c r="N192" s="36">
        <v>263413.0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22323.0</v>
      </c>
      <c r="L193" s="36">
        <v>1461.0</v>
      </c>
      <c r="M193" s="36">
        <v>242593.0</v>
      </c>
      <c r="N193" s="36">
        <v>264916.0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22388.0</v>
      </c>
      <c r="L194" s="36">
        <v>1776.0</v>
      </c>
      <c r="M194" s="36">
        <v>244369.0</v>
      </c>
      <c r="N194" s="36">
        <v>266757.0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22414.0</v>
      </c>
      <c r="L195" s="36">
        <v>594.0</v>
      </c>
      <c r="M195" s="36">
        <v>244963.0</v>
      </c>
      <c r="N195" s="36">
        <v>267377.0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22480.0</v>
      </c>
      <c r="L196" s="36">
        <v>1451.0</v>
      </c>
      <c r="M196" s="36">
        <v>246414.0</v>
      </c>
      <c r="N196" s="36">
        <v>268894.0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22582.0</v>
      </c>
      <c r="L197" s="36">
        <v>1961.0</v>
      </c>
      <c r="M197" s="36">
        <v>248375.0</v>
      </c>
      <c r="N197" s="36">
        <v>270957.0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22693.0</v>
      </c>
      <c r="L198" s="36">
        <v>2073.0</v>
      </c>
      <c r="M198" s="36">
        <v>250448.0</v>
      </c>
      <c r="N198" s="36">
        <v>273141.0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22788.0</v>
      </c>
      <c r="L199" s="36">
        <v>1801.0</v>
      </c>
      <c r="M199" s="36">
        <v>252249.0</v>
      </c>
      <c r="N199" s="36">
        <v>275037.0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22885.0</v>
      </c>
      <c r="L200" s="36">
        <v>1368.0</v>
      </c>
      <c r="M200" s="36">
        <v>253617.0</v>
      </c>
      <c r="N200" s="36">
        <v>276502.0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22938.0</v>
      </c>
      <c r="L201" s="36">
        <v>800.0</v>
      </c>
      <c r="M201" s="36">
        <v>254417.0</v>
      </c>
      <c r="N201" s="36">
        <v>277355.0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23034.0</v>
      </c>
      <c r="L202" s="36">
        <v>1569.0</v>
      </c>
      <c r="M202" s="36">
        <v>255986.0</v>
      </c>
      <c r="N202" s="36">
        <v>279020.0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23157.0</v>
      </c>
      <c r="L203" s="36">
        <v>2000.0</v>
      </c>
      <c r="M203" s="36">
        <v>257986.0</v>
      </c>
      <c r="N203" s="36">
        <v>281143.0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23274.0</v>
      </c>
      <c r="L204" s="36">
        <v>1804.0</v>
      </c>
      <c r="M204" s="36">
        <v>259790.0</v>
      </c>
      <c r="N204" s="36">
        <v>283064.0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153.0</v>
      </c>
      <c r="J205" s="36">
        <v>131.0</v>
      </c>
      <c r="K205" s="36">
        <v>23427.0</v>
      </c>
      <c r="L205" s="36">
        <v>1773.0</v>
      </c>
      <c r="M205" s="36">
        <v>261563.0</v>
      </c>
      <c r="N205" s="36">
        <v>284990.0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23558.0</v>
      </c>
      <c r="L206" s="36">
        <v>1753.0</v>
      </c>
      <c r="M206" s="36">
        <v>263316.0</v>
      </c>
      <c r="N206" s="36">
        <v>286874.0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23669.0</v>
      </c>
      <c r="L207" s="36">
        <v>1565.0</v>
      </c>
      <c r="M207" s="36">
        <v>264881.0</v>
      </c>
      <c r="N207" s="36">
        <v>288550.0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23718.0</v>
      </c>
      <c r="L208" s="36">
        <v>1210.0</v>
      </c>
      <c r="M208" s="36">
        <v>266091.0</v>
      </c>
      <c r="N208" s="36">
        <v>289809.0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23813.0</v>
      </c>
      <c r="L209" s="36">
        <v>2261.0</v>
      </c>
      <c r="M209" s="36">
        <v>268352.0</v>
      </c>
      <c r="N209" s="36">
        <v>292165.0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23936.0</v>
      </c>
      <c r="L210" s="36">
        <v>2004.0</v>
      </c>
      <c r="M210" s="36">
        <v>270356.0</v>
      </c>
      <c r="N210" s="36">
        <v>294292.0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24064.0</v>
      </c>
      <c r="L211" s="36">
        <v>2036.0</v>
      </c>
      <c r="M211" s="36">
        <v>272392.0</v>
      </c>
      <c r="N211" s="36">
        <v>296456.0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24181.0</v>
      </c>
      <c r="L212" s="36">
        <v>2881.0</v>
      </c>
      <c r="M212" s="36">
        <v>275273.0</v>
      </c>
      <c r="N212" s="36">
        <v>299454.0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24324.0</v>
      </c>
      <c r="L213" s="36">
        <v>2740.0</v>
      </c>
      <c r="M213" s="36">
        <v>278013.0</v>
      </c>
      <c r="N213" s="36">
        <v>302337.0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24444.0</v>
      </c>
      <c r="L214" s="36">
        <v>2276.0</v>
      </c>
      <c r="M214" s="36">
        <v>280289.0</v>
      </c>
      <c r="N214" s="36">
        <v>304733.0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24478.0</v>
      </c>
      <c r="L215" s="36">
        <v>785.0</v>
      </c>
      <c r="M215" s="36">
        <v>281074.0</v>
      </c>
      <c r="N215" s="36">
        <v>305552.0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24615.0</v>
      </c>
      <c r="L216" s="36">
        <v>2103.0</v>
      </c>
      <c r="M216" s="36">
        <v>283177.0</v>
      </c>
      <c r="N216" s="36">
        <v>307792.0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24800.0</v>
      </c>
      <c r="L217" s="36">
        <v>2568.0</v>
      </c>
      <c r="M217" s="36">
        <v>285745.0</v>
      </c>
      <c r="N217" s="36">
        <v>310545.0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24989.0</v>
      </c>
      <c r="L218" s="36">
        <v>2368.0</v>
      </c>
      <c r="M218" s="36">
        <v>288113.0</v>
      </c>
      <c r="N218" s="36">
        <v>313102.0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25155.0</v>
      </c>
      <c r="L219" s="36">
        <v>2186.0</v>
      </c>
      <c r="M219" s="36">
        <v>290299.0</v>
      </c>
      <c r="N219" s="36">
        <v>315454.0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25338.0</v>
      </c>
      <c r="L220" s="36">
        <v>2284.0</v>
      </c>
      <c r="M220" s="36">
        <v>292583.0</v>
      </c>
      <c r="N220" s="36">
        <v>317921.0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25469.0</v>
      </c>
      <c r="L221" s="36">
        <v>1861.0</v>
      </c>
      <c r="M221" s="36">
        <v>294444.0</v>
      </c>
      <c r="N221" s="36">
        <v>319913.0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25546.0</v>
      </c>
      <c r="L222" s="36">
        <v>875.0</v>
      </c>
      <c r="M222" s="36">
        <v>295319.0</v>
      </c>
      <c r="N222" s="36">
        <v>320865.0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25706.0</v>
      </c>
      <c r="L223" s="36">
        <v>2806.0</v>
      </c>
      <c r="M223" s="36">
        <v>298125.0</v>
      </c>
      <c r="N223" s="36">
        <v>323831.0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25893.0</v>
      </c>
      <c r="L224" s="36">
        <v>2652.0</v>
      </c>
      <c r="M224" s="36">
        <v>300777.0</v>
      </c>
      <c r="N224" s="36">
        <v>326670.0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26136.0</v>
      </c>
      <c r="L225" s="36">
        <v>3233.0</v>
      </c>
      <c r="M225" s="36">
        <v>304010.0</v>
      </c>
      <c r="N225" s="36">
        <v>330146.0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26411.0</v>
      </c>
      <c r="L226" s="36">
        <v>3837.0</v>
      </c>
      <c r="M226" s="36">
        <v>307847.0</v>
      </c>
      <c r="N226" s="36">
        <v>334258.0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26611.0</v>
      </c>
      <c r="L227" s="36">
        <v>3839.0</v>
      </c>
      <c r="M227" s="36">
        <v>311686.0</v>
      </c>
      <c r="N227" s="36">
        <v>338297.0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26803.0</v>
      </c>
      <c r="L228" s="36">
        <v>3459.0</v>
      </c>
      <c r="M228" s="36">
        <v>315145.0</v>
      </c>
      <c r="N228" s="36">
        <v>341948.0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26891.0</v>
      </c>
      <c r="L229" s="36">
        <v>1078.0</v>
      </c>
      <c r="M229" s="36">
        <v>316223.0</v>
      </c>
      <c r="N229" s="36">
        <v>343114.0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27048.0</v>
      </c>
      <c r="L230" s="36">
        <v>1588.0</v>
      </c>
      <c r="M230" s="36">
        <v>317811.0</v>
      </c>
      <c r="N230" s="36">
        <v>344859.0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27261.0</v>
      </c>
      <c r="L231" s="36">
        <v>2145.0</v>
      </c>
      <c r="M231" s="36">
        <v>319956.0</v>
      </c>
      <c r="N231" s="36">
        <v>347217.0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27566.0</v>
      </c>
      <c r="L232" s="36">
        <v>3700.0</v>
      </c>
      <c r="M232" s="36">
        <v>323656.0</v>
      </c>
      <c r="N232" s="36">
        <v>351222.0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27818.0</v>
      </c>
      <c r="L233" s="36">
        <v>3292.0</v>
      </c>
      <c r="M233" s="36">
        <v>326948.0</v>
      </c>
      <c r="N233" s="36">
        <v>354766.0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28094.0</v>
      </c>
      <c r="L234" s="36">
        <v>3088.0</v>
      </c>
      <c r="M234" s="36">
        <v>330036.0</v>
      </c>
      <c r="N234" s="36">
        <v>358130.0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28402.0</v>
      </c>
      <c r="L235" s="36">
        <v>2977.0</v>
      </c>
      <c r="M235" s="36">
        <v>333013.0</v>
      </c>
      <c r="N235" s="36">
        <v>361415.0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28527.0</v>
      </c>
      <c r="L236" s="36">
        <v>1202.0</v>
      </c>
      <c r="M236" s="36">
        <v>334215.0</v>
      </c>
      <c r="N236" s="36">
        <v>362742.0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28845.0</v>
      </c>
      <c r="L237" s="36">
        <v>2386.0</v>
      </c>
      <c r="M237" s="36">
        <v>336601.0</v>
      </c>
      <c r="N237" s="36">
        <v>365446.0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29228.0</v>
      </c>
      <c r="L238" s="36">
        <v>2779.0</v>
      </c>
      <c r="M238" s="36">
        <v>339380.0</v>
      </c>
      <c r="N238" s="36">
        <v>368608.0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470.0</v>
      </c>
      <c r="J239" s="36">
        <v>390.0</v>
      </c>
      <c r="K239" s="36">
        <v>29698.0</v>
      </c>
      <c r="L239" s="36">
        <v>3209.0</v>
      </c>
      <c r="M239" s="36">
        <v>342589.0</v>
      </c>
      <c r="N239" s="36">
        <v>372287.0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30183.0</v>
      </c>
      <c r="L240" s="36">
        <v>2944.0</v>
      </c>
      <c r="M240" s="36">
        <v>345533.0</v>
      </c>
      <c r="N240" s="36">
        <v>375716.0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472.0</v>
      </c>
      <c r="K241" s="36">
        <v>30643.0</v>
      </c>
      <c r="L241" s="36">
        <v>2623.0</v>
      </c>
      <c r="M241" s="36">
        <v>348156.0</v>
      </c>
      <c r="N241" s="36">
        <v>378799.0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30979.0</v>
      </c>
      <c r="L242" s="36">
        <v>2085.0</v>
      </c>
      <c r="M242" s="36">
        <v>350241.0</v>
      </c>
      <c r="N242" s="36">
        <v>381220.0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31190.0</v>
      </c>
      <c r="L243" s="36">
        <v>1339.0</v>
      </c>
      <c r="M243" s="36">
        <v>351580.0</v>
      </c>
      <c r="N243" s="36">
        <v>382770.0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401.0</v>
      </c>
      <c r="J244" s="36">
        <v>316.0</v>
      </c>
      <c r="K244" s="36">
        <v>31591.0</v>
      </c>
      <c r="L244" s="36">
        <v>2752.0</v>
      </c>
      <c r="M244" s="36">
        <v>354332.0</v>
      </c>
      <c r="N244" s="36">
        <v>385923.0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454.0</v>
      </c>
      <c r="J245" s="36">
        <v>355.0</v>
      </c>
      <c r="K245" s="36">
        <v>32045.0</v>
      </c>
      <c r="L245" s="36">
        <v>2220.0</v>
      </c>
      <c r="M245" s="36">
        <v>356552.0</v>
      </c>
      <c r="N245" s="36">
        <v>388597.0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32455.0</v>
      </c>
      <c r="L246" s="36">
        <v>2493.0</v>
      </c>
      <c r="M246" s="36">
        <v>359045.0</v>
      </c>
      <c r="N246" s="36">
        <v>391500.0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528.0</v>
      </c>
      <c r="J247" s="36">
        <v>464.0</v>
      </c>
      <c r="K247" s="36">
        <v>32983.0</v>
      </c>
      <c r="L247" s="36">
        <v>2922.0</v>
      </c>
      <c r="M247" s="36">
        <v>361967.0</v>
      </c>
      <c r="N247" s="36">
        <v>394950.0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470.0</v>
      </c>
      <c r="K248" s="36">
        <v>33454.0</v>
      </c>
      <c r="L248" s="36">
        <v>2738.0</v>
      </c>
      <c r="M248" s="36">
        <v>364705.0</v>
      </c>
      <c r="N248" s="36">
        <v>398159.0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33940.0</v>
      </c>
      <c r="L249" s="36">
        <v>2252.0</v>
      </c>
      <c r="M249" s="36">
        <v>366957.0</v>
      </c>
      <c r="N249" s="36">
        <v>400897.0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34215.0</v>
      </c>
      <c r="L250" s="36">
        <v>1164.0</v>
      </c>
      <c r="M250" s="36">
        <v>368121.0</v>
      </c>
      <c r="N250" s="36">
        <v>402336.0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34671.0</v>
      </c>
      <c r="L251" s="36">
        <v>2742.0</v>
      </c>
      <c r="M251" s="36">
        <v>370863.0</v>
      </c>
      <c r="N251" s="36">
        <v>405534.0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35200.0</v>
      </c>
      <c r="L252" s="36">
        <v>2317.0</v>
      </c>
      <c r="M252" s="36">
        <v>373180.0</v>
      </c>
      <c r="N252" s="36">
        <v>408380.0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35839.0</v>
      </c>
      <c r="L253" s="36">
        <v>2716.0</v>
      </c>
      <c r="M253" s="36">
        <v>375896.0</v>
      </c>
      <c r="N253" s="36">
        <v>411735.0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36521.0</v>
      </c>
      <c r="L254" s="36">
        <v>2637.0</v>
      </c>
      <c r="M254" s="36">
        <v>378533.0</v>
      </c>
      <c r="N254" s="36">
        <v>415054.0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37213.0</v>
      </c>
      <c r="L255" s="36">
        <v>2824.0</v>
      </c>
      <c r="M255" s="36">
        <v>381357.0</v>
      </c>
      <c r="N255" s="36">
        <v>418570.0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37788.0</v>
      </c>
      <c r="L256" s="36">
        <v>2289.0</v>
      </c>
      <c r="M256" s="36">
        <v>383646.0</v>
      </c>
      <c r="N256" s="36">
        <v>421434.0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38114.0</v>
      </c>
      <c r="L257" s="36">
        <v>1197.0</v>
      </c>
      <c r="M257" s="36">
        <v>384843.0</v>
      </c>
      <c r="N257" s="36">
        <v>422957.0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38877.0</v>
      </c>
      <c r="L258" s="36">
        <v>2159.0</v>
      </c>
      <c r="M258" s="36">
        <v>387002.0</v>
      </c>
      <c r="N258" s="36">
        <v>425879.0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39857.0</v>
      </c>
      <c r="L259" s="36">
        <v>2675.0</v>
      </c>
      <c r="M259" s="36">
        <v>389677.0</v>
      </c>
      <c r="N259" s="36">
        <v>429534.0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40861.0</v>
      </c>
      <c r="L260" s="36">
        <v>2483.0</v>
      </c>
      <c r="M260" s="36">
        <v>392160.0</v>
      </c>
      <c r="N260" s="36">
        <v>433021.0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41673.0</v>
      </c>
      <c r="L261" s="36">
        <v>2057.0</v>
      </c>
      <c r="M261" s="36">
        <v>394217.0</v>
      </c>
      <c r="N261" s="36">
        <v>435890.0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42786.0</v>
      </c>
      <c r="L262" s="36">
        <v>2878.0</v>
      </c>
      <c r="M262" s="36">
        <v>397095.0</v>
      </c>
      <c r="N262" s="36">
        <v>439881.0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43524.0</v>
      </c>
      <c r="L263" s="36">
        <v>2306.0</v>
      </c>
      <c r="M263" s="36">
        <v>399401.0</v>
      </c>
      <c r="N263" s="36">
        <v>442925.0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44023.0</v>
      </c>
      <c r="L264" s="36">
        <v>1335.0</v>
      </c>
      <c r="M264" s="36">
        <v>400736.0</v>
      </c>
      <c r="N264" s="36">
        <v>444759.0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44695.0</v>
      </c>
      <c r="L265" s="36">
        <v>2480.0</v>
      </c>
      <c r="M265" s="36">
        <v>403216.0</v>
      </c>
      <c r="N265" s="36">
        <v>447911.0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1400.0</v>
      </c>
      <c r="J266" s="36">
        <v>857.0</v>
      </c>
      <c r="K266" s="36">
        <v>46095.0</v>
      </c>
      <c r="L266" s="36">
        <v>3855.0</v>
      </c>
      <c r="M266" s="36">
        <v>407071.0</v>
      </c>
      <c r="N266" s="36">
        <v>453166.0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47116.0</v>
      </c>
      <c r="L267" s="36">
        <v>3000.0</v>
      </c>
      <c r="M267" s="36">
        <v>410071.0</v>
      </c>
      <c r="N267" s="36">
        <v>457187.0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1152.0</v>
      </c>
      <c r="K268" s="36">
        <v>48150.0</v>
      </c>
      <c r="L268" s="36">
        <v>3161.0</v>
      </c>
      <c r="M268" s="36">
        <v>413232.0</v>
      </c>
      <c r="N268" s="36">
        <v>461382.0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1308.0</v>
      </c>
      <c r="J269" s="36">
        <v>1121.0</v>
      </c>
      <c r="K269" s="36">
        <v>49458.0</v>
      </c>
      <c r="L269" s="36">
        <v>4067.0</v>
      </c>
      <c r="M269" s="36">
        <v>417299.0</v>
      </c>
      <c r="N269" s="36">
        <v>466757.0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50213.0</v>
      </c>
      <c r="L270" s="36">
        <v>2953.0</v>
      </c>
      <c r="M270" s="36">
        <v>420252.0</v>
      </c>
      <c r="N270" s="36">
        <v>470465.0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50698.0</v>
      </c>
      <c r="L271" s="36">
        <v>1692.0</v>
      </c>
      <c r="M271" s="36">
        <v>421944.0</v>
      </c>
      <c r="N271" s="36">
        <v>472642.0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51589.0</v>
      </c>
      <c r="L272" s="36">
        <v>3200.0</v>
      </c>
      <c r="M272" s="36">
        <v>425144.0</v>
      </c>
      <c r="N272" s="36">
        <v>476733.0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52532.0</v>
      </c>
      <c r="L273" s="36">
        <v>2582.0</v>
      </c>
      <c r="M273" s="36">
        <v>427726.0</v>
      </c>
      <c r="N273" s="36">
        <v>480258.0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1184.0</v>
      </c>
      <c r="J274" s="36">
        <v>1006.0</v>
      </c>
      <c r="K274" s="36">
        <v>53716.0</v>
      </c>
      <c r="L274" s="36">
        <v>3235.0</v>
      </c>
      <c r="M274" s="36">
        <v>430961.0</v>
      </c>
      <c r="N274" s="36">
        <v>484677.0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54192.0</v>
      </c>
      <c r="L275" s="36">
        <v>1434.0</v>
      </c>
      <c r="M275" s="36">
        <v>432395.0</v>
      </c>
      <c r="N275" s="36">
        <v>486587.0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55166.0</v>
      </c>
      <c r="L276" s="36">
        <v>2382.0</v>
      </c>
      <c r="M276" s="36">
        <v>434777.0</v>
      </c>
      <c r="N276" s="36">
        <v>489943.0</v>
      </c>
      <c r="O276" s="36">
        <v>52.0</v>
      </c>
      <c r="P276" s="38">
        <v>4530.0</v>
      </c>
      <c r="Q276" s="38">
        <v>46.0</v>
      </c>
      <c r="R276" s="38">
        <v>3632.0</v>
      </c>
      <c r="S276" s="38">
        <v>7.0</v>
      </c>
      <c r="T276" s="38">
        <v>484.0</v>
      </c>
      <c r="U276" s="38">
        <v>414.0</v>
      </c>
      <c r="V276" s="38">
        <v>411.0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56264.0</v>
      </c>
      <c r="L277" s="36">
        <v>2665.0</v>
      </c>
      <c r="M277" s="36">
        <v>437442.0</v>
      </c>
      <c r="N277" s="36">
        <v>493706.0</v>
      </c>
      <c r="O277" s="36">
        <v>64.0</v>
      </c>
      <c r="P277" s="38">
        <v>4594.0</v>
      </c>
      <c r="Q277" s="38">
        <v>39.0</v>
      </c>
      <c r="R277" s="38">
        <v>3671.0</v>
      </c>
      <c r="S277" s="38">
        <v>0.0</v>
      </c>
      <c r="T277" s="38">
        <v>484.0</v>
      </c>
      <c r="U277" s="38">
        <v>439.0</v>
      </c>
      <c r="V277" s="38">
        <v>423.0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755.0</v>
      </c>
      <c r="J278" s="36">
        <v>942.0</v>
      </c>
      <c r="K278" s="36">
        <v>57019.0</v>
      </c>
      <c r="L278" s="36">
        <v>2200.0</v>
      </c>
      <c r="M278" s="36">
        <v>439642.0</v>
      </c>
      <c r="N278" s="36">
        <v>496661.0</v>
      </c>
      <c r="O278" s="36">
        <v>62.0</v>
      </c>
      <c r="P278" s="38">
        <v>4656.0</v>
      </c>
      <c r="Q278" s="38">
        <v>36.0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1170.0</v>
      </c>
      <c r="J279" s="36">
        <v>1008.0</v>
      </c>
      <c r="K279" s="36">
        <v>58189.0</v>
      </c>
      <c r="L279" s="36">
        <v>2643.0</v>
      </c>
      <c r="M279" s="36">
        <v>442285.0</v>
      </c>
      <c r="N279" s="36">
        <v>500474.0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1428.0</v>
      </c>
      <c r="J280" s="36">
        <v>1118.0</v>
      </c>
      <c r="K280" s="36">
        <v>59617.0</v>
      </c>
      <c r="L280" s="36">
        <v>3219.0</v>
      </c>
      <c r="M280" s="36">
        <v>445504.0</v>
      </c>
      <c r="N280" s="36">
        <v>505121.0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1450.0</v>
      </c>
      <c r="J281" s="36">
        <v>1349.0</v>
      </c>
      <c r="K281" s="36">
        <v>61067.0</v>
      </c>
      <c r="L281" s="36">
        <v>3054.0</v>
      </c>
      <c r="M281" s="36">
        <v>448558.0</v>
      </c>
      <c r="N281" s="36">
        <v>509625.0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1638.0</v>
      </c>
      <c r="J282" s="36">
        <v>1505.0</v>
      </c>
      <c r="K282" s="36">
        <v>62705.0</v>
      </c>
      <c r="L282" s="36">
        <v>3125.0</v>
      </c>
      <c r="M282" s="36">
        <v>451683.0</v>
      </c>
      <c r="N282" s="36">
        <v>514388.0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1528.0</v>
      </c>
      <c r="J283" s="36">
        <v>1539.0</v>
      </c>
      <c r="K283" s="36">
        <v>64233.0</v>
      </c>
      <c r="L283" s="36">
        <v>3566.0</v>
      </c>
      <c r="M283" s="36">
        <v>455249.0</v>
      </c>
      <c r="N283" s="36">
        <v>519482.0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1077.0</v>
      </c>
      <c r="J284" s="36">
        <v>1414.0</v>
      </c>
      <c r="K284" s="36">
        <v>65310.0</v>
      </c>
      <c r="L284" s="36">
        <v>2735.0</v>
      </c>
      <c r="M284" s="36">
        <v>457984.0</v>
      </c>
      <c r="N284" s="36">
        <v>523294.0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982.0</v>
      </c>
      <c r="J285" s="36">
        <v>1196.0</v>
      </c>
      <c r="K285" s="36">
        <v>66292.0</v>
      </c>
      <c r="L285" s="36">
        <v>2323.0</v>
      </c>
      <c r="M285" s="36">
        <v>460307.0</v>
      </c>
      <c r="N285" s="36">
        <v>526599.0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1259.0</v>
      </c>
      <c r="J286" s="36">
        <v>1106.0</v>
      </c>
      <c r="K286" s="36">
        <v>67551.0</v>
      </c>
      <c r="L286" s="36">
        <v>3167.0</v>
      </c>
      <c r="M286" s="36">
        <v>463474.0</v>
      </c>
      <c r="N286" s="36">
        <v>531025.0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1321.0</v>
      </c>
      <c r="J287" s="36">
        <v>1187.0</v>
      </c>
      <c r="K287" s="36">
        <v>68872.0</v>
      </c>
      <c r="L287" s="36">
        <v>3385.0</v>
      </c>
      <c r="M287" s="36">
        <v>466859.0</v>
      </c>
      <c r="N287" s="36">
        <v>535731.0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1347.0</v>
      </c>
      <c r="J288" s="36">
        <v>1309.0</v>
      </c>
      <c r="K288" s="36">
        <v>70219.0</v>
      </c>
      <c r="L288" s="36">
        <v>3046.0</v>
      </c>
      <c r="M288" s="36">
        <v>469905.0</v>
      </c>
      <c r="N288" s="36">
        <v>540124.0</v>
      </c>
      <c r="O288" s="36">
        <v>58.0</v>
      </c>
      <c r="P288" s="38">
        <v>5292.0</v>
      </c>
      <c r="Q288" s="38">
        <v>62.0</v>
      </c>
      <c r="R288" s="38">
        <v>4254.0</v>
      </c>
      <c r="S288" s="38">
        <v>9.0</v>
      </c>
      <c r="T288" s="38">
        <v>546.0</v>
      </c>
      <c r="U288" s="38">
        <v>492.0</v>
      </c>
      <c r="V288" s="38">
        <v>502.0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1264.0</v>
      </c>
      <c r="J289" s="36">
        <v>1311.0</v>
      </c>
      <c r="K289" s="36">
        <v>71483.0</v>
      </c>
      <c r="L289" s="36">
        <v>3872.0</v>
      </c>
      <c r="M289" s="36">
        <v>473777.0</v>
      </c>
      <c r="N289" s="36">
        <v>545260.0</v>
      </c>
      <c r="O289" s="36">
        <v>63.0</v>
      </c>
      <c r="P289" s="38">
        <v>5355.0</v>
      </c>
      <c r="Q289" s="38">
        <v>57.0</v>
      </c>
      <c r="R289" s="38">
        <v>4311.0</v>
      </c>
      <c r="S289" s="38">
        <v>7.0</v>
      </c>
      <c r="T289" s="38">
        <v>553.0</v>
      </c>
      <c r="U289" s="38">
        <v>491.0</v>
      </c>
      <c r="V289" s="38">
        <v>496.0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1306.0</v>
      </c>
      <c r="J290" s="36">
        <v>1306.0</v>
      </c>
      <c r="K290" s="36">
        <v>72789.0</v>
      </c>
      <c r="L290" s="36">
        <v>3429.0</v>
      </c>
      <c r="M290" s="36">
        <v>477206.0</v>
      </c>
      <c r="N290" s="36">
        <v>549995.0</v>
      </c>
      <c r="O290" s="36">
        <v>69.0</v>
      </c>
      <c r="P290" s="38">
        <v>5424.0</v>
      </c>
      <c r="Q290" s="38">
        <v>81.0</v>
      </c>
      <c r="R290" s="38">
        <v>4392.0</v>
      </c>
      <c r="S290" s="38">
        <v>7.0</v>
      </c>
      <c r="T290" s="38">
        <v>560.0</v>
      </c>
      <c r="U290" s="38">
        <v>472.0</v>
      </c>
      <c r="V290" s="38">
        <v>485.0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934.0</v>
      </c>
      <c r="J291" s="36">
        <v>1168.0</v>
      </c>
      <c r="K291" s="36">
        <v>73723.0</v>
      </c>
      <c r="L291" s="36">
        <v>2929.0</v>
      </c>
      <c r="M291" s="36">
        <v>480135.0</v>
      </c>
      <c r="N291" s="36">
        <v>553858.0</v>
      </c>
      <c r="O291" s="36">
        <v>65.0</v>
      </c>
      <c r="P291" s="38">
        <v>5489.0</v>
      </c>
      <c r="Q291" s="38">
        <v>54.0</v>
      </c>
      <c r="R291" s="38">
        <v>4446.0</v>
      </c>
      <c r="S291" s="38">
        <v>9.0</v>
      </c>
      <c r="T291" s="38">
        <v>569.0</v>
      </c>
      <c r="U291" s="38">
        <v>474.0</v>
      </c>
      <c r="V291" s="38">
        <v>479.0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555.0</v>
      </c>
      <c r="J292" s="36">
        <v>932.0</v>
      </c>
      <c r="K292" s="36">
        <v>74278.0</v>
      </c>
      <c r="L292" s="36">
        <v>1906.0</v>
      </c>
      <c r="M292" s="36">
        <v>482041.0</v>
      </c>
      <c r="N292" s="36">
        <v>556319.0</v>
      </c>
      <c r="O292" s="36">
        <v>74.0</v>
      </c>
      <c r="P292" s="38">
        <v>5563.0</v>
      </c>
      <c r="Q292" s="38">
        <v>40.0</v>
      </c>
      <c r="R292" s="38">
        <v>4486.0</v>
      </c>
      <c r="S292" s="38">
        <v>13.0</v>
      </c>
      <c r="T292" s="38">
        <v>582.0</v>
      </c>
      <c r="U292" s="38">
        <v>495.0</v>
      </c>
      <c r="V292" s="38">
        <v>480.0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1140.0</v>
      </c>
      <c r="J293" s="36">
        <v>876.0</v>
      </c>
      <c r="K293" s="36">
        <v>75418.0</v>
      </c>
      <c r="L293" s="36">
        <v>3241.0</v>
      </c>
      <c r="M293" s="36">
        <v>485282.0</v>
      </c>
      <c r="N293" s="36">
        <v>560700.0</v>
      </c>
      <c r="O293" s="36">
        <v>85.0</v>
      </c>
      <c r="P293" s="38">
        <v>5648.0</v>
      </c>
      <c r="Q293" s="38">
        <v>63.0</v>
      </c>
      <c r="R293" s="38">
        <v>4549.0</v>
      </c>
      <c r="S293" s="38">
        <v>10.0</v>
      </c>
      <c r="T293" s="38">
        <v>592.0</v>
      </c>
      <c r="U293" s="38">
        <v>507.0</v>
      </c>
      <c r="V293" s="38">
        <v>492.0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1270.0</v>
      </c>
      <c r="C294" s="35">
        <v>1087.0</v>
      </c>
      <c r="D294" s="35">
        <v>92550.0</v>
      </c>
      <c r="E294" s="36">
        <v>15133.0</v>
      </c>
      <c r="F294" s="37">
        <v>1696372.0</v>
      </c>
      <c r="G294" s="37">
        <v>16403.0</v>
      </c>
      <c r="H294" s="37">
        <v>1788922.0</v>
      </c>
      <c r="I294" s="36">
        <v>1059.0</v>
      </c>
      <c r="J294" s="36">
        <v>918.0</v>
      </c>
      <c r="K294" s="36">
        <v>76477.0</v>
      </c>
      <c r="L294" s="36">
        <v>2951.0</v>
      </c>
      <c r="M294" s="36">
        <v>488233.0</v>
      </c>
      <c r="N294" s="36">
        <v>564710.0</v>
      </c>
      <c r="O294" s="36">
        <v>71.0</v>
      </c>
      <c r="P294" s="38">
        <v>5719.0</v>
      </c>
      <c r="Q294" s="38">
        <v>56.0</v>
      </c>
      <c r="R294" s="38">
        <v>4605.0</v>
      </c>
      <c r="S294" s="38">
        <v>5.0</v>
      </c>
      <c r="T294" s="38">
        <v>597.0</v>
      </c>
      <c r="U294" s="38">
        <v>517.0</v>
      </c>
      <c r="V294" s="38">
        <v>506.0</v>
      </c>
      <c r="W294" s="38">
        <v>63.0</v>
      </c>
      <c r="X294" s="38">
        <v>32.0</v>
      </c>
      <c r="Y294" s="38">
        <v>16.0</v>
      </c>
      <c r="Z294" s="35">
        <v>1684.0</v>
      </c>
      <c r="AA294" s="29">
        <v>425.0</v>
      </c>
      <c r="AB294" s="29">
        <v>0.0</v>
      </c>
      <c r="AC294" s="29">
        <v>425.0</v>
      </c>
      <c r="AD294" s="29">
        <v>538.0</v>
      </c>
      <c r="AE294" s="29">
        <v>425.0</v>
      </c>
      <c r="AF294" s="29">
        <v>538.0</v>
      </c>
      <c r="AG294" s="29">
        <v>0.0</v>
      </c>
      <c r="AH294" s="29">
        <v>0.0</v>
      </c>
    </row>
    <row r="295" ht="14.25" customHeight="1">
      <c r="A295" s="34">
        <v>44181.0</v>
      </c>
      <c r="B295" s="35">
        <v>1281.0</v>
      </c>
      <c r="C295" s="35">
        <v>1290.0</v>
      </c>
      <c r="D295" s="35">
        <v>93831.0</v>
      </c>
      <c r="E295" s="36">
        <v>19138.0</v>
      </c>
      <c r="F295" s="37">
        <v>1715510.0</v>
      </c>
      <c r="G295" s="37">
        <v>20419.0</v>
      </c>
      <c r="H295" s="37">
        <v>1809341.0</v>
      </c>
      <c r="I295" s="36">
        <v>1076.0</v>
      </c>
      <c r="J295" s="36">
        <v>1092.0</v>
      </c>
      <c r="K295" s="36">
        <v>77553.0</v>
      </c>
      <c r="L295" s="36">
        <v>3541.0</v>
      </c>
      <c r="M295" s="36">
        <v>491774.0</v>
      </c>
      <c r="N295" s="36">
        <v>569327.0</v>
      </c>
      <c r="O295" s="36">
        <v>58.0</v>
      </c>
      <c r="P295" s="38">
        <v>5777.0</v>
      </c>
      <c r="Q295" s="38">
        <v>73.0</v>
      </c>
      <c r="R295" s="38">
        <v>4678.0</v>
      </c>
      <c r="S295" s="38">
        <v>11.0</v>
      </c>
      <c r="T295" s="38">
        <v>608.0</v>
      </c>
      <c r="U295" s="38">
        <v>491.0</v>
      </c>
      <c r="V295" s="38">
        <v>505.0</v>
      </c>
      <c r="W295" s="38">
        <v>62.0</v>
      </c>
      <c r="X295" s="38">
        <v>34.0</v>
      </c>
      <c r="Y295" s="38">
        <v>19.0</v>
      </c>
      <c r="Z295" s="35">
        <v>1703.0</v>
      </c>
      <c r="AA295" s="29">
        <v>418.0</v>
      </c>
      <c r="AB295" s="29">
        <v>0.0</v>
      </c>
      <c r="AC295" s="29">
        <v>418.0</v>
      </c>
      <c r="AD295" s="29">
        <v>956.0</v>
      </c>
      <c r="AE295" s="29">
        <v>418.0</v>
      </c>
      <c r="AF295" s="29">
        <v>956.0</v>
      </c>
      <c r="AG295" s="29">
        <v>0.0</v>
      </c>
      <c r="AH295" s="29">
        <v>0.0</v>
      </c>
    </row>
    <row r="296" ht="14.25" customHeight="1">
      <c r="A296" s="34">
        <v>44182.0</v>
      </c>
      <c r="B296" s="35">
        <v>483.0</v>
      </c>
      <c r="C296" s="35">
        <v>1011.0</v>
      </c>
      <c r="D296" s="35">
        <v>94314.0</v>
      </c>
      <c r="E296" s="36">
        <v>8773.0</v>
      </c>
      <c r="F296" s="37">
        <v>1724283.0</v>
      </c>
      <c r="G296" s="37">
        <v>9256.0</v>
      </c>
      <c r="H296" s="37">
        <v>1818597.0</v>
      </c>
      <c r="I296" s="36">
        <v>431.0</v>
      </c>
      <c r="J296" s="36">
        <v>855.0</v>
      </c>
      <c r="K296" s="36">
        <v>77984.0</v>
      </c>
      <c r="L296" s="36">
        <v>1203.0</v>
      </c>
      <c r="M296" s="36">
        <v>492977.0</v>
      </c>
      <c r="N296" s="36">
        <v>570961.0</v>
      </c>
      <c r="O296" s="36">
        <v>46.0</v>
      </c>
      <c r="P296" s="38">
        <v>5823.0</v>
      </c>
      <c r="Q296" s="38">
        <v>54.0</v>
      </c>
      <c r="R296" s="38">
        <v>4732.0</v>
      </c>
      <c r="S296" s="38">
        <v>8.0</v>
      </c>
      <c r="T296" s="38">
        <v>616.0</v>
      </c>
      <c r="U296" s="38">
        <v>475.0</v>
      </c>
      <c r="V296" s="38">
        <v>494.0</v>
      </c>
      <c r="W296" s="38">
        <v>61.0</v>
      </c>
      <c r="X296" s="38">
        <v>34.0</v>
      </c>
      <c r="Y296" s="38">
        <v>17.0</v>
      </c>
      <c r="Z296" s="35">
        <v>1720.0</v>
      </c>
      <c r="AA296" s="29">
        <v>350.0</v>
      </c>
      <c r="AB296" s="29">
        <v>0.0</v>
      </c>
      <c r="AC296" s="29">
        <v>350.0</v>
      </c>
      <c r="AD296" s="29">
        <v>1306.0</v>
      </c>
      <c r="AE296" s="29">
        <v>350.0</v>
      </c>
      <c r="AF296" s="29">
        <v>1306.0</v>
      </c>
      <c r="AG296" s="29">
        <v>0.0</v>
      </c>
      <c r="AH296" s="29">
        <v>0.0</v>
      </c>
    </row>
    <row r="297" ht="14.25" customHeight="1">
      <c r="A297" s="34">
        <v>44183.0</v>
      </c>
      <c r="B297" s="35">
        <v>1114.0</v>
      </c>
      <c r="C297" s="35">
        <v>959.0</v>
      </c>
      <c r="D297" s="35">
        <v>95428.0</v>
      </c>
      <c r="E297" s="36">
        <v>13649.0</v>
      </c>
      <c r="F297" s="37">
        <v>1737932.0</v>
      </c>
      <c r="G297" s="37">
        <v>14763.0</v>
      </c>
      <c r="H297" s="37">
        <v>1833360.0</v>
      </c>
      <c r="I297" s="36">
        <v>936.0</v>
      </c>
      <c r="J297" s="36">
        <v>814.0</v>
      </c>
      <c r="K297" s="36">
        <v>78920.0</v>
      </c>
      <c r="L297" s="36">
        <v>2697.0</v>
      </c>
      <c r="M297" s="36">
        <v>495674.0</v>
      </c>
      <c r="N297" s="36">
        <v>574594.0</v>
      </c>
      <c r="O297" s="36">
        <v>56.0</v>
      </c>
      <c r="P297" s="38">
        <v>5879.0</v>
      </c>
      <c r="Q297" s="38">
        <v>66.0</v>
      </c>
      <c r="R297" s="38">
        <v>4798.0</v>
      </c>
      <c r="S297" s="38">
        <v>11.0</v>
      </c>
      <c r="T297" s="38">
        <v>627.0</v>
      </c>
      <c r="U297" s="38">
        <v>454.0</v>
      </c>
      <c r="V297" s="38">
        <v>473.0</v>
      </c>
      <c r="W297" s="38">
        <v>61.0</v>
      </c>
      <c r="X297" s="38">
        <v>35.0</v>
      </c>
      <c r="Y297" s="38">
        <v>15.0</v>
      </c>
      <c r="Z297" s="35">
        <v>1735.0</v>
      </c>
      <c r="AA297" s="29">
        <v>1671.0</v>
      </c>
      <c r="AB297" s="29">
        <v>0.0</v>
      </c>
      <c r="AC297" s="29">
        <v>1671.0</v>
      </c>
      <c r="AD297" s="29">
        <v>2977.0</v>
      </c>
      <c r="AE297" s="29">
        <v>1671.0</v>
      </c>
      <c r="AF297" s="29">
        <v>2977.0</v>
      </c>
      <c r="AG297" s="29">
        <v>0.0</v>
      </c>
      <c r="AH297" s="29">
        <v>0.0</v>
      </c>
    </row>
    <row r="298" ht="14.25" customHeight="1">
      <c r="A298" s="34">
        <v>44184.0</v>
      </c>
      <c r="B298" s="35">
        <v>1317.0</v>
      </c>
      <c r="C298" s="35">
        <v>971.0</v>
      </c>
      <c r="D298" s="35">
        <v>96745.0</v>
      </c>
      <c r="E298" s="36">
        <v>16377.0</v>
      </c>
      <c r="F298" s="37">
        <v>1754309.0</v>
      </c>
      <c r="G298" s="37">
        <v>17694.0</v>
      </c>
      <c r="H298" s="37">
        <v>1851054.0</v>
      </c>
      <c r="I298" s="36">
        <v>1082.0</v>
      </c>
      <c r="J298" s="36">
        <v>816.0</v>
      </c>
      <c r="K298" s="36">
        <v>80002.0</v>
      </c>
      <c r="L298" s="36">
        <v>2980.0</v>
      </c>
      <c r="M298" s="36">
        <v>498654.0</v>
      </c>
      <c r="N298" s="36">
        <v>578656.0</v>
      </c>
      <c r="O298" s="36">
        <v>60.0</v>
      </c>
      <c r="P298" s="38">
        <v>5939.0</v>
      </c>
      <c r="Q298" s="38">
        <v>41.0</v>
      </c>
      <c r="R298" s="38">
        <v>4839.0</v>
      </c>
      <c r="S298" s="38">
        <v>9.0</v>
      </c>
      <c r="T298" s="38">
        <v>636.0</v>
      </c>
      <c r="U298" s="38">
        <v>464.0</v>
      </c>
      <c r="V298" s="38">
        <v>464.0</v>
      </c>
      <c r="W298" s="38">
        <v>62.0</v>
      </c>
      <c r="X298" s="38">
        <v>40.0</v>
      </c>
      <c r="Y298" s="38">
        <v>20.0</v>
      </c>
      <c r="Z298" s="35">
        <v>1755.0</v>
      </c>
      <c r="AA298" s="29">
        <v>1177.0</v>
      </c>
      <c r="AB298" s="29">
        <v>0.0</v>
      </c>
      <c r="AC298" s="29">
        <v>1177.0</v>
      </c>
      <c r="AD298" s="29">
        <v>4154.0</v>
      </c>
      <c r="AE298" s="29">
        <v>1177.0</v>
      </c>
      <c r="AF298" s="29">
        <v>4154.0</v>
      </c>
      <c r="AG298" s="29">
        <v>0.0</v>
      </c>
      <c r="AH298" s="29">
        <v>0.0</v>
      </c>
    </row>
    <row r="299" ht="14.25" customHeight="1">
      <c r="A299" s="34">
        <v>44185.0</v>
      </c>
      <c r="B299" s="35">
        <v>537.0</v>
      </c>
      <c r="C299" s="35">
        <v>989.0</v>
      </c>
      <c r="D299" s="35">
        <v>97282.0</v>
      </c>
      <c r="E299" s="36">
        <v>6826.0</v>
      </c>
      <c r="F299" s="37">
        <v>1761135.0</v>
      </c>
      <c r="G299" s="37">
        <v>7363.0</v>
      </c>
      <c r="H299" s="37">
        <v>1858417.0</v>
      </c>
      <c r="I299" s="36">
        <v>440.0</v>
      </c>
      <c r="J299" s="36">
        <v>819.0</v>
      </c>
      <c r="K299" s="36">
        <v>80442.0</v>
      </c>
      <c r="L299" s="36">
        <v>1607.0</v>
      </c>
      <c r="M299" s="36">
        <v>500261.0</v>
      </c>
      <c r="N299" s="36">
        <v>580703.0</v>
      </c>
      <c r="O299" s="36">
        <v>59.0</v>
      </c>
      <c r="P299" s="38">
        <v>5998.0</v>
      </c>
      <c r="Q299" s="38">
        <v>41.0</v>
      </c>
      <c r="R299" s="38">
        <v>4880.0</v>
      </c>
      <c r="S299" s="38">
        <v>8.0</v>
      </c>
      <c r="T299" s="38">
        <v>644.0</v>
      </c>
      <c r="U299" s="38">
        <v>474.0</v>
      </c>
      <c r="V299" s="38">
        <v>464.0</v>
      </c>
      <c r="W299" s="38">
        <v>64.0</v>
      </c>
      <c r="X299" s="38">
        <v>43.0</v>
      </c>
      <c r="Y299" s="38">
        <v>14.0</v>
      </c>
      <c r="Z299" s="35">
        <v>1769.0</v>
      </c>
      <c r="AA299" s="29">
        <v>804.0</v>
      </c>
      <c r="AB299" s="29">
        <v>0.0</v>
      </c>
      <c r="AC299" s="29">
        <v>804.0</v>
      </c>
      <c r="AD299" s="29">
        <v>4958.0</v>
      </c>
      <c r="AE299" s="29">
        <v>804.0</v>
      </c>
      <c r="AF299" s="29">
        <v>4958.0</v>
      </c>
      <c r="AG299" s="29">
        <v>0.0</v>
      </c>
      <c r="AH299" s="29">
        <v>0.0</v>
      </c>
    </row>
    <row r="300" ht="14.25" customHeight="1">
      <c r="A300" s="34">
        <v>44186.0</v>
      </c>
      <c r="B300" s="35">
        <v>1108.0</v>
      </c>
      <c r="C300" s="35">
        <v>987.0</v>
      </c>
      <c r="D300" s="35">
        <v>98390.0</v>
      </c>
      <c r="E300" s="36">
        <v>12163.0</v>
      </c>
      <c r="F300" s="37">
        <v>1773298.0</v>
      </c>
      <c r="G300" s="37">
        <v>13271.0</v>
      </c>
      <c r="H300" s="37">
        <v>1871688.0</v>
      </c>
      <c r="I300" s="36">
        <v>932.0</v>
      </c>
      <c r="J300" s="36">
        <v>818.0</v>
      </c>
      <c r="K300" s="36">
        <v>81374.0</v>
      </c>
      <c r="L300" s="36">
        <v>3459.0</v>
      </c>
      <c r="M300" s="36">
        <v>503720.0</v>
      </c>
      <c r="N300" s="36">
        <v>585094.0</v>
      </c>
      <c r="O300" s="36">
        <v>73.0</v>
      </c>
      <c r="P300" s="38">
        <v>6071.0</v>
      </c>
      <c r="Q300" s="38">
        <v>52.0</v>
      </c>
      <c r="R300" s="38">
        <v>4932.0</v>
      </c>
      <c r="S300" s="38">
        <v>7.0</v>
      </c>
      <c r="T300" s="38">
        <v>651.0</v>
      </c>
      <c r="U300" s="38">
        <v>488.0</v>
      </c>
      <c r="V300" s="38">
        <v>475.0</v>
      </c>
      <c r="W300" s="38">
        <v>58.0</v>
      </c>
      <c r="X300" s="38">
        <v>40.0</v>
      </c>
      <c r="Y300" s="38">
        <v>11.0</v>
      </c>
      <c r="Z300" s="35">
        <v>1780.0</v>
      </c>
      <c r="AA300" s="29">
        <v>1763.0</v>
      </c>
      <c r="AB300" s="29">
        <v>0.0</v>
      </c>
      <c r="AC300" s="29">
        <v>1763.0</v>
      </c>
      <c r="AD300" s="29">
        <v>6721.0</v>
      </c>
      <c r="AE300" s="29">
        <v>1763.0</v>
      </c>
      <c r="AF300" s="29">
        <v>6721.0</v>
      </c>
      <c r="AG300" s="29">
        <v>0.0</v>
      </c>
      <c r="AH300" s="29">
        <v>0.0</v>
      </c>
    </row>
    <row r="301" ht="14.25" customHeight="1">
      <c r="A301" s="34">
        <v>44187.0</v>
      </c>
      <c r="B301" s="35">
        <v>1079.0</v>
      </c>
      <c r="C301" s="35">
        <v>908.0</v>
      </c>
      <c r="D301" s="35">
        <v>99469.0</v>
      </c>
      <c r="E301" s="36">
        <v>16605.0</v>
      </c>
      <c r="F301" s="37">
        <v>1789903.0</v>
      </c>
      <c r="G301" s="37">
        <v>17684.0</v>
      </c>
      <c r="H301" s="37">
        <v>1889372.0</v>
      </c>
      <c r="I301" s="36">
        <v>928.0</v>
      </c>
      <c r="J301" s="36">
        <v>767.0</v>
      </c>
      <c r="K301" s="36">
        <v>82302.0</v>
      </c>
      <c r="L301" s="36">
        <v>3304.0</v>
      </c>
      <c r="M301" s="36">
        <v>507024.0</v>
      </c>
      <c r="N301" s="36">
        <v>589326.0</v>
      </c>
      <c r="O301" s="36">
        <v>51.0</v>
      </c>
      <c r="P301" s="38">
        <v>6122.0</v>
      </c>
      <c r="Q301" s="38">
        <v>78.0</v>
      </c>
      <c r="R301" s="38">
        <v>5010.0</v>
      </c>
      <c r="S301" s="38">
        <v>10.0</v>
      </c>
      <c r="T301" s="38">
        <v>661.0</v>
      </c>
      <c r="U301" s="38">
        <v>451.0</v>
      </c>
      <c r="V301" s="38">
        <v>471.0</v>
      </c>
      <c r="W301" s="38">
        <v>58.0</v>
      </c>
      <c r="X301" s="38">
        <v>40.0</v>
      </c>
      <c r="Y301" s="38">
        <v>18.0</v>
      </c>
      <c r="Z301" s="35">
        <v>1798.0</v>
      </c>
      <c r="AA301" s="29">
        <v>1526.0</v>
      </c>
      <c r="AB301" s="29">
        <v>0.0</v>
      </c>
      <c r="AC301" s="29">
        <v>1526.0</v>
      </c>
      <c r="AD301" s="29">
        <v>8247.0</v>
      </c>
      <c r="AE301" s="29">
        <v>1526.0</v>
      </c>
      <c r="AF301" s="29">
        <v>8247.0</v>
      </c>
      <c r="AG301" s="29">
        <v>0.0</v>
      </c>
      <c r="AH301" s="29">
        <v>0.0</v>
      </c>
    </row>
    <row r="302" ht="14.25" customHeight="1">
      <c r="A302" s="34">
        <v>44188.0</v>
      </c>
      <c r="B302" s="35">
        <v>1092.0</v>
      </c>
      <c r="C302" s="35">
        <v>1093.0</v>
      </c>
      <c r="D302" s="35">
        <v>100561.0</v>
      </c>
      <c r="E302" s="36">
        <v>19917.0</v>
      </c>
      <c r="F302" s="37">
        <v>1809820.0</v>
      </c>
      <c r="G302" s="37">
        <v>21009.0</v>
      </c>
      <c r="H302" s="37">
        <v>1910381.0</v>
      </c>
      <c r="I302" s="36">
        <v>953.0</v>
      </c>
      <c r="J302" s="36">
        <v>938.0</v>
      </c>
      <c r="K302" s="36">
        <v>83255.0</v>
      </c>
      <c r="L302" s="36">
        <v>3686.0</v>
      </c>
      <c r="M302" s="36">
        <v>510710.0</v>
      </c>
      <c r="N302" s="36">
        <v>593965.0</v>
      </c>
      <c r="O302" s="36">
        <v>61.0</v>
      </c>
      <c r="P302" s="38">
        <v>6183.0</v>
      </c>
      <c r="Q302" s="38">
        <v>63.0</v>
      </c>
      <c r="R302" s="38">
        <v>5073.0</v>
      </c>
      <c r="S302" s="38">
        <v>5.0</v>
      </c>
      <c r="T302" s="38">
        <v>666.0</v>
      </c>
      <c r="U302" s="38">
        <v>444.0</v>
      </c>
      <c r="V302" s="38">
        <v>461.0</v>
      </c>
      <c r="W302" s="38">
        <v>64.0</v>
      </c>
      <c r="X302" s="38">
        <v>41.0</v>
      </c>
      <c r="Y302" s="38">
        <v>10.0</v>
      </c>
      <c r="Z302" s="35">
        <v>1808.0</v>
      </c>
      <c r="AA302" s="29">
        <v>1581.0</v>
      </c>
      <c r="AB302" s="29">
        <v>0.0</v>
      </c>
      <c r="AC302" s="29">
        <v>1581.0</v>
      </c>
      <c r="AD302" s="29">
        <v>9828.0</v>
      </c>
      <c r="AE302" s="29">
        <v>1581.0</v>
      </c>
      <c r="AF302" s="29">
        <v>9828.0</v>
      </c>
      <c r="AG302" s="29">
        <v>0.0</v>
      </c>
      <c r="AH302" s="29">
        <v>0.0</v>
      </c>
    </row>
    <row r="303" ht="14.25" customHeight="1">
      <c r="A303" s="34">
        <v>44189.0</v>
      </c>
      <c r="B303" s="35">
        <v>1076.0</v>
      </c>
      <c r="C303" s="35">
        <v>1082.0</v>
      </c>
      <c r="D303" s="35">
        <v>101637.0</v>
      </c>
      <c r="E303" s="36">
        <v>17039.0</v>
      </c>
      <c r="F303" s="37">
        <v>1826859.0</v>
      </c>
      <c r="G303" s="37">
        <v>18115.0</v>
      </c>
      <c r="H303" s="37">
        <v>1928496.0</v>
      </c>
      <c r="I303" s="36">
        <v>892.0</v>
      </c>
      <c r="J303" s="36">
        <v>924.0</v>
      </c>
      <c r="K303" s="36">
        <v>84147.0</v>
      </c>
      <c r="L303" s="36">
        <v>3346.0</v>
      </c>
      <c r="M303" s="36">
        <v>514056.0</v>
      </c>
      <c r="N303" s="36">
        <v>598203.0</v>
      </c>
      <c r="O303" s="36">
        <v>52.0</v>
      </c>
      <c r="P303" s="38">
        <v>6235.0</v>
      </c>
      <c r="Q303" s="38">
        <v>56.0</v>
      </c>
      <c r="R303" s="38">
        <v>5129.0</v>
      </c>
      <c r="S303" s="38">
        <v>6.0</v>
      </c>
      <c r="T303" s="38">
        <v>672.0</v>
      </c>
      <c r="U303" s="38">
        <v>434.0</v>
      </c>
      <c r="V303" s="38">
        <v>443.0</v>
      </c>
      <c r="W303" s="38">
        <v>67.0</v>
      </c>
      <c r="X303" s="38">
        <v>44.0</v>
      </c>
      <c r="Y303" s="38">
        <v>17.0</v>
      </c>
      <c r="Z303" s="35">
        <v>1825.0</v>
      </c>
      <c r="AA303" s="29">
        <v>639.0</v>
      </c>
      <c r="AB303" s="29">
        <v>0.0</v>
      </c>
      <c r="AC303" s="29">
        <v>639.0</v>
      </c>
      <c r="AD303" s="29">
        <v>10467.0</v>
      </c>
      <c r="AE303" s="29">
        <v>639.0</v>
      </c>
      <c r="AF303" s="29">
        <v>10467.0</v>
      </c>
      <c r="AG303" s="29">
        <v>0.0</v>
      </c>
      <c r="AH303" s="29">
        <v>0.0</v>
      </c>
    </row>
    <row r="304" ht="14.25" customHeight="1">
      <c r="A304" s="34">
        <v>44190.0</v>
      </c>
      <c r="B304" s="35">
        <v>306.0</v>
      </c>
      <c r="C304" s="35">
        <v>825.0</v>
      </c>
      <c r="D304" s="35">
        <v>101943.0</v>
      </c>
      <c r="E304" s="36">
        <v>3396.0</v>
      </c>
      <c r="F304" s="37">
        <v>1830255.0</v>
      </c>
      <c r="G304" s="37">
        <v>3702.0</v>
      </c>
      <c r="H304" s="37">
        <v>1932198.0</v>
      </c>
      <c r="I304" s="36">
        <v>244.0</v>
      </c>
      <c r="J304" s="36">
        <v>696.0</v>
      </c>
      <c r="K304" s="36">
        <v>84391.0</v>
      </c>
      <c r="L304" s="36">
        <v>625.0</v>
      </c>
      <c r="M304" s="36">
        <v>514681.0</v>
      </c>
      <c r="N304" s="36">
        <v>599072.0</v>
      </c>
      <c r="O304" s="36">
        <v>51.0</v>
      </c>
      <c r="P304" s="38">
        <v>6286.0</v>
      </c>
      <c r="Q304" s="38">
        <v>26.0</v>
      </c>
      <c r="R304" s="38">
        <v>5155.0</v>
      </c>
      <c r="S304" s="38">
        <v>13.0</v>
      </c>
      <c r="T304" s="38">
        <v>685.0</v>
      </c>
      <c r="U304" s="38">
        <v>446.0</v>
      </c>
      <c r="V304" s="38">
        <v>441.0</v>
      </c>
      <c r="W304" s="38">
        <v>64.0</v>
      </c>
      <c r="X304" s="38">
        <v>45.0</v>
      </c>
      <c r="Y304" s="38">
        <v>21.0</v>
      </c>
      <c r="Z304" s="35">
        <v>1846.0</v>
      </c>
      <c r="AA304" s="29">
        <v>1.0</v>
      </c>
      <c r="AB304" s="29">
        <v>0.0</v>
      </c>
      <c r="AC304" s="29">
        <v>1.0</v>
      </c>
      <c r="AD304" s="29">
        <v>10468.0</v>
      </c>
      <c r="AE304" s="29">
        <v>1.0</v>
      </c>
      <c r="AF304" s="29">
        <v>10468.0</v>
      </c>
      <c r="AG304" s="29">
        <v>0.0</v>
      </c>
      <c r="AH304" s="29">
        <v>0.0</v>
      </c>
    </row>
    <row r="305" ht="14.25" customHeight="1">
      <c r="A305" s="34">
        <v>44191.0</v>
      </c>
      <c r="B305" s="35">
        <v>945.0</v>
      </c>
      <c r="C305" s="35">
        <v>776.0</v>
      </c>
      <c r="D305" s="35">
        <v>102888.0</v>
      </c>
      <c r="E305" s="36">
        <v>10663.0</v>
      </c>
      <c r="F305" s="37">
        <v>1840918.0</v>
      </c>
      <c r="G305" s="37">
        <v>11608.0</v>
      </c>
      <c r="H305" s="37">
        <v>1943806.0</v>
      </c>
      <c r="I305" s="36">
        <v>815.0</v>
      </c>
      <c r="J305" s="36">
        <v>650.0</v>
      </c>
      <c r="K305" s="36">
        <v>85206.0</v>
      </c>
      <c r="L305" s="36">
        <v>2160.0</v>
      </c>
      <c r="M305" s="36">
        <v>516841.0</v>
      </c>
      <c r="N305" s="36">
        <v>602047.0</v>
      </c>
      <c r="O305" s="36">
        <v>57.0</v>
      </c>
      <c r="P305" s="38">
        <v>6343.0</v>
      </c>
      <c r="Q305" s="38">
        <v>40.0</v>
      </c>
      <c r="R305" s="38">
        <v>5195.0</v>
      </c>
      <c r="S305" s="38">
        <v>5.0</v>
      </c>
      <c r="T305" s="38">
        <v>690.0</v>
      </c>
      <c r="U305" s="38">
        <v>458.0</v>
      </c>
      <c r="V305" s="38">
        <v>446.0</v>
      </c>
      <c r="W305" s="38">
        <v>67.0</v>
      </c>
      <c r="X305" s="38">
        <v>54.0</v>
      </c>
      <c r="Y305" s="38">
        <v>11.0</v>
      </c>
      <c r="Z305" s="35">
        <v>1857.0</v>
      </c>
      <c r="AA305" s="29">
        <v>973.0</v>
      </c>
      <c r="AB305" s="29">
        <v>0.0</v>
      </c>
      <c r="AC305" s="29">
        <v>973.0</v>
      </c>
      <c r="AD305" s="29">
        <v>11441.0</v>
      </c>
      <c r="AE305" s="29">
        <v>973.0</v>
      </c>
      <c r="AF305" s="29">
        <v>11441.0</v>
      </c>
      <c r="AG305" s="29">
        <v>0.0</v>
      </c>
      <c r="AH305" s="29">
        <v>0.0</v>
      </c>
    </row>
    <row r="306" ht="14.25" customHeight="1">
      <c r="A306" s="34">
        <v>44192.0</v>
      </c>
      <c r="B306" s="35">
        <v>791.0</v>
      </c>
      <c r="C306" s="35">
        <v>681.0</v>
      </c>
      <c r="D306" s="35">
        <v>103679.0</v>
      </c>
      <c r="E306" s="36">
        <v>7566.0</v>
      </c>
      <c r="F306" s="37">
        <v>1848484.0</v>
      </c>
      <c r="G306" s="37">
        <v>8357.0</v>
      </c>
      <c r="H306" s="37">
        <v>1952163.0</v>
      </c>
      <c r="I306" s="36">
        <v>689.0</v>
      </c>
      <c r="J306" s="36">
        <v>583.0</v>
      </c>
      <c r="K306" s="36">
        <v>85895.0</v>
      </c>
      <c r="L306" s="36">
        <v>1898.0</v>
      </c>
      <c r="M306" s="36">
        <v>518739.0</v>
      </c>
      <c r="N306" s="36">
        <v>604634.0</v>
      </c>
      <c r="O306" s="36">
        <v>45.0</v>
      </c>
      <c r="P306" s="38">
        <v>6388.0</v>
      </c>
      <c r="Q306" s="38">
        <v>22.0</v>
      </c>
      <c r="R306" s="38">
        <v>5217.0</v>
      </c>
      <c r="S306" s="38">
        <v>8.0</v>
      </c>
      <c r="T306" s="38">
        <v>698.0</v>
      </c>
      <c r="U306" s="38">
        <v>473.0</v>
      </c>
      <c r="V306" s="38">
        <v>459.0</v>
      </c>
      <c r="W306" s="38">
        <v>68.0</v>
      </c>
      <c r="X306" s="38">
        <v>51.0</v>
      </c>
      <c r="Y306" s="38">
        <v>13.0</v>
      </c>
      <c r="Z306" s="35">
        <v>1870.0</v>
      </c>
      <c r="AA306" s="29">
        <v>835.0</v>
      </c>
      <c r="AB306" s="29">
        <v>0.0</v>
      </c>
      <c r="AC306" s="29">
        <v>835.0</v>
      </c>
      <c r="AD306" s="29">
        <v>12276.0</v>
      </c>
      <c r="AE306" s="29">
        <v>835.0</v>
      </c>
      <c r="AF306" s="29">
        <v>12276.0</v>
      </c>
      <c r="AG306" s="29">
        <v>0.0</v>
      </c>
      <c r="AH306" s="29">
        <v>0.0</v>
      </c>
    </row>
    <row r="307" ht="14.25" customHeight="1">
      <c r="A307" s="34">
        <v>44193.0</v>
      </c>
      <c r="B307" s="35">
        <v>1500.0</v>
      </c>
      <c r="C307" s="35">
        <v>1079.0</v>
      </c>
      <c r="D307" s="35">
        <v>105179.0</v>
      </c>
      <c r="E307" s="36">
        <v>12164.0</v>
      </c>
      <c r="F307" s="37">
        <v>1860648.0</v>
      </c>
      <c r="G307" s="37">
        <v>13664.0</v>
      </c>
      <c r="H307" s="37">
        <v>1965827.0</v>
      </c>
      <c r="I307" s="36">
        <v>1288.0</v>
      </c>
      <c r="J307" s="36">
        <v>931.0</v>
      </c>
      <c r="K307" s="36">
        <v>87183.0</v>
      </c>
      <c r="L307" s="36">
        <v>3211.0</v>
      </c>
      <c r="M307" s="36">
        <v>521950.0</v>
      </c>
      <c r="N307" s="36">
        <v>609133.0</v>
      </c>
      <c r="O307" s="36">
        <v>56.0</v>
      </c>
      <c r="P307" s="38">
        <v>6444.0</v>
      </c>
      <c r="Q307" s="38">
        <v>44.0</v>
      </c>
      <c r="R307" s="38">
        <v>5261.0</v>
      </c>
      <c r="S307" s="38">
        <v>5.0</v>
      </c>
      <c r="T307" s="38">
        <v>703.0</v>
      </c>
      <c r="U307" s="38">
        <v>480.0</v>
      </c>
      <c r="V307" s="38">
        <v>470.0</v>
      </c>
      <c r="W307" s="38">
        <v>72.0</v>
      </c>
      <c r="X307" s="38">
        <v>50.0</v>
      </c>
      <c r="Y307" s="38">
        <v>14.0</v>
      </c>
      <c r="Z307" s="35">
        <v>1884.0</v>
      </c>
      <c r="AA307" s="29">
        <v>3562.0</v>
      </c>
      <c r="AB307" s="29">
        <v>0.0</v>
      </c>
      <c r="AC307" s="29">
        <v>3562.0</v>
      </c>
      <c r="AD307" s="29">
        <v>15838.0</v>
      </c>
      <c r="AE307" s="29">
        <v>3562.0</v>
      </c>
      <c r="AF307" s="29">
        <v>15838.0</v>
      </c>
      <c r="AG307" s="29">
        <v>0.0</v>
      </c>
      <c r="AH307" s="29">
        <v>0.0</v>
      </c>
    </row>
    <row r="308" ht="14.25" customHeight="1">
      <c r="A308" s="34">
        <v>44194.0</v>
      </c>
      <c r="B308" s="35">
        <v>1357.0</v>
      </c>
      <c r="C308" s="35">
        <v>1216.0</v>
      </c>
      <c r="D308" s="35">
        <v>106536.0</v>
      </c>
      <c r="E308" s="36">
        <v>13787.0</v>
      </c>
      <c r="F308" s="37">
        <v>1874435.0</v>
      </c>
      <c r="G308" s="37">
        <v>15144.0</v>
      </c>
      <c r="H308" s="37">
        <v>1980971.0</v>
      </c>
      <c r="I308" s="36">
        <v>1221.0</v>
      </c>
      <c r="J308" s="36">
        <v>1066.0</v>
      </c>
      <c r="K308" s="36">
        <v>88404.0</v>
      </c>
      <c r="L308" s="36">
        <v>2753.0</v>
      </c>
      <c r="M308" s="36">
        <v>524703.0</v>
      </c>
      <c r="N308" s="36">
        <v>613107.0</v>
      </c>
      <c r="O308" s="36">
        <v>59.0</v>
      </c>
      <c r="P308" s="38">
        <v>6503.0</v>
      </c>
      <c r="Q308" s="38">
        <v>56.0</v>
      </c>
      <c r="R308" s="38">
        <v>5317.0</v>
      </c>
      <c r="S308" s="38">
        <v>6.0</v>
      </c>
      <c r="T308" s="38">
        <v>709.0</v>
      </c>
      <c r="U308" s="38">
        <v>477.0</v>
      </c>
      <c r="V308" s="38">
        <v>477.0</v>
      </c>
      <c r="W308" s="38">
        <v>70.0</v>
      </c>
      <c r="X308" s="38">
        <v>53.0</v>
      </c>
      <c r="Y308" s="38">
        <v>17.0</v>
      </c>
      <c r="Z308" s="35">
        <v>1901.0</v>
      </c>
      <c r="AA308" s="29">
        <v>3075.0</v>
      </c>
      <c r="AB308" s="29">
        <v>0.0</v>
      </c>
      <c r="AC308" s="29">
        <v>3075.0</v>
      </c>
      <c r="AD308" s="29">
        <v>18913.0</v>
      </c>
      <c r="AE308" s="29">
        <v>3075.0</v>
      </c>
      <c r="AF308" s="29">
        <v>18913.0</v>
      </c>
      <c r="AG308" s="29">
        <v>0.0</v>
      </c>
      <c r="AH308" s="29">
        <v>0.0</v>
      </c>
    </row>
    <row r="309" ht="14.25" customHeight="1">
      <c r="A309" s="34">
        <v>44195.0</v>
      </c>
      <c r="B309" s="35">
        <v>1539.0</v>
      </c>
      <c r="C309" s="35">
        <v>1465.0</v>
      </c>
      <c r="D309" s="35">
        <v>108075.0</v>
      </c>
      <c r="E309" s="36">
        <v>20035.0</v>
      </c>
      <c r="F309" s="37">
        <v>1894470.0</v>
      </c>
      <c r="G309" s="37">
        <v>21574.0</v>
      </c>
      <c r="H309" s="37">
        <v>2002545.0</v>
      </c>
      <c r="I309" s="36">
        <v>1352.0</v>
      </c>
      <c r="J309" s="36">
        <v>1287.0</v>
      </c>
      <c r="K309" s="36">
        <v>89756.0</v>
      </c>
      <c r="L309" s="36">
        <v>3468.0</v>
      </c>
      <c r="M309" s="36">
        <v>528171.0</v>
      </c>
      <c r="N309" s="36">
        <v>617927.0</v>
      </c>
      <c r="O309" s="36">
        <v>60.0</v>
      </c>
      <c r="P309" s="38">
        <v>6563.0</v>
      </c>
      <c r="Q309" s="38">
        <v>57.0</v>
      </c>
      <c r="R309" s="38">
        <v>5374.0</v>
      </c>
      <c r="S309" s="38">
        <v>5.0</v>
      </c>
      <c r="T309" s="38">
        <v>714.0</v>
      </c>
      <c r="U309" s="38">
        <v>475.0</v>
      </c>
      <c r="V309" s="38">
        <v>477.0</v>
      </c>
      <c r="W309" s="38">
        <v>66.0</v>
      </c>
      <c r="X309" s="38">
        <v>49.0</v>
      </c>
      <c r="Y309" s="38">
        <v>11.0</v>
      </c>
      <c r="Z309" s="35">
        <v>1912.0</v>
      </c>
      <c r="AA309" s="29">
        <v>3196.0</v>
      </c>
      <c r="AB309" s="29">
        <v>0.0</v>
      </c>
      <c r="AC309" s="29">
        <v>3196.0</v>
      </c>
      <c r="AD309" s="29">
        <v>22109.0</v>
      </c>
      <c r="AE309" s="29">
        <v>3196.0</v>
      </c>
      <c r="AF309" s="29">
        <v>22109.0</v>
      </c>
      <c r="AG309" s="29">
        <v>0.0</v>
      </c>
      <c r="AH309" s="29">
        <v>0.0</v>
      </c>
    </row>
    <row r="310" ht="14.25" customHeight="1">
      <c r="A310" s="34">
        <v>44196.0</v>
      </c>
      <c r="B310" s="35">
        <v>1008.0</v>
      </c>
      <c r="C310" s="35">
        <v>1301.0</v>
      </c>
      <c r="D310" s="35">
        <v>109083.0</v>
      </c>
      <c r="E310" s="36">
        <v>13998.0</v>
      </c>
      <c r="F310" s="37">
        <v>1908468.0</v>
      </c>
      <c r="G310" s="37">
        <v>15006.0</v>
      </c>
      <c r="H310" s="37">
        <v>2017551.0</v>
      </c>
      <c r="I310" s="36">
        <v>875.0</v>
      </c>
      <c r="J310" s="36">
        <v>1149.0</v>
      </c>
      <c r="K310" s="36">
        <v>90631.0</v>
      </c>
      <c r="L310" s="36">
        <v>2916.0</v>
      </c>
      <c r="M310" s="36">
        <v>531087.0</v>
      </c>
      <c r="N310" s="36">
        <v>621718.0</v>
      </c>
      <c r="O310" s="36">
        <v>57.0</v>
      </c>
      <c r="P310" s="38">
        <v>6620.0</v>
      </c>
      <c r="Q310" s="38">
        <v>60.0</v>
      </c>
      <c r="R310" s="38">
        <v>5434.0</v>
      </c>
      <c r="S310" s="38">
        <v>14.0</v>
      </c>
      <c r="T310" s="38">
        <v>728.0</v>
      </c>
      <c r="U310" s="38">
        <v>458.0</v>
      </c>
      <c r="V310" s="38">
        <v>470.0</v>
      </c>
      <c r="W310" s="38">
        <v>60.0</v>
      </c>
      <c r="X310" s="38">
        <v>44.0</v>
      </c>
      <c r="Y310" s="38">
        <v>19.0</v>
      </c>
      <c r="Z310" s="35">
        <v>1931.0</v>
      </c>
      <c r="AA310" s="29">
        <v>794.0</v>
      </c>
      <c r="AB310" s="29">
        <v>0.0</v>
      </c>
      <c r="AC310" s="29">
        <v>794.0</v>
      </c>
      <c r="AD310" s="29">
        <v>22903.0</v>
      </c>
      <c r="AE310" s="29">
        <v>794.0</v>
      </c>
      <c r="AF310" s="29">
        <v>22903.0</v>
      </c>
      <c r="AG310" s="29">
        <v>0.0</v>
      </c>
      <c r="AH310" s="29">
        <v>0.0</v>
      </c>
    </row>
    <row r="311" ht="14.25" customHeight="1">
      <c r="A311" s="34">
        <v>44197.0</v>
      </c>
      <c r="B311" s="35">
        <v>928.0</v>
      </c>
      <c r="C311" s="35">
        <v>1158.0</v>
      </c>
      <c r="D311" s="35">
        <v>110011.0</v>
      </c>
      <c r="E311" s="36">
        <v>10823.0</v>
      </c>
      <c r="F311" s="37">
        <v>1919291.0</v>
      </c>
      <c r="G311" s="37">
        <v>11751.0</v>
      </c>
      <c r="H311" s="37">
        <v>2029302.0</v>
      </c>
      <c r="I311" s="36">
        <v>806.0</v>
      </c>
      <c r="J311" s="36">
        <v>1011.0</v>
      </c>
      <c r="K311" s="36">
        <v>91437.0</v>
      </c>
      <c r="L311" s="36">
        <v>1924.0</v>
      </c>
      <c r="M311" s="36">
        <v>533011.0</v>
      </c>
      <c r="N311" s="36">
        <v>624448.0</v>
      </c>
      <c r="O311" s="36">
        <v>52.0</v>
      </c>
      <c r="P311" s="38">
        <v>6672.0</v>
      </c>
      <c r="Q311" s="38">
        <v>47.0</v>
      </c>
      <c r="R311" s="38">
        <v>5481.0</v>
      </c>
      <c r="S311" s="38">
        <v>9.0</v>
      </c>
      <c r="T311" s="38">
        <v>737.0</v>
      </c>
      <c r="U311" s="38">
        <v>454.0</v>
      </c>
      <c r="V311" s="38">
        <v>462.0</v>
      </c>
      <c r="W311" s="38">
        <v>60.0</v>
      </c>
      <c r="X311" s="38">
        <v>46.0</v>
      </c>
      <c r="Y311" s="38">
        <v>14.0</v>
      </c>
      <c r="Z311" s="35">
        <v>1945.0</v>
      </c>
      <c r="AA311" s="29">
        <v>63.0</v>
      </c>
      <c r="AB311" s="29">
        <v>0.0</v>
      </c>
      <c r="AC311" s="29">
        <v>63.0</v>
      </c>
      <c r="AD311" s="29">
        <v>22966.0</v>
      </c>
      <c r="AE311" s="29">
        <v>63.0</v>
      </c>
      <c r="AF311" s="29">
        <v>22966.0</v>
      </c>
      <c r="AG311" s="29">
        <v>0.0</v>
      </c>
      <c r="AH311" s="29">
        <v>0.0</v>
      </c>
    </row>
    <row r="312" ht="14.25" customHeight="1">
      <c r="A312" s="34">
        <v>44198.0</v>
      </c>
      <c r="B312" s="35">
        <v>1027.0</v>
      </c>
      <c r="C312" s="35">
        <v>988.0</v>
      </c>
      <c r="D312" s="35">
        <v>111038.0</v>
      </c>
      <c r="E312" s="36">
        <v>9835.0</v>
      </c>
      <c r="F312" s="37">
        <v>1929126.0</v>
      </c>
      <c r="G312" s="37">
        <v>10862.0</v>
      </c>
      <c r="H312" s="37">
        <v>2040164.0</v>
      </c>
      <c r="I312" s="36">
        <v>901.0</v>
      </c>
      <c r="J312" s="36">
        <v>861.0</v>
      </c>
      <c r="K312" s="36">
        <v>92338.0</v>
      </c>
      <c r="L312" s="36">
        <v>2170.0</v>
      </c>
      <c r="M312" s="36">
        <v>535181.0</v>
      </c>
      <c r="N312" s="36">
        <v>627519.0</v>
      </c>
      <c r="O312" s="36">
        <v>51.0</v>
      </c>
      <c r="P312" s="38">
        <v>6723.0</v>
      </c>
      <c r="Q312" s="38">
        <v>33.0</v>
      </c>
      <c r="R312" s="38">
        <v>5514.0</v>
      </c>
      <c r="S312" s="38">
        <v>5.0</v>
      </c>
      <c r="T312" s="38">
        <v>742.0</v>
      </c>
      <c r="U312" s="38">
        <v>467.0</v>
      </c>
      <c r="V312" s="38">
        <v>460.0</v>
      </c>
      <c r="W312" s="38">
        <v>59.0</v>
      </c>
      <c r="X312" s="38">
        <v>42.0</v>
      </c>
      <c r="Y312" s="38">
        <v>13.0</v>
      </c>
      <c r="Z312" s="35">
        <v>1958.0</v>
      </c>
      <c r="AA312" s="29">
        <v>1746.0</v>
      </c>
      <c r="AB312" s="29">
        <v>20.0</v>
      </c>
      <c r="AC312" s="29">
        <v>1766.0</v>
      </c>
      <c r="AD312" s="29">
        <v>24732.0</v>
      </c>
      <c r="AE312" s="29">
        <v>1746.0</v>
      </c>
      <c r="AF312" s="29">
        <v>24712.0</v>
      </c>
      <c r="AG312" s="29">
        <v>20.0</v>
      </c>
      <c r="AH312" s="29">
        <v>20.0</v>
      </c>
    </row>
    <row r="313" ht="14.25" customHeight="1">
      <c r="A313" s="34">
        <v>44199.0</v>
      </c>
      <c r="B313" s="35">
        <v>760.0</v>
      </c>
      <c r="C313" s="35">
        <v>905.0</v>
      </c>
      <c r="D313" s="35">
        <v>111798.0</v>
      </c>
      <c r="E313" s="36">
        <v>8247.0</v>
      </c>
      <c r="F313" s="37">
        <v>1937373.0</v>
      </c>
      <c r="G313" s="37">
        <v>9007.0</v>
      </c>
      <c r="H313" s="37">
        <v>2049171.0</v>
      </c>
      <c r="I313" s="36">
        <v>651.0</v>
      </c>
      <c r="J313" s="36">
        <v>786.0</v>
      </c>
      <c r="K313" s="36">
        <v>92989.0</v>
      </c>
      <c r="L313" s="36">
        <v>2118.0</v>
      </c>
      <c r="M313" s="36">
        <v>537299.0</v>
      </c>
      <c r="N313" s="36">
        <v>630288.0</v>
      </c>
      <c r="O313" s="36">
        <v>39.0</v>
      </c>
      <c r="P313" s="38">
        <v>6762.0</v>
      </c>
      <c r="Q313" s="38">
        <v>40.0</v>
      </c>
      <c r="R313" s="38">
        <v>5554.0</v>
      </c>
      <c r="S313" s="38">
        <v>9.0</v>
      </c>
      <c r="T313" s="38">
        <v>751.0</v>
      </c>
      <c r="U313" s="38">
        <v>457.0</v>
      </c>
      <c r="V313" s="38">
        <v>459.0</v>
      </c>
      <c r="W313" s="38">
        <v>61.0</v>
      </c>
      <c r="X313" s="38">
        <v>42.0</v>
      </c>
      <c r="Y313" s="38">
        <v>17.0</v>
      </c>
      <c r="Z313" s="35">
        <v>1975.0</v>
      </c>
      <c r="AA313" s="29">
        <v>1723.0</v>
      </c>
      <c r="AB313" s="29">
        <v>102.0</v>
      </c>
      <c r="AC313" s="29">
        <v>1825.0</v>
      </c>
      <c r="AD313" s="29">
        <v>26557.0</v>
      </c>
      <c r="AE313" s="29">
        <v>1723.0</v>
      </c>
      <c r="AF313" s="29">
        <v>26435.0</v>
      </c>
      <c r="AG313" s="29">
        <v>102.0</v>
      </c>
      <c r="AH313" s="29">
        <v>122.0</v>
      </c>
    </row>
    <row r="314" ht="14.25" customHeight="1">
      <c r="A314" s="34">
        <v>44200.0</v>
      </c>
      <c r="B314" s="35">
        <v>1264.0</v>
      </c>
      <c r="C314" s="35">
        <v>1017.0</v>
      </c>
      <c r="D314" s="35">
        <v>113062.0</v>
      </c>
      <c r="E314" s="36">
        <v>11850.0</v>
      </c>
      <c r="F314" s="37">
        <v>1949223.0</v>
      </c>
      <c r="G314" s="37">
        <v>13114.0</v>
      </c>
      <c r="H314" s="37">
        <v>2062285.0</v>
      </c>
      <c r="I314" s="36">
        <v>1129.0</v>
      </c>
      <c r="J314" s="36">
        <v>894.0</v>
      </c>
      <c r="K314" s="36">
        <v>94118.0</v>
      </c>
      <c r="L314" s="36">
        <v>2955.0</v>
      </c>
      <c r="M314" s="36">
        <v>540254.0</v>
      </c>
      <c r="N314" s="36">
        <v>634372.0</v>
      </c>
      <c r="O314" s="36">
        <v>68.0</v>
      </c>
      <c r="P314" s="38">
        <v>6830.0</v>
      </c>
      <c r="Q314" s="38">
        <v>60.0</v>
      </c>
      <c r="R314" s="38">
        <v>5614.0</v>
      </c>
      <c r="S314" s="38">
        <v>12.0</v>
      </c>
      <c r="T314" s="38">
        <v>763.0</v>
      </c>
      <c r="U314" s="38">
        <v>453.0</v>
      </c>
      <c r="V314" s="38">
        <v>459.0</v>
      </c>
      <c r="W314" s="38">
        <v>64.0</v>
      </c>
      <c r="X314" s="38">
        <v>42.0</v>
      </c>
      <c r="Y314" s="38">
        <v>19.0</v>
      </c>
      <c r="Z314" s="35">
        <v>1994.0</v>
      </c>
      <c r="AA314" s="29">
        <v>2336.0</v>
      </c>
      <c r="AB314" s="29">
        <v>282.0</v>
      </c>
      <c r="AC314" s="29">
        <v>2618.0</v>
      </c>
      <c r="AD314" s="29">
        <v>29175.0</v>
      </c>
      <c r="AE314" s="29">
        <v>2336.0</v>
      </c>
      <c r="AF314" s="29">
        <v>28771.0</v>
      </c>
      <c r="AG314" s="29">
        <v>282.0</v>
      </c>
      <c r="AH314" s="29">
        <v>404.0</v>
      </c>
    </row>
    <row r="315" ht="14.25" customHeight="1">
      <c r="A315" s="34">
        <v>44201.0</v>
      </c>
      <c r="B315" s="35">
        <v>1882.0</v>
      </c>
      <c r="C315" s="35">
        <v>1302.0</v>
      </c>
      <c r="D315" s="35">
        <v>114944.0</v>
      </c>
      <c r="E315" s="36">
        <v>19204.0</v>
      </c>
      <c r="F315" s="37">
        <v>1968427.0</v>
      </c>
      <c r="G315" s="37">
        <v>21086.0</v>
      </c>
      <c r="H315" s="37">
        <v>2083371.0</v>
      </c>
      <c r="I315" s="36">
        <v>1622.0</v>
      </c>
      <c r="J315" s="36">
        <v>1134.0</v>
      </c>
      <c r="K315" s="36">
        <v>95740.0</v>
      </c>
      <c r="L315" s="36">
        <v>3855.0</v>
      </c>
      <c r="M315" s="36">
        <v>544109.0</v>
      </c>
      <c r="N315" s="36">
        <v>639849.0</v>
      </c>
      <c r="O315" s="36">
        <v>57.0</v>
      </c>
      <c r="P315" s="38">
        <v>6887.0</v>
      </c>
      <c r="Q315" s="38">
        <v>55.0</v>
      </c>
      <c r="R315" s="38">
        <v>5669.0</v>
      </c>
      <c r="S315" s="38">
        <v>7.0</v>
      </c>
      <c r="T315" s="38">
        <v>770.0</v>
      </c>
      <c r="U315" s="38">
        <v>448.0</v>
      </c>
      <c r="V315" s="38">
        <v>453.0</v>
      </c>
      <c r="W315" s="38">
        <v>63.0</v>
      </c>
      <c r="X315" s="38">
        <v>41.0</v>
      </c>
      <c r="Y315" s="38">
        <v>13.0</v>
      </c>
      <c r="Z315" s="35">
        <v>2007.0</v>
      </c>
      <c r="AA315" s="29">
        <v>2514.0</v>
      </c>
      <c r="AB315" s="29">
        <v>239.0</v>
      </c>
      <c r="AC315" s="29">
        <v>2753.0</v>
      </c>
      <c r="AD315" s="29">
        <v>31928.0</v>
      </c>
      <c r="AE315" s="29">
        <v>2514.0</v>
      </c>
      <c r="AF315" s="29">
        <v>31285.0</v>
      </c>
      <c r="AG315" s="29">
        <v>239.0</v>
      </c>
      <c r="AH315" s="29">
        <v>643.0</v>
      </c>
    </row>
    <row r="316" ht="14.25" customHeight="1">
      <c r="A316" s="34">
        <v>44202.0</v>
      </c>
      <c r="B316" s="35">
        <v>1372.0</v>
      </c>
      <c r="C316" s="35">
        <v>1506.0</v>
      </c>
      <c r="D316" s="35">
        <v>116316.0</v>
      </c>
      <c r="E316" s="36">
        <v>18324.0</v>
      </c>
      <c r="F316" s="37">
        <v>1986751.0</v>
      </c>
      <c r="G316" s="37">
        <v>19696.0</v>
      </c>
      <c r="H316" s="37">
        <v>2103067.0</v>
      </c>
      <c r="I316" s="36">
        <v>1223.0</v>
      </c>
      <c r="J316" s="36">
        <v>1325.0</v>
      </c>
      <c r="K316" s="36">
        <v>96963.0</v>
      </c>
      <c r="L316" s="36">
        <v>3058.0</v>
      </c>
      <c r="M316" s="36">
        <v>547167.0</v>
      </c>
      <c r="N316" s="36">
        <v>644130.0</v>
      </c>
      <c r="O316" s="36">
        <v>59.0</v>
      </c>
      <c r="P316" s="38">
        <v>6946.0</v>
      </c>
      <c r="Q316" s="38">
        <v>60.0</v>
      </c>
      <c r="R316" s="38">
        <v>5729.0</v>
      </c>
      <c r="S316" s="38">
        <v>12.0</v>
      </c>
      <c r="T316" s="38">
        <v>782.0</v>
      </c>
      <c r="U316" s="38">
        <v>435.0</v>
      </c>
      <c r="V316" s="38">
        <v>445.0</v>
      </c>
      <c r="W316" s="38">
        <v>58.0</v>
      </c>
      <c r="X316" s="38">
        <v>39.0</v>
      </c>
      <c r="Y316" s="38">
        <v>19.0</v>
      </c>
      <c r="Z316" s="35">
        <v>2026.0</v>
      </c>
      <c r="AA316" s="29">
        <v>1634.0</v>
      </c>
      <c r="AB316" s="29">
        <v>469.0</v>
      </c>
      <c r="AC316" s="29">
        <v>2103.0</v>
      </c>
      <c r="AD316" s="29">
        <v>34031.0</v>
      </c>
      <c r="AE316" s="29">
        <v>1634.0</v>
      </c>
      <c r="AF316" s="29">
        <v>32919.0</v>
      </c>
      <c r="AG316" s="29">
        <v>469.0</v>
      </c>
      <c r="AH316" s="29">
        <v>1112.0</v>
      </c>
    </row>
    <row r="317" ht="14.25" customHeight="1">
      <c r="A317" s="34">
        <v>44203.0</v>
      </c>
      <c r="B317" s="35">
        <v>1262.0</v>
      </c>
      <c r="C317" s="35">
        <v>1505.0</v>
      </c>
      <c r="D317" s="35">
        <v>117578.0</v>
      </c>
      <c r="E317" s="36">
        <v>17441.0</v>
      </c>
      <c r="F317" s="37">
        <v>2004192.0</v>
      </c>
      <c r="G317" s="37">
        <v>18703.0</v>
      </c>
      <c r="H317" s="37">
        <v>2121770.0</v>
      </c>
      <c r="I317" s="36">
        <v>1121.0</v>
      </c>
      <c r="J317" s="36">
        <v>1322.0</v>
      </c>
      <c r="K317" s="36">
        <v>98084.0</v>
      </c>
      <c r="L317" s="36">
        <v>3263.0</v>
      </c>
      <c r="M317" s="36">
        <v>550430.0</v>
      </c>
      <c r="N317" s="36">
        <v>648514.0</v>
      </c>
      <c r="O317" s="36">
        <v>51.0</v>
      </c>
      <c r="P317" s="38">
        <v>6997.0</v>
      </c>
      <c r="Q317" s="38">
        <v>55.0</v>
      </c>
      <c r="R317" s="38">
        <v>5784.0</v>
      </c>
      <c r="S317" s="38">
        <v>4.0</v>
      </c>
      <c r="T317" s="38">
        <v>786.0</v>
      </c>
      <c r="U317" s="38">
        <v>427.0</v>
      </c>
      <c r="V317" s="38">
        <v>437.0</v>
      </c>
      <c r="W317" s="38">
        <v>57.0</v>
      </c>
      <c r="X317" s="38">
        <v>36.0</v>
      </c>
      <c r="Y317" s="38">
        <v>11.0</v>
      </c>
      <c r="Z317" s="35">
        <v>2037.0</v>
      </c>
      <c r="AA317" s="29">
        <v>1746.0</v>
      </c>
      <c r="AB317" s="29">
        <v>705.0</v>
      </c>
      <c r="AC317" s="29">
        <v>2451.0</v>
      </c>
      <c r="AD317" s="29">
        <v>36482.0</v>
      </c>
      <c r="AE317" s="29">
        <v>1746.0</v>
      </c>
      <c r="AF317" s="29">
        <v>34665.0</v>
      </c>
      <c r="AG317" s="29">
        <v>705.0</v>
      </c>
      <c r="AH317" s="29">
        <v>1817.0</v>
      </c>
    </row>
    <row r="318" ht="14.25" customHeight="1">
      <c r="A318" s="34">
        <v>44204.0</v>
      </c>
      <c r="B318" s="35">
        <v>1421.0</v>
      </c>
      <c r="C318" s="35">
        <v>1352.0</v>
      </c>
      <c r="D318" s="35">
        <v>118999.0</v>
      </c>
      <c r="E318" s="36">
        <v>20467.0</v>
      </c>
      <c r="F318" s="37">
        <v>2024659.0</v>
      </c>
      <c r="G318" s="37">
        <v>21888.0</v>
      </c>
      <c r="H318" s="37">
        <v>2143658.0</v>
      </c>
      <c r="I318" s="36">
        <v>1241.0</v>
      </c>
      <c r="J318" s="36">
        <v>1195.0</v>
      </c>
      <c r="K318" s="36">
        <v>99325.0</v>
      </c>
      <c r="L318" s="36">
        <v>3881.0</v>
      </c>
      <c r="M318" s="36">
        <v>554311.0</v>
      </c>
      <c r="N318" s="36">
        <v>653636.0</v>
      </c>
      <c r="O318" s="36">
        <v>56.0</v>
      </c>
      <c r="P318" s="38">
        <v>7053.0</v>
      </c>
      <c r="Q318" s="38">
        <v>51.0</v>
      </c>
      <c r="R318" s="38">
        <v>5835.0</v>
      </c>
      <c r="S318" s="38">
        <v>6.0</v>
      </c>
      <c r="T318" s="38">
        <v>792.0</v>
      </c>
      <c r="U318" s="38">
        <v>426.0</v>
      </c>
      <c r="V318" s="38">
        <v>429.0</v>
      </c>
      <c r="W318" s="38">
        <v>54.0</v>
      </c>
      <c r="X318" s="38">
        <v>35.0</v>
      </c>
      <c r="Y318" s="38">
        <v>13.0</v>
      </c>
      <c r="Z318" s="35">
        <v>2050.0</v>
      </c>
      <c r="AA318" s="29">
        <v>1788.0</v>
      </c>
      <c r="AB318" s="29">
        <v>1553.0</v>
      </c>
      <c r="AC318" s="29">
        <v>3341.0</v>
      </c>
      <c r="AD318" s="29">
        <v>39823.0</v>
      </c>
      <c r="AE318" s="29">
        <v>1788.0</v>
      </c>
      <c r="AF318" s="29">
        <v>36453.0</v>
      </c>
      <c r="AG318" s="29">
        <v>1553.0</v>
      </c>
      <c r="AH318" s="29">
        <v>3370.0</v>
      </c>
    </row>
    <row r="319" ht="14.25" customHeight="1">
      <c r="A319" s="34">
        <v>44205.0</v>
      </c>
      <c r="B319" s="35">
        <v>1287.0</v>
      </c>
      <c r="C319" s="35">
        <v>1323.0</v>
      </c>
      <c r="D319" s="35">
        <v>120286.0</v>
      </c>
      <c r="E319" s="36">
        <v>17328.0</v>
      </c>
      <c r="F319" s="37">
        <v>2041987.0</v>
      </c>
      <c r="G319" s="37">
        <v>18615.0</v>
      </c>
      <c r="H319" s="37">
        <v>2162273.0</v>
      </c>
      <c r="I319" s="36">
        <v>1084.0</v>
      </c>
      <c r="J319" s="36">
        <v>1149.0</v>
      </c>
      <c r="K319" s="36">
        <v>100409.0</v>
      </c>
      <c r="L319" s="36">
        <v>3394.0</v>
      </c>
      <c r="M319" s="36">
        <v>557705.0</v>
      </c>
      <c r="N319" s="36">
        <v>658114.0</v>
      </c>
      <c r="O319" s="36">
        <v>65.0</v>
      </c>
      <c r="P319" s="38">
        <v>7118.0</v>
      </c>
      <c r="Q319" s="38">
        <v>39.0</v>
      </c>
      <c r="R319" s="38">
        <v>5874.0</v>
      </c>
      <c r="S319" s="38">
        <v>6.0</v>
      </c>
      <c r="T319" s="38">
        <v>798.0</v>
      </c>
      <c r="U319" s="38">
        <v>446.0</v>
      </c>
      <c r="V319" s="38">
        <v>433.0</v>
      </c>
      <c r="W319" s="38">
        <v>52.0</v>
      </c>
      <c r="X319" s="38">
        <v>33.0</v>
      </c>
      <c r="Y319" s="38">
        <v>15.0</v>
      </c>
      <c r="Z319" s="35">
        <v>2065.0</v>
      </c>
      <c r="AA319" s="29">
        <v>1472.0</v>
      </c>
      <c r="AB319" s="29">
        <v>696.0</v>
      </c>
      <c r="AC319" s="29">
        <v>2168.0</v>
      </c>
      <c r="AD319" s="29">
        <v>41991.0</v>
      </c>
      <c r="AE319" s="29">
        <v>1472.0</v>
      </c>
      <c r="AF319" s="29">
        <v>37925.0</v>
      </c>
      <c r="AG319" s="29">
        <v>696.0</v>
      </c>
      <c r="AH319" s="29">
        <v>4066.0</v>
      </c>
    </row>
    <row r="320" ht="14.25" customHeight="1">
      <c r="A320" s="34">
        <v>44206.0</v>
      </c>
      <c r="B320" s="35">
        <v>739.0</v>
      </c>
      <c r="C320" s="35">
        <v>1149.0</v>
      </c>
      <c r="D320" s="35">
        <v>121025.0</v>
      </c>
      <c r="E320" s="36">
        <v>8781.0</v>
      </c>
      <c r="F320" s="37">
        <v>2050768.0</v>
      </c>
      <c r="G320" s="37">
        <v>9520.0</v>
      </c>
      <c r="H320" s="37">
        <v>2171793.0</v>
      </c>
      <c r="I320" s="36">
        <v>666.0</v>
      </c>
      <c r="J320" s="36">
        <v>997.0</v>
      </c>
      <c r="K320" s="36">
        <v>101075.0</v>
      </c>
      <c r="L320" s="36">
        <v>2072.0</v>
      </c>
      <c r="M320" s="36">
        <v>559777.0</v>
      </c>
      <c r="N320" s="36">
        <v>660852.0</v>
      </c>
      <c r="O320" s="36">
        <v>45.0</v>
      </c>
      <c r="P320" s="38">
        <v>7163.0</v>
      </c>
      <c r="Q320" s="38">
        <v>40.0</v>
      </c>
      <c r="R320" s="38">
        <v>5914.0</v>
      </c>
      <c r="S320" s="38">
        <v>5.0</v>
      </c>
      <c r="T320" s="38">
        <v>803.0</v>
      </c>
      <c r="U320" s="38">
        <v>446.0</v>
      </c>
      <c r="V320" s="38">
        <v>439.0</v>
      </c>
      <c r="W320" s="38">
        <v>55.0</v>
      </c>
      <c r="X320" s="38">
        <v>34.0</v>
      </c>
      <c r="Y320" s="38">
        <v>15.0</v>
      </c>
      <c r="Z320" s="35">
        <v>2080.0</v>
      </c>
      <c r="AA320" s="29">
        <v>339.0</v>
      </c>
      <c r="AB320" s="29">
        <v>761.0</v>
      </c>
      <c r="AC320" s="29">
        <v>1100.0</v>
      </c>
      <c r="AD320" s="29">
        <v>43091.0</v>
      </c>
      <c r="AE320" s="29">
        <v>339.0</v>
      </c>
      <c r="AF320" s="29">
        <v>38264.0</v>
      </c>
      <c r="AG320" s="29">
        <v>761.0</v>
      </c>
      <c r="AH320" s="29">
        <v>4827.0</v>
      </c>
    </row>
    <row r="321" ht="14.25" customHeight="1">
      <c r="A321" s="34">
        <v>44207.0</v>
      </c>
      <c r="B321" s="35">
        <v>1016.0</v>
      </c>
      <c r="C321" s="35">
        <v>1014.0</v>
      </c>
      <c r="D321" s="35">
        <v>122041.0</v>
      </c>
      <c r="E321" s="36">
        <v>13399.0</v>
      </c>
      <c r="F321" s="37">
        <v>2064167.0</v>
      </c>
      <c r="G321" s="37">
        <v>14415.0</v>
      </c>
      <c r="H321" s="37">
        <v>2186208.0</v>
      </c>
      <c r="I321" s="36">
        <v>896.0</v>
      </c>
      <c r="J321" s="36">
        <v>882.0</v>
      </c>
      <c r="K321" s="36">
        <v>101971.0</v>
      </c>
      <c r="L321" s="36">
        <v>3361.0</v>
      </c>
      <c r="M321" s="36">
        <v>563138.0</v>
      </c>
      <c r="N321" s="36">
        <v>665109.0</v>
      </c>
      <c r="O321" s="36">
        <v>64.0</v>
      </c>
      <c r="P321" s="38">
        <v>7227.0</v>
      </c>
      <c r="Q321" s="38">
        <v>50.0</v>
      </c>
      <c r="R321" s="38">
        <v>5964.0</v>
      </c>
      <c r="S321" s="38">
        <v>9.0</v>
      </c>
      <c r="T321" s="38">
        <v>812.0</v>
      </c>
      <c r="U321" s="38">
        <v>451.0</v>
      </c>
      <c r="V321" s="38">
        <v>448.0</v>
      </c>
      <c r="W321" s="38">
        <v>54.0</v>
      </c>
      <c r="X321" s="38">
        <v>36.0</v>
      </c>
      <c r="Y321" s="38">
        <v>22.0</v>
      </c>
      <c r="Z321" s="35">
        <v>2102.0</v>
      </c>
      <c r="AA321" s="29">
        <v>1311.0</v>
      </c>
      <c r="AB321" s="29">
        <v>1513.0</v>
      </c>
      <c r="AC321" s="29">
        <v>2824.0</v>
      </c>
      <c r="AD321" s="29">
        <v>45915.0</v>
      </c>
      <c r="AE321" s="29">
        <v>1311.0</v>
      </c>
      <c r="AF321" s="29">
        <v>39575.0</v>
      </c>
      <c r="AG321" s="29">
        <v>1513.0</v>
      </c>
      <c r="AH321" s="29">
        <v>6340.0</v>
      </c>
    </row>
    <row r="322" ht="14.25" customHeight="1">
      <c r="A322" s="34">
        <v>44208.0</v>
      </c>
      <c r="B322" s="35">
        <v>1116.0</v>
      </c>
      <c r="C322" s="35">
        <v>957.0</v>
      </c>
      <c r="D322" s="35">
        <v>123157.0</v>
      </c>
      <c r="E322" s="36">
        <v>18313.0</v>
      </c>
      <c r="F322" s="37">
        <v>2082480.0</v>
      </c>
      <c r="G322" s="37">
        <v>19429.0</v>
      </c>
      <c r="H322" s="37">
        <v>2205637.0</v>
      </c>
      <c r="I322" s="36">
        <v>952.0</v>
      </c>
      <c r="J322" s="36">
        <v>838.0</v>
      </c>
      <c r="K322" s="36">
        <v>102923.0</v>
      </c>
      <c r="L322" s="36">
        <v>3690.0</v>
      </c>
      <c r="M322" s="36">
        <v>566828.0</v>
      </c>
      <c r="N322" s="36">
        <v>669751.0</v>
      </c>
      <c r="O322" s="36">
        <v>61.0</v>
      </c>
      <c r="P322" s="38">
        <v>7288.0</v>
      </c>
      <c r="Q322" s="38">
        <v>76.0</v>
      </c>
      <c r="R322" s="38">
        <v>6040.0</v>
      </c>
      <c r="S322" s="38">
        <v>8.0</v>
      </c>
      <c r="T322" s="38">
        <v>820.0</v>
      </c>
      <c r="U322" s="38">
        <v>428.0</v>
      </c>
      <c r="V322" s="38">
        <v>442.0</v>
      </c>
      <c r="W322" s="38">
        <v>56.0</v>
      </c>
      <c r="X322" s="38">
        <v>37.0</v>
      </c>
      <c r="Y322" s="38">
        <v>15.0</v>
      </c>
      <c r="Z322" s="35">
        <v>2117.0</v>
      </c>
      <c r="AA322" s="29">
        <v>1906.0</v>
      </c>
      <c r="AB322" s="29">
        <v>1290.0</v>
      </c>
      <c r="AC322" s="29">
        <v>3196.0</v>
      </c>
      <c r="AD322" s="29">
        <v>49111.0</v>
      </c>
      <c r="AE322" s="29">
        <v>1906.0</v>
      </c>
      <c r="AF322" s="29">
        <v>41481.0</v>
      </c>
      <c r="AG322" s="29">
        <v>1290.0</v>
      </c>
      <c r="AH322" s="29">
        <v>7630.0</v>
      </c>
    </row>
    <row r="323" ht="14.25" customHeight="1">
      <c r="A323" s="34">
        <v>44209.0</v>
      </c>
      <c r="B323" s="35">
        <v>1034.0</v>
      </c>
      <c r="C323" s="35">
        <v>1055.0</v>
      </c>
      <c r="D323" s="35">
        <v>124191.0</v>
      </c>
      <c r="E323" s="36">
        <v>19973.0</v>
      </c>
      <c r="F323" s="37">
        <v>2102453.0</v>
      </c>
      <c r="G323" s="37">
        <v>21007.0</v>
      </c>
      <c r="H323" s="37">
        <v>2226644.0</v>
      </c>
      <c r="I323" s="36">
        <v>886.0</v>
      </c>
      <c r="J323" s="36">
        <v>911.0</v>
      </c>
      <c r="K323" s="36">
        <v>103809.0</v>
      </c>
      <c r="L323" s="36">
        <v>3903.0</v>
      </c>
      <c r="M323" s="36">
        <v>570731.0</v>
      </c>
      <c r="N323" s="36">
        <v>674540.0</v>
      </c>
      <c r="O323" s="36">
        <v>67.0</v>
      </c>
      <c r="P323" s="38">
        <v>7355.0</v>
      </c>
      <c r="Q323" s="38">
        <v>57.0</v>
      </c>
      <c r="R323" s="38">
        <v>6097.0</v>
      </c>
      <c r="S323" s="38">
        <v>5.0</v>
      </c>
      <c r="T323" s="38">
        <v>825.0</v>
      </c>
      <c r="U323" s="38">
        <v>433.0</v>
      </c>
      <c r="V323" s="38">
        <v>437.0</v>
      </c>
      <c r="W323" s="38">
        <v>56.0</v>
      </c>
      <c r="X323" s="38">
        <v>37.0</v>
      </c>
      <c r="Y323" s="38">
        <v>11.0</v>
      </c>
      <c r="Z323" s="35">
        <v>2128.0</v>
      </c>
      <c r="AA323" s="29">
        <v>1304.0</v>
      </c>
      <c r="AB323" s="29">
        <v>1217.0</v>
      </c>
      <c r="AC323" s="29">
        <v>2521.0</v>
      </c>
      <c r="AD323" s="29">
        <v>51632.0</v>
      </c>
      <c r="AE323" s="29">
        <v>1304.0</v>
      </c>
      <c r="AF323" s="29">
        <v>42785.0</v>
      </c>
      <c r="AG323" s="29">
        <v>1217.0</v>
      </c>
      <c r="AH323" s="29">
        <v>8847.0</v>
      </c>
    </row>
    <row r="324" ht="14.25" customHeight="1">
      <c r="A324" s="34">
        <v>44210.0</v>
      </c>
      <c r="B324" s="35">
        <v>1145.0</v>
      </c>
      <c r="C324" s="35">
        <v>1098.0</v>
      </c>
      <c r="D324" s="35">
        <v>125336.0</v>
      </c>
      <c r="E324" s="36">
        <v>20572.0</v>
      </c>
      <c r="F324" s="37">
        <v>2123025.0</v>
      </c>
      <c r="G324" s="37">
        <v>21717.0</v>
      </c>
      <c r="H324" s="37">
        <v>2248361.0</v>
      </c>
      <c r="I324" s="36">
        <v>997.0</v>
      </c>
      <c r="J324" s="36">
        <v>945.0</v>
      </c>
      <c r="K324" s="36">
        <v>104806.0</v>
      </c>
      <c r="L324" s="36">
        <v>3962.0</v>
      </c>
      <c r="M324" s="36">
        <v>574693.0</v>
      </c>
      <c r="N324" s="36">
        <v>679499.0</v>
      </c>
      <c r="O324" s="36">
        <v>64.0</v>
      </c>
      <c r="P324" s="38">
        <v>7419.0</v>
      </c>
      <c r="Q324" s="38">
        <v>60.0</v>
      </c>
      <c r="R324" s="38">
        <v>6157.0</v>
      </c>
      <c r="S324" s="38">
        <v>5.0</v>
      </c>
      <c r="T324" s="38">
        <v>830.0</v>
      </c>
      <c r="U324" s="38">
        <v>432.0</v>
      </c>
      <c r="V324" s="38">
        <v>431.0</v>
      </c>
      <c r="W324" s="38">
        <v>58.0</v>
      </c>
      <c r="X324" s="38">
        <v>40.0</v>
      </c>
      <c r="Y324" s="38">
        <v>10.0</v>
      </c>
      <c r="Z324" s="35">
        <v>2138.0</v>
      </c>
      <c r="AA324" s="29">
        <v>2332.0</v>
      </c>
      <c r="AB324" s="29">
        <v>596.0</v>
      </c>
      <c r="AC324" s="29">
        <v>2928.0</v>
      </c>
      <c r="AD324" s="29">
        <v>54560.0</v>
      </c>
      <c r="AE324" s="29">
        <v>2332.0</v>
      </c>
      <c r="AF324" s="29">
        <v>45117.0</v>
      </c>
      <c r="AG324" s="29">
        <v>596.0</v>
      </c>
      <c r="AH324" s="29">
        <v>9443.0</v>
      </c>
    </row>
    <row r="325" ht="14.25" customHeight="1">
      <c r="A325" s="34">
        <v>44211.0</v>
      </c>
      <c r="B325" s="35">
        <v>1101.0</v>
      </c>
      <c r="C325" s="35">
        <v>1093.0</v>
      </c>
      <c r="D325" s="35">
        <v>126437.0</v>
      </c>
      <c r="E325" s="36">
        <v>17565.0</v>
      </c>
      <c r="F325" s="37">
        <v>2140590.0</v>
      </c>
      <c r="G325" s="37">
        <v>18666.0</v>
      </c>
      <c r="H325" s="37">
        <v>2267027.0</v>
      </c>
      <c r="I325" s="36">
        <v>953.0</v>
      </c>
      <c r="J325" s="36">
        <v>945.0</v>
      </c>
      <c r="K325" s="36">
        <v>105759.0</v>
      </c>
      <c r="L325" s="36">
        <v>3279.0</v>
      </c>
      <c r="M325" s="36">
        <v>577972.0</v>
      </c>
      <c r="N325" s="36">
        <v>683731.0</v>
      </c>
      <c r="O325" s="36">
        <v>61.0</v>
      </c>
      <c r="P325" s="38">
        <v>7480.0</v>
      </c>
      <c r="Q325" s="38">
        <v>73.0</v>
      </c>
      <c r="R325" s="38">
        <v>6230.0</v>
      </c>
      <c r="S325" s="38">
        <v>8.0</v>
      </c>
      <c r="T325" s="38">
        <v>838.0</v>
      </c>
      <c r="U325" s="38">
        <v>412.0</v>
      </c>
      <c r="V325" s="38">
        <v>426.0</v>
      </c>
      <c r="W325" s="38">
        <v>57.0</v>
      </c>
      <c r="X325" s="38">
        <v>38.0</v>
      </c>
      <c r="Y325" s="38">
        <v>16.0</v>
      </c>
      <c r="Z325" s="35">
        <v>2154.0</v>
      </c>
      <c r="AA325" s="29">
        <v>1601.0</v>
      </c>
      <c r="AB325" s="29">
        <v>576.0</v>
      </c>
      <c r="AC325" s="29">
        <v>2177.0</v>
      </c>
      <c r="AD325" s="29">
        <v>56737.0</v>
      </c>
      <c r="AE325" s="29">
        <v>1601.0</v>
      </c>
      <c r="AF325" s="29">
        <v>46718.0</v>
      </c>
      <c r="AG325" s="29">
        <v>576.0</v>
      </c>
      <c r="AH325" s="29">
        <v>10019.0</v>
      </c>
    </row>
    <row r="326" ht="14.25" customHeight="1">
      <c r="A326" s="34">
        <v>44212.0</v>
      </c>
      <c r="B326" s="35">
        <v>920.0</v>
      </c>
      <c r="C326" s="35">
        <v>1055.0</v>
      </c>
      <c r="D326" s="35">
        <v>127357.0</v>
      </c>
      <c r="E326" s="36">
        <v>16699.0</v>
      </c>
      <c r="F326" s="37">
        <v>2157289.0</v>
      </c>
      <c r="G326" s="37">
        <v>17619.0</v>
      </c>
      <c r="H326" s="37">
        <v>2284646.0</v>
      </c>
      <c r="I326" s="36">
        <v>768.0</v>
      </c>
      <c r="J326" s="36">
        <v>906.0</v>
      </c>
      <c r="K326" s="36">
        <v>106527.0</v>
      </c>
      <c r="L326" s="36">
        <v>2837.0</v>
      </c>
      <c r="M326" s="36">
        <v>580809.0</v>
      </c>
      <c r="N326" s="36">
        <v>687336.0</v>
      </c>
      <c r="O326" s="36">
        <v>56.0</v>
      </c>
      <c r="P326" s="38">
        <v>7536.0</v>
      </c>
      <c r="Q326" s="38">
        <v>51.0</v>
      </c>
      <c r="R326" s="38">
        <v>6281.0</v>
      </c>
      <c r="S326" s="38">
        <v>3.0</v>
      </c>
      <c r="T326" s="38">
        <v>841.0</v>
      </c>
      <c r="U326" s="38">
        <v>414.0</v>
      </c>
      <c r="V326" s="38">
        <v>419.0</v>
      </c>
      <c r="W326" s="38">
        <v>59.0</v>
      </c>
      <c r="X326" s="38">
        <v>43.0</v>
      </c>
      <c r="Y326" s="38">
        <v>15.0</v>
      </c>
      <c r="Z326" s="35">
        <v>2169.0</v>
      </c>
      <c r="AA326" s="29">
        <v>2257.0</v>
      </c>
      <c r="AB326" s="29">
        <v>594.0</v>
      </c>
      <c r="AC326" s="29">
        <v>2851.0</v>
      </c>
      <c r="AD326" s="29">
        <v>59588.0</v>
      </c>
      <c r="AE326" s="29">
        <v>2257.0</v>
      </c>
      <c r="AF326" s="29">
        <v>48975.0</v>
      </c>
      <c r="AG326" s="29">
        <v>594.0</v>
      </c>
      <c r="AH326" s="29">
        <v>10613.0</v>
      </c>
    </row>
    <row r="327" ht="14.25" customHeight="1">
      <c r="A327" s="34">
        <v>44213.0</v>
      </c>
      <c r="B327" s="35">
        <v>626.0</v>
      </c>
      <c r="C327" s="35">
        <v>882.0</v>
      </c>
      <c r="D327" s="35">
        <v>127983.0</v>
      </c>
      <c r="E327" s="36">
        <v>10063.0</v>
      </c>
      <c r="F327" s="37">
        <v>2167352.0</v>
      </c>
      <c r="G327" s="37">
        <v>10689.0</v>
      </c>
      <c r="H327" s="37">
        <v>2295335.0</v>
      </c>
      <c r="I327" s="36">
        <v>515.0</v>
      </c>
      <c r="J327" s="36">
        <v>745.0</v>
      </c>
      <c r="K327" s="36">
        <v>107042.0</v>
      </c>
      <c r="L327" s="36">
        <v>1786.0</v>
      </c>
      <c r="M327" s="36">
        <v>582595.0</v>
      </c>
      <c r="N327" s="36">
        <v>689637.0</v>
      </c>
      <c r="O327" s="36">
        <v>47.0</v>
      </c>
      <c r="P327" s="38">
        <v>7583.0</v>
      </c>
      <c r="Q327" s="38">
        <v>41.0</v>
      </c>
      <c r="R327" s="38">
        <v>6322.0</v>
      </c>
      <c r="S327" s="38">
        <v>4.0</v>
      </c>
      <c r="T327" s="38">
        <v>845.0</v>
      </c>
      <c r="U327" s="38">
        <v>416.0</v>
      </c>
      <c r="V327" s="38">
        <v>414.0</v>
      </c>
      <c r="W327" s="38">
        <v>57.0</v>
      </c>
      <c r="X327" s="38">
        <v>42.0</v>
      </c>
      <c r="Y327" s="38">
        <v>8.0</v>
      </c>
      <c r="Z327" s="35">
        <v>2177.0</v>
      </c>
      <c r="AA327" s="29">
        <v>335.0</v>
      </c>
      <c r="AB327" s="29">
        <v>208.0</v>
      </c>
      <c r="AC327" s="29">
        <v>543.0</v>
      </c>
      <c r="AD327" s="29">
        <v>60131.0</v>
      </c>
      <c r="AE327" s="29">
        <v>335.0</v>
      </c>
      <c r="AF327" s="29">
        <v>49310.0</v>
      </c>
      <c r="AG327" s="29">
        <v>208.0</v>
      </c>
      <c r="AH327" s="29">
        <v>10821.0</v>
      </c>
    </row>
    <row r="328" ht="14.25" customHeight="1">
      <c r="A328" s="34">
        <v>44214.0</v>
      </c>
      <c r="B328" s="35">
        <v>559.0</v>
      </c>
      <c r="C328" s="35">
        <v>702.0</v>
      </c>
      <c r="D328" s="35">
        <v>128542.0</v>
      </c>
      <c r="E328" s="36">
        <v>8810.0</v>
      </c>
      <c r="F328" s="37">
        <v>2176162.0</v>
      </c>
      <c r="G328" s="37">
        <v>9369.0</v>
      </c>
      <c r="H328" s="37">
        <v>2304704.0</v>
      </c>
      <c r="I328" s="36">
        <v>470.0</v>
      </c>
      <c r="J328" s="36">
        <v>584.0</v>
      </c>
      <c r="K328" s="36">
        <v>107512.0</v>
      </c>
      <c r="L328" s="36">
        <v>1384.0</v>
      </c>
      <c r="M328" s="36">
        <v>583979.0</v>
      </c>
      <c r="N328" s="36">
        <v>691491.0</v>
      </c>
      <c r="O328" s="36">
        <v>60.0</v>
      </c>
      <c r="P328" s="38">
        <v>7643.0</v>
      </c>
      <c r="Q328" s="38">
        <v>43.0</v>
      </c>
      <c r="R328" s="38">
        <v>6365.0</v>
      </c>
      <c r="S328" s="38">
        <v>8.0</v>
      </c>
      <c r="T328" s="38">
        <v>853.0</v>
      </c>
      <c r="U328" s="38">
        <v>425.0</v>
      </c>
      <c r="V328" s="38">
        <v>418.0</v>
      </c>
      <c r="W328" s="38">
        <v>56.0</v>
      </c>
      <c r="X328" s="38">
        <v>40.0</v>
      </c>
      <c r="Y328" s="38">
        <v>19.0</v>
      </c>
      <c r="Z328" s="35">
        <v>2196.0</v>
      </c>
      <c r="AA328" s="29">
        <v>1213.0</v>
      </c>
      <c r="AB328" s="29">
        <v>1064.0</v>
      </c>
      <c r="AC328" s="29">
        <v>2277.0</v>
      </c>
      <c r="AD328" s="29">
        <v>62408.0</v>
      </c>
      <c r="AE328" s="29">
        <v>1213.0</v>
      </c>
      <c r="AF328" s="29">
        <v>50523.0</v>
      </c>
      <c r="AG328" s="29">
        <v>1064.0</v>
      </c>
      <c r="AH328" s="29">
        <v>11885.0</v>
      </c>
    </row>
    <row r="329" ht="14.25" customHeight="1">
      <c r="A329" s="34">
        <v>44215.0</v>
      </c>
      <c r="B329" s="35">
        <v>954.0</v>
      </c>
      <c r="C329" s="35">
        <v>713.0</v>
      </c>
      <c r="D329" s="35">
        <v>129496.0</v>
      </c>
      <c r="E329" s="36">
        <v>18644.0</v>
      </c>
      <c r="F329" s="37">
        <v>2194806.0</v>
      </c>
      <c r="G329" s="37">
        <v>19598.0</v>
      </c>
      <c r="H329" s="37">
        <v>2324302.0</v>
      </c>
      <c r="I329" s="36">
        <v>853.0</v>
      </c>
      <c r="J329" s="36">
        <v>613.0</v>
      </c>
      <c r="K329" s="36">
        <v>108365.0</v>
      </c>
      <c r="L329" s="36">
        <v>3144.0</v>
      </c>
      <c r="M329" s="36">
        <v>587123.0</v>
      </c>
      <c r="N329" s="36">
        <v>695488.0</v>
      </c>
      <c r="O329" s="36">
        <v>68.0</v>
      </c>
      <c r="P329" s="38">
        <v>7711.0</v>
      </c>
      <c r="Q329" s="38">
        <v>60.0</v>
      </c>
      <c r="R329" s="38">
        <v>6425.0</v>
      </c>
      <c r="S329" s="38">
        <v>9.0</v>
      </c>
      <c r="T329" s="38">
        <v>862.0</v>
      </c>
      <c r="U329" s="38">
        <v>424.0</v>
      </c>
      <c r="V329" s="38">
        <v>422.0</v>
      </c>
      <c r="W329" s="38">
        <v>58.0</v>
      </c>
      <c r="X329" s="38">
        <v>40.0</v>
      </c>
      <c r="Y329" s="38">
        <v>13.0</v>
      </c>
      <c r="Z329" s="35">
        <v>2209.0</v>
      </c>
      <c r="AA329" s="29">
        <v>1487.0</v>
      </c>
      <c r="AB329" s="29">
        <v>722.0</v>
      </c>
      <c r="AC329" s="29">
        <v>2209.0</v>
      </c>
      <c r="AD329" s="29">
        <v>64617.0</v>
      </c>
      <c r="AE329" s="29">
        <v>1487.0</v>
      </c>
      <c r="AF329" s="29">
        <v>52010.0</v>
      </c>
      <c r="AG329" s="29">
        <v>722.0</v>
      </c>
      <c r="AH329" s="29">
        <v>12607.0</v>
      </c>
    </row>
    <row r="330" ht="14.25" customHeight="1">
      <c r="A330" s="34">
        <v>44216.0</v>
      </c>
      <c r="B330" s="35">
        <v>967.0</v>
      </c>
      <c r="C330" s="35">
        <v>827.0</v>
      </c>
      <c r="D330" s="35">
        <v>130463.0</v>
      </c>
      <c r="E330" s="36">
        <v>22631.0</v>
      </c>
      <c r="F330" s="37">
        <v>2217437.0</v>
      </c>
      <c r="G330" s="37">
        <v>23598.0</v>
      </c>
      <c r="H330" s="37">
        <v>2347900.0</v>
      </c>
      <c r="I330" s="36">
        <v>852.0</v>
      </c>
      <c r="J330" s="36">
        <v>725.0</v>
      </c>
      <c r="K330" s="36">
        <v>109217.0</v>
      </c>
      <c r="L330" s="36">
        <v>3368.0</v>
      </c>
      <c r="M330" s="36">
        <v>590491.0</v>
      </c>
      <c r="N330" s="36">
        <v>699708.0</v>
      </c>
      <c r="O330" s="36">
        <v>46.0</v>
      </c>
      <c r="P330" s="38">
        <v>7757.0</v>
      </c>
      <c r="Q330" s="38">
        <v>66.0</v>
      </c>
      <c r="R330" s="38">
        <v>6491.0</v>
      </c>
      <c r="S330" s="38">
        <v>11.0</v>
      </c>
      <c r="T330" s="38">
        <v>873.0</v>
      </c>
      <c r="U330" s="38">
        <v>393.0</v>
      </c>
      <c r="V330" s="38">
        <v>414.0</v>
      </c>
      <c r="W330" s="38">
        <v>52.0</v>
      </c>
      <c r="X330" s="38">
        <v>34.0</v>
      </c>
      <c r="Y330" s="38">
        <v>25.0</v>
      </c>
      <c r="Z330" s="35">
        <v>2234.0</v>
      </c>
      <c r="AA330" s="29">
        <v>1956.0</v>
      </c>
      <c r="AB330" s="29">
        <v>795.0</v>
      </c>
      <c r="AC330" s="29">
        <v>2751.0</v>
      </c>
      <c r="AD330" s="29">
        <v>67368.0</v>
      </c>
      <c r="AE330" s="29">
        <v>1956.0</v>
      </c>
      <c r="AF330" s="29">
        <v>53966.0</v>
      </c>
      <c r="AG330" s="29">
        <v>795.0</v>
      </c>
      <c r="AH330" s="29">
        <v>13402.0</v>
      </c>
    </row>
    <row r="331" ht="14.25" customHeight="1">
      <c r="A331" s="34">
        <v>44217.0</v>
      </c>
      <c r="B331" s="35">
        <v>1183.0</v>
      </c>
      <c r="C331" s="35">
        <v>1035.0</v>
      </c>
      <c r="D331" s="35">
        <v>131646.0</v>
      </c>
      <c r="E331" s="36">
        <v>24195.0</v>
      </c>
      <c r="F331" s="37">
        <v>2241632.0</v>
      </c>
      <c r="G331" s="37">
        <v>25378.0</v>
      </c>
      <c r="H331" s="37">
        <v>2373278.0</v>
      </c>
      <c r="I331" s="36">
        <v>1015.0</v>
      </c>
      <c r="J331" s="36">
        <v>907.0</v>
      </c>
      <c r="K331" s="36">
        <v>110232.0</v>
      </c>
      <c r="L331" s="36">
        <v>3904.0</v>
      </c>
      <c r="M331" s="36">
        <v>594395.0</v>
      </c>
      <c r="N331" s="36">
        <v>704627.0</v>
      </c>
      <c r="O331" s="36">
        <v>55.0</v>
      </c>
      <c r="P331" s="38">
        <v>7812.0</v>
      </c>
      <c r="Q331" s="38">
        <v>59.0</v>
      </c>
      <c r="R331" s="38">
        <v>6550.0</v>
      </c>
      <c r="S331" s="38">
        <v>5.0</v>
      </c>
      <c r="T331" s="38">
        <v>878.0</v>
      </c>
      <c r="U331" s="38">
        <v>384.0</v>
      </c>
      <c r="V331" s="38">
        <v>400.0</v>
      </c>
      <c r="W331" s="38">
        <v>52.0</v>
      </c>
      <c r="X331" s="38">
        <v>32.0</v>
      </c>
      <c r="Y331" s="38">
        <v>10.0</v>
      </c>
      <c r="Z331" s="35">
        <v>2244.0</v>
      </c>
      <c r="AA331" s="29">
        <v>2380.0</v>
      </c>
      <c r="AB331" s="29">
        <v>345.0</v>
      </c>
      <c r="AC331" s="29">
        <v>2725.0</v>
      </c>
      <c r="AD331" s="29">
        <v>70093.0</v>
      </c>
      <c r="AE331" s="29">
        <v>2380.0</v>
      </c>
      <c r="AF331" s="29">
        <v>56346.0</v>
      </c>
      <c r="AG331" s="29">
        <v>345.0</v>
      </c>
      <c r="AH331" s="29">
        <v>13747.0</v>
      </c>
    </row>
    <row r="332" ht="14.25" customHeight="1">
      <c r="A332" s="34">
        <v>44218.0</v>
      </c>
      <c r="B332" s="35">
        <v>872.0</v>
      </c>
      <c r="C332" s="35">
        <v>1007.0</v>
      </c>
      <c r="D332" s="35">
        <v>132518.0</v>
      </c>
      <c r="E332" s="36">
        <v>19821.0</v>
      </c>
      <c r="F332" s="37">
        <v>2261453.0</v>
      </c>
      <c r="G332" s="37">
        <v>20693.0</v>
      </c>
      <c r="H332" s="37">
        <v>2393971.0</v>
      </c>
      <c r="I332" s="36">
        <v>758.0</v>
      </c>
      <c r="J332" s="36">
        <v>875.0</v>
      </c>
      <c r="K332" s="36">
        <v>110990.0</v>
      </c>
      <c r="L332" s="36">
        <v>3038.0</v>
      </c>
      <c r="M332" s="36">
        <v>597433.0</v>
      </c>
      <c r="N332" s="36">
        <v>708423.0</v>
      </c>
      <c r="O332" s="36">
        <v>54.0</v>
      </c>
      <c r="P332" s="38">
        <v>7866.0</v>
      </c>
      <c r="Q332" s="38">
        <v>58.0</v>
      </c>
      <c r="R332" s="38">
        <v>6608.0</v>
      </c>
      <c r="S332" s="38">
        <v>10.0</v>
      </c>
      <c r="T332" s="38">
        <v>888.0</v>
      </c>
      <c r="U332" s="38">
        <v>370.0</v>
      </c>
      <c r="V332" s="38">
        <v>382.0</v>
      </c>
      <c r="W332" s="38">
        <v>55.0</v>
      </c>
      <c r="X332" s="38">
        <v>34.0</v>
      </c>
      <c r="Y332" s="38">
        <v>16.0</v>
      </c>
      <c r="Z332" s="35">
        <v>2260.0</v>
      </c>
      <c r="AA332" s="29">
        <v>2494.0</v>
      </c>
      <c r="AB332" s="29">
        <v>310.0</v>
      </c>
      <c r="AC332" s="29">
        <v>2804.0</v>
      </c>
      <c r="AD332" s="29">
        <v>72897.0</v>
      </c>
      <c r="AE332" s="29">
        <v>2494.0</v>
      </c>
      <c r="AF332" s="29">
        <v>58840.0</v>
      </c>
      <c r="AG332" s="29">
        <v>310.0</v>
      </c>
      <c r="AH332" s="29">
        <v>14057.0</v>
      </c>
    </row>
    <row r="333" ht="14.25" customHeight="1">
      <c r="A333" s="34">
        <v>44219.0</v>
      </c>
      <c r="B333" s="35">
        <v>909.0</v>
      </c>
      <c r="C333" s="35">
        <v>988.0</v>
      </c>
      <c r="D333" s="35">
        <v>133427.0</v>
      </c>
      <c r="E333" s="36">
        <v>19073.0</v>
      </c>
      <c r="F333" s="37">
        <v>2280526.0</v>
      </c>
      <c r="G333" s="37">
        <v>19982.0</v>
      </c>
      <c r="H333" s="37">
        <v>2413953.0</v>
      </c>
      <c r="I333" s="36">
        <v>778.0</v>
      </c>
      <c r="J333" s="36">
        <v>850.0</v>
      </c>
      <c r="K333" s="36">
        <v>111768.0</v>
      </c>
      <c r="L333" s="36">
        <v>3067.0</v>
      </c>
      <c r="M333" s="36">
        <v>600500.0</v>
      </c>
      <c r="N333" s="36">
        <v>712268.0</v>
      </c>
      <c r="O333" s="36">
        <v>57.0</v>
      </c>
      <c r="P333" s="38">
        <v>7923.0</v>
      </c>
      <c r="Q333" s="38">
        <v>32.0</v>
      </c>
      <c r="R333" s="38">
        <v>6640.0</v>
      </c>
      <c r="S333" s="38">
        <v>3.0</v>
      </c>
      <c r="T333" s="38">
        <v>891.0</v>
      </c>
      <c r="U333" s="38">
        <v>392.0</v>
      </c>
      <c r="V333" s="38">
        <v>382.0</v>
      </c>
      <c r="W333" s="38">
        <v>60.0</v>
      </c>
      <c r="X333" s="38">
        <v>35.0</v>
      </c>
      <c r="Y333" s="38">
        <v>8.0</v>
      </c>
      <c r="Z333" s="35">
        <v>2268.0</v>
      </c>
      <c r="AA333" s="29">
        <v>2497.0</v>
      </c>
      <c r="AB333" s="29">
        <v>599.0</v>
      </c>
      <c r="AC333" s="29">
        <v>3096.0</v>
      </c>
      <c r="AD333" s="29">
        <v>75993.0</v>
      </c>
      <c r="AE333" s="29">
        <v>2497.0</v>
      </c>
      <c r="AF333" s="29">
        <v>61337.0</v>
      </c>
      <c r="AG333" s="29">
        <v>599.0</v>
      </c>
      <c r="AH333" s="29">
        <v>14656.0</v>
      </c>
    </row>
    <row r="334" ht="14.25" customHeight="1">
      <c r="A334" s="34">
        <v>44220.0</v>
      </c>
      <c r="B334" s="35">
        <v>405.0</v>
      </c>
      <c r="C334" s="35">
        <v>729.0</v>
      </c>
      <c r="D334" s="35">
        <v>133832.0</v>
      </c>
      <c r="E334" s="36">
        <v>8969.0</v>
      </c>
      <c r="F334" s="37">
        <v>2289495.0</v>
      </c>
      <c r="G334" s="37">
        <v>9374.0</v>
      </c>
      <c r="H334" s="37">
        <v>2423327.0</v>
      </c>
      <c r="I334" s="36">
        <v>341.0</v>
      </c>
      <c r="J334" s="36">
        <v>626.0</v>
      </c>
      <c r="K334" s="36">
        <v>112109.0</v>
      </c>
      <c r="L334" s="36">
        <v>1200.0</v>
      </c>
      <c r="M334" s="36">
        <v>601700.0</v>
      </c>
      <c r="N334" s="36">
        <v>713809.0</v>
      </c>
      <c r="O334" s="36">
        <v>43.0</v>
      </c>
      <c r="P334" s="38">
        <v>7966.0</v>
      </c>
      <c r="Q334" s="38">
        <v>43.0</v>
      </c>
      <c r="R334" s="38">
        <v>6683.0</v>
      </c>
      <c r="S334" s="38">
        <v>9.0</v>
      </c>
      <c r="T334" s="38">
        <v>900.0</v>
      </c>
      <c r="U334" s="38">
        <v>383.0</v>
      </c>
      <c r="V334" s="38">
        <v>382.0</v>
      </c>
      <c r="W334" s="38">
        <v>60.0</v>
      </c>
      <c r="X334" s="38">
        <v>38.0</v>
      </c>
      <c r="Y334" s="38">
        <v>16.0</v>
      </c>
      <c r="Z334" s="35">
        <v>2284.0</v>
      </c>
      <c r="AA334" s="29">
        <v>739.0</v>
      </c>
      <c r="AB334" s="29">
        <v>1050.0</v>
      </c>
      <c r="AC334" s="29">
        <v>1789.0</v>
      </c>
      <c r="AD334" s="29">
        <v>77782.0</v>
      </c>
      <c r="AE334" s="29">
        <v>739.0</v>
      </c>
      <c r="AF334" s="29">
        <v>62076.0</v>
      </c>
      <c r="AG334" s="29">
        <v>1050.0</v>
      </c>
      <c r="AH334" s="29">
        <v>15706.0</v>
      </c>
    </row>
    <row r="335" ht="14.25" customHeight="1">
      <c r="A335" s="34">
        <v>44221.0</v>
      </c>
      <c r="B335" s="35">
        <v>806.0</v>
      </c>
      <c r="C335" s="35">
        <v>707.0</v>
      </c>
      <c r="D335" s="35">
        <v>134638.0</v>
      </c>
      <c r="E335" s="36">
        <v>13387.0</v>
      </c>
      <c r="F335" s="37">
        <v>2302882.0</v>
      </c>
      <c r="G335" s="37">
        <v>14193.0</v>
      </c>
      <c r="H335" s="37">
        <v>2437520.0</v>
      </c>
      <c r="I335" s="36">
        <v>687.0</v>
      </c>
      <c r="J335" s="36">
        <v>602.0</v>
      </c>
      <c r="K335" s="36">
        <v>112796.0</v>
      </c>
      <c r="L335" s="36">
        <v>2588.0</v>
      </c>
      <c r="M335" s="36">
        <v>604288.0</v>
      </c>
      <c r="N335" s="36">
        <v>717084.0</v>
      </c>
      <c r="O335" s="36">
        <v>48.0</v>
      </c>
      <c r="P335" s="38">
        <v>8014.0</v>
      </c>
      <c r="Q335" s="38">
        <v>55.0</v>
      </c>
      <c r="R335" s="38">
        <v>6738.0</v>
      </c>
      <c r="S335" s="38">
        <v>5.0</v>
      </c>
      <c r="T335" s="38">
        <v>905.0</v>
      </c>
      <c r="U335" s="38">
        <v>371.0</v>
      </c>
      <c r="V335" s="38">
        <v>382.0</v>
      </c>
      <c r="W335" s="38">
        <v>60.0</v>
      </c>
      <c r="X335" s="38">
        <v>39.0</v>
      </c>
      <c r="Y335" s="38">
        <v>14.0</v>
      </c>
      <c r="Z335" s="35">
        <v>2298.0</v>
      </c>
      <c r="AA335" s="29">
        <v>2024.0</v>
      </c>
      <c r="AB335" s="29">
        <v>2783.0</v>
      </c>
      <c r="AC335" s="29">
        <v>4807.0</v>
      </c>
      <c r="AD335" s="29">
        <v>82589.0</v>
      </c>
      <c r="AE335" s="29">
        <v>2024.0</v>
      </c>
      <c r="AF335" s="29">
        <v>64100.0</v>
      </c>
      <c r="AG335" s="29">
        <v>2783.0</v>
      </c>
      <c r="AH335" s="29">
        <v>18489.0</v>
      </c>
    </row>
    <row r="336" ht="14.25" customHeight="1">
      <c r="A336" s="34">
        <v>44222.0</v>
      </c>
      <c r="B336" s="35">
        <v>725.0</v>
      </c>
      <c r="C336" s="35">
        <v>645.0</v>
      </c>
      <c r="D336" s="35">
        <v>135363.0</v>
      </c>
      <c r="E336" s="36">
        <v>20058.0</v>
      </c>
      <c r="F336" s="37">
        <v>2322940.0</v>
      </c>
      <c r="G336" s="37">
        <v>20783.0</v>
      </c>
      <c r="H336" s="37">
        <v>2458303.0</v>
      </c>
      <c r="I336" s="36">
        <v>641.0</v>
      </c>
      <c r="J336" s="36">
        <v>556.0</v>
      </c>
      <c r="K336" s="36">
        <v>113437.0</v>
      </c>
      <c r="L336" s="36">
        <v>3345.0</v>
      </c>
      <c r="M336" s="36">
        <v>607633.0</v>
      </c>
      <c r="N336" s="36">
        <v>721070.0</v>
      </c>
      <c r="O336" s="36">
        <v>49.0</v>
      </c>
      <c r="P336" s="38">
        <v>8063.0</v>
      </c>
      <c r="Q336" s="38">
        <v>47.0</v>
      </c>
      <c r="R336" s="38">
        <v>6785.0</v>
      </c>
      <c r="S336" s="38">
        <v>9.0</v>
      </c>
      <c r="T336" s="38">
        <v>914.0</v>
      </c>
      <c r="U336" s="38">
        <v>364.0</v>
      </c>
      <c r="V336" s="38">
        <v>373.0</v>
      </c>
      <c r="W336" s="38">
        <v>57.0</v>
      </c>
      <c r="X336" s="38">
        <v>36.0</v>
      </c>
      <c r="Y336" s="38">
        <v>12.0</v>
      </c>
      <c r="Z336" s="35">
        <v>2310.0</v>
      </c>
      <c r="AA336" s="29">
        <v>1554.0</v>
      </c>
      <c r="AB336" s="29">
        <v>2617.0</v>
      </c>
      <c r="AC336" s="29">
        <v>4171.0</v>
      </c>
      <c r="AD336" s="29">
        <v>86760.0</v>
      </c>
      <c r="AE336" s="29">
        <v>1554.0</v>
      </c>
      <c r="AF336" s="29">
        <v>65654.0</v>
      </c>
      <c r="AG336" s="29">
        <v>2617.0</v>
      </c>
      <c r="AH336" s="29">
        <v>21106.0</v>
      </c>
    </row>
    <row r="337" ht="14.25" customHeight="1">
      <c r="A337" s="34">
        <v>44223.0</v>
      </c>
      <c r="B337" s="35">
        <v>843.0</v>
      </c>
      <c r="C337" s="35">
        <v>791.0</v>
      </c>
      <c r="D337" s="35">
        <v>136206.0</v>
      </c>
      <c r="E337" s="36">
        <v>21876.0</v>
      </c>
      <c r="F337" s="37">
        <v>2344816.0</v>
      </c>
      <c r="G337" s="37">
        <v>22719.0</v>
      </c>
      <c r="H337" s="37">
        <v>2481022.0</v>
      </c>
      <c r="I337" s="36">
        <v>714.0</v>
      </c>
      <c r="J337" s="36">
        <v>681.0</v>
      </c>
      <c r="K337" s="36">
        <v>114151.0</v>
      </c>
      <c r="L337" s="36">
        <v>3221.0</v>
      </c>
      <c r="M337" s="36">
        <v>610854.0</v>
      </c>
      <c r="N337" s="36">
        <v>725005.0</v>
      </c>
      <c r="O337" s="36">
        <v>50.0</v>
      </c>
      <c r="P337" s="38">
        <v>8113.0</v>
      </c>
      <c r="Q337" s="38">
        <v>59.0</v>
      </c>
      <c r="R337" s="38">
        <v>6844.0</v>
      </c>
      <c r="S337" s="38">
        <v>3.0</v>
      </c>
      <c r="T337" s="38">
        <v>917.0</v>
      </c>
      <c r="U337" s="38">
        <v>352.0</v>
      </c>
      <c r="V337" s="38">
        <v>362.0</v>
      </c>
      <c r="W337" s="38">
        <v>59.0</v>
      </c>
      <c r="X337" s="38">
        <v>33.0</v>
      </c>
      <c r="Y337" s="38">
        <v>7.0</v>
      </c>
      <c r="Z337" s="35">
        <v>2317.0</v>
      </c>
      <c r="AA337" s="29">
        <v>2256.0</v>
      </c>
      <c r="AB337" s="29">
        <v>2799.0</v>
      </c>
      <c r="AC337" s="29">
        <v>5055.0</v>
      </c>
      <c r="AD337" s="29">
        <v>91815.0</v>
      </c>
      <c r="AE337" s="29">
        <v>2256.0</v>
      </c>
      <c r="AF337" s="29">
        <v>67910.0</v>
      </c>
      <c r="AG337" s="29">
        <v>2799.0</v>
      </c>
      <c r="AH337" s="29">
        <v>23905.0</v>
      </c>
    </row>
    <row r="338" ht="14.25" customHeight="1">
      <c r="A338" s="34">
        <v>44224.0</v>
      </c>
      <c r="B338" s="35">
        <v>764.0</v>
      </c>
      <c r="C338" s="35">
        <v>777.0</v>
      </c>
      <c r="D338" s="35">
        <v>136970.0</v>
      </c>
      <c r="E338" s="36">
        <v>22593.0</v>
      </c>
      <c r="F338" s="37">
        <v>2367409.0</v>
      </c>
      <c r="G338" s="37">
        <v>23357.0</v>
      </c>
      <c r="H338" s="37">
        <v>2504379.0</v>
      </c>
      <c r="I338" s="36">
        <v>637.0</v>
      </c>
      <c r="J338" s="36">
        <v>664.0</v>
      </c>
      <c r="K338" s="36">
        <v>114788.0</v>
      </c>
      <c r="L338" s="36">
        <v>3053.0</v>
      </c>
      <c r="M338" s="36">
        <v>613907.0</v>
      </c>
      <c r="N338" s="36">
        <v>728695.0</v>
      </c>
      <c r="O338" s="36">
        <v>34.0</v>
      </c>
      <c r="P338" s="38">
        <v>8147.0</v>
      </c>
      <c r="Q338" s="38">
        <v>35.0</v>
      </c>
      <c r="R338" s="38">
        <v>6879.0</v>
      </c>
      <c r="S338" s="38">
        <v>4.0</v>
      </c>
      <c r="T338" s="38">
        <v>921.0</v>
      </c>
      <c r="U338" s="38">
        <v>347.0</v>
      </c>
      <c r="V338" s="38">
        <v>354.0</v>
      </c>
      <c r="W338" s="38">
        <v>55.0</v>
      </c>
      <c r="X338" s="38">
        <v>31.0</v>
      </c>
      <c r="Y338" s="38">
        <v>14.0</v>
      </c>
      <c r="Z338" s="35">
        <v>2331.0</v>
      </c>
      <c r="AA338" s="29">
        <v>2735.0</v>
      </c>
      <c r="AB338" s="29">
        <v>1095.0</v>
      </c>
      <c r="AC338" s="29">
        <v>3830.0</v>
      </c>
      <c r="AD338" s="29">
        <v>95645.0</v>
      </c>
      <c r="AE338" s="29">
        <v>2735.0</v>
      </c>
      <c r="AF338" s="29">
        <v>70645.0</v>
      </c>
      <c r="AG338" s="29">
        <v>1095.0</v>
      </c>
      <c r="AH338" s="29">
        <v>25000.0</v>
      </c>
    </row>
    <row r="339" ht="14.25" customHeight="1">
      <c r="A339" s="34">
        <v>44225.0</v>
      </c>
      <c r="B339" s="35">
        <v>672.0</v>
      </c>
      <c r="C339" s="35">
        <v>760.0</v>
      </c>
      <c r="D339" s="35">
        <v>137642.0</v>
      </c>
      <c r="E339" s="36">
        <v>20067.0</v>
      </c>
      <c r="F339" s="37">
        <v>2387476.0</v>
      </c>
      <c r="G339" s="37">
        <v>20739.0</v>
      </c>
      <c r="H339" s="37">
        <v>2525118.0</v>
      </c>
      <c r="I339" s="36">
        <v>592.0</v>
      </c>
      <c r="J339" s="36">
        <v>648.0</v>
      </c>
      <c r="K339" s="36">
        <v>115380.0</v>
      </c>
      <c r="L339" s="36">
        <v>2524.0</v>
      </c>
      <c r="M339" s="36">
        <v>616431.0</v>
      </c>
      <c r="N339" s="36">
        <v>731811.0</v>
      </c>
      <c r="O339" s="36">
        <v>41.0</v>
      </c>
      <c r="P339" s="38">
        <v>8188.0</v>
      </c>
      <c r="Q339" s="38">
        <v>53.0</v>
      </c>
      <c r="R339" s="38">
        <v>6932.0</v>
      </c>
      <c r="S339" s="38">
        <v>4.0</v>
      </c>
      <c r="T339" s="38">
        <v>925.0</v>
      </c>
      <c r="U339" s="38">
        <v>331.0</v>
      </c>
      <c r="V339" s="38">
        <v>343.0</v>
      </c>
      <c r="W339" s="38">
        <v>57.0</v>
      </c>
      <c r="X339" s="38">
        <v>34.0</v>
      </c>
      <c r="Y339" s="38">
        <v>7.0</v>
      </c>
      <c r="Z339" s="35">
        <v>2338.0</v>
      </c>
      <c r="AA339" s="29">
        <v>2284.0</v>
      </c>
      <c r="AB339" s="29">
        <v>1193.0</v>
      </c>
      <c r="AC339" s="29">
        <v>3477.0</v>
      </c>
      <c r="AD339" s="29">
        <v>99122.0</v>
      </c>
      <c r="AE339" s="29">
        <v>2284.0</v>
      </c>
      <c r="AF339" s="29">
        <v>72929.0</v>
      </c>
      <c r="AG339" s="29">
        <v>1193.0</v>
      </c>
      <c r="AH339" s="29">
        <v>26193.0</v>
      </c>
    </row>
    <row r="340" ht="14.25" customHeight="1">
      <c r="A340" s="34">
        <v>44226.0</v>
      </c>
      <c r="B340" s="35">
        <v>695.0</v>
      </c>
      <c r="C340" s="35">
        <v>710.0</v>
      </c>
      <c r="D340" s="35">
        <v>138337.0</v>
      </c>
      <c r="E340" s="36">
        <v>16300.0</v>
      </c>
      <c r="F340" s="37">
        <v>2403776.0</v>
      </c>
      <c r="G340" s="37">
        <v>16995.0</v>
      </c>
      <c r="H340" s="37">
        <v>2542113.0</v>
      </c>
      <c r="I340" s="36">
        <v>591.0</v>
      </c>
      <c r="J340" s="36">
        <v>607.0</v>
      </c>
      <c r="K340" s="36">
        <v>115971.0</v>
      </c>
      <c r="L340" s="36">
        <v>2286.0</v>
      </c>
      <c r="M340" s="36">
        <v>618717.0</v>
      </c>
      <c r="N340" s="36">
        <v>734688.0</v>
      </c>
      <c r="O340" s="36">
        <v>39.0</v>
      </c>
      <c r="P340" s="38">
        <v>8227.0</v>
      </c>
      <c r="Q340" s="38">
        <v>30.0</v>
      </c>
      <c r="R340" s="38">
        <v>6962.0</v>
      </c>
      <c r="S340" s="38">
        <v>4.0</v>
      </c>
      <c r="T340" s="38">
        <v>929.0</v>
      </c>
      <c r="U340" s="38">
        <v>336.0</v>
      </c>
      <c r="V340" s="38">
        <v>338.0</v>
      </c>
      <c r="W340" s="38">
        <v>52.0</v>
      </c>
      <c r="X340" s="38">
        <v>31.0</v>
      </c>
      <c r="Y340" s="38">
        <v>9.0</v>
      </c>
      <c r="Z340" s="35">
        <v>2347.0</v>
      </c>
      <c r="AA340" s="29">
        <v>3533.0</v>
      </c>
      <c r="AB340" s="29">
        <v>2108.0</v>
      </c>
      <c r="AC340" s="29">
        <v>5641.0</v>
      </c>
      <c r="AD340" s="29">
        <v>104763.0</v>
      </c>
      <c r="AE340" s="29">
        <v>3533.0</v>
      </c>
      <c r="AF340" s="29">
        <v>76462.0</v>
      </c>
      <c r="AG340" s="29">
        <v>2108.0</v>
      </c>
      <c r="AH340" s="29">
        <v>28301.0</v>
      </c>
    </row>
    <row r="341" ht="14.25" customHeight="1">
      <c r="A341" s="34">
        <v>44227.0</v>
      </c>
      <c r="B341" s="35">
        <v>361.0</v>
      </c>
      <c r="C341" s="35">
        <v>576.0</v>
      </c>
      <c r="D341" s="35">
        <v>138698.0</v>
      </c>
      <c r="E341" s="36">
        <v>8373.0</v>
      </c>
      <c r="F341" s="37">
        <v>2412149.0</v>
      </c>
      <c r="G341" s="37">
        <v>8734.0</v>
      </c>
      <c r="H341" s="37">
        <v>2550847.0</v>
      </c>
      <c r="I341" s="36">
        <v>320.0</v>
      </c>
      <c r="J341" s="36">
        <v>501.0</v>
      </c>
      <c r="K341" s="36">
        <v>116291.0</v>
      </c>
      <c r="L341" s="36">
        <v>1149.0</v>
      </c>
      <c r="M341" s="36">
        <v>619866.0</v>
      </c>
      <c r="N341" s="36">
        <v>736157.0</v>
      </c>
      <c r="O341" s="36">
        <v>36.0</v>
      </c>
      <c r="P341" s="38">
        <v>8263.0</v>
      </c>
      <c r="Q341" s="38">
        <v>36.0</v>
      </c>
      <c r="R341" s="38">
        <v>6998.0</v>
      </c>
      <c r="S341" s="38">
        <v>2.0</v>
      </c>
      <c r="T341" s="38">
        <v>931.0</v>
      </c>
      <c r="U341" s="38">
        <v>334.0</v>
      </c>
      <c r="V341" s="38">
        <v>334.0</v>
      </c>
      <c r="W341" s="38">
        <v>46.0</v>
      </c>
      <c r="X341" s="38">
        <v>26.0</v>
      </c>
      <c r="Y341" s="38">
        <v>8.0</v>
      </c>
      <c r="Z341" s="35">
        <v>2355.0</v>
      </c>
      <c r="AA341" s="29">
        <v>2323.0</v>
      </c>
      <c r="AB341" s="29">
        <v>390.0</v>
      </c>
      <c r="AC341" s="29">
        <v>2713.0</v>
      </c>
      <c r="AD341" s="29">
        <v>107476.0</v>
      </c>
      <c r="AE341" s="29">
        <v>2323.0</v>
      </c>
      <c r="AF341" s="29">
        <v>78785.0</v>
      </c>
      <c r="AG341" s="29">
        <v>390.0</v>
      </c>
      <c r="AH341" s="29">
        <v>28691.0</v>
      </c>
    </row>
    <row r="342" ht="14.25" customHeight="1">
      <c r="A342" s="34">
        <v>44228.0</v>
      </c>
      <c r="B342" s="35">
        <v>238.0</v>
      </c>
      <c r="C342" s="35">
        <v>431.0</v>
      </c>
      <c r="D342" s="35">
        <v>138936.0</v>
      </c>
      <c r="E342" s="36">
        <v>7378.0</v>
      </c>
      <c r="F342" s="37">
        <v>2419527.0</v>
      </c>
      <c r="G342" s="37">
        <v>7616.0</v>
      </c>
      <c r="H342" s="37">
        <v>2558463.0</v>
      </c>
      <c r="I342" s="36">
        <v>204.0</v>
      </c>
      <c r="J342" s="36">
        <v>372.0</v>
      </c>
      <c r="K342" s="36">
        <v>116495.0</v>
      </c>
      <c r="L342" s="36">
        <v>672.0</v>
      </c>
      <c r="M342" s="36">
        <v>620538.0</v>
      </c>
      <c r="N342" s="36">
        <v>737033.0</v>
      </c>
      <c r="O342" s="36">
        <v>35.0</v>
      </c>
      <c r="P342" s="38">
        <v>8298.0</v>
      </c>
      <c r="Q342" s="38">
        <v>39.0</v>
      </c>
      <c r="R342" s="38">
        <v>7037.0</v>
      </c>
      <c r="S342" s="38">
        <v>7.0</v>
      </c>
      <c r="T342" s="38">
        <v>938.0</v>
      </c>
      <c r="U342" s="38">
        <v>323.0</v>
      </c>
      <c r="V342" s="38">
        <v>331.0</v>
      </c>
      <c r="W342" s="38">
        <v>44.0</v>
      </c>
      <c r="X342" s="38">
        <v>23.0</v>
      </c>
      <c r="Y342" s="38">
        <v>11.0</v>
      </c>
      <c r="Z342" s="35">
        <v>2366.0</v>
      </c>
      <c r="AA342" s="29">
        <v>432.0</v>
      </c>
      <c r="AB342" s="29">
        <v>1033.0</v>
      </c>
      <c r="AC342" s="29">
        <v>1465.0</v>
      </c>
      <c r="AD342" s="29">
        <v>108941.0</v>
      </c>
      <c r="AE342" s="29">
        <v>432.0</v>
      </c>
      <c r="AF342" s="29">
        <v>79217.0</v>
      </c>
      <c r="AG342" s="29">
        <v>1033.0</v>
      </c>
      <c r="AH342" s="29">
        <v>29724.0</v>
      </c>
    </row>
    <row r="343" ht="14.25" customHeight="1">
      <c r="A343" s="34">
        <v>44229.0</v>
      </c>
      <c r="B343" s="35">
        <v>603.0</v>
      </c>
      <c r="C343" s="35">
        <v>401.0</v>
      </c>
      <c r="D343" s="35">
        <v>139539.0</v>
      </c>
      <c r="E343" s="36">
        <v>14851.0</v>
      </c>
      <c r="F343" s="37">
        <v>2434378.0</v>
      </c>
      <c r="G343" s="37">
        <v>15454.0</v>
      </c>
      <c r="H343" s="37">
        <v>2573917.0</v>
      </c>
      <c r="I343" s="36">
        <v>539.0</v>
      </c>
      <c r="J343" s="36">
        <v>354.0</v>
      </c>
      <c r="K343" s="36">
        <v>117034.0</v>
      </c>
      <c r="L343" s="36">
        <v>1903.0</v>
      </c>
      <c r="M343" s="36">
        <v>622441.0</v>
      </c>
      <c r="N343" s="36">
        <v>739475.0</v>
      </c>
      <c r="O343" s="36">
        <v>48.0</v>
      </c>
      <c r="P343" s="38">
        <v>8346.0</v>
      </c>
      <c r="Q343" s="38">
        <v>48.0</v>
      </c>
      <c r="R343" s="38">
        <v>7085.0</v>
      </c>
      <c r="S343" s="38">
        <v>5.0</v>
      </c>
      <c r="T343" s="38">
        <v>943.0</v>
      </c>
      <c r="U343" s="38">
        <v>318.0</v>
      </c>
      <c r="V343" s="38">
        <v>325.0</v>
      </c>
      <c r="W343" s="38">
        <v>47.0</v>
      </c>
      <c r="X343" s="38">
        <v>24.0</v>
      </c>
      <c r="Y343" s="38">
        <v>14.0</v>
      </c>
      <c r="Z343" s="35">
        <v>2380.0</v>
      </c>
      <c r="AA343" s="29">
        <v>1719.0</v>
      </c>
      <c r="AB343" s="29">
        <v>1685.0</v>
      </c>
      <c r="AC343" s="29">
        <v>3404.0</v>
      </c>
      <c r="AD343" s="29">
        <v>112345.0</v>
      </c>
      <c r="AE343" s="29">
        <v>1719.0</v>
      </c>
      <c r="AF343" s="29">
        <v>80936.0</v>
      </c>
      <c r="AG343" s="29">
        <v>1685.0</v>
      </c>
      <c r="AH343" s="29">
        <v>31409.0</v>
      </c>
    </row>
    <row r="344" ht="14.25" customHeight="1">
      <c r="A344" s="34">
        <v>44230.0</v>
      </c>
      <c r="B344" s="35">
        <v>750.0</v>
      </c>
      <c r="C344" s="35">
        <v>530.0</v>
      </c>
      <c r="D344" s="35">
        <v>140289.0</v>
      </c>
      <c r="E344" s="36">
        <v>24454.0</v>
      </c>
      <c r="F344" s="37">
        <v>2458832.0</v>
      </c>
      <c r="G344" s="37">
        <v>25204.0</v>
      </c>
      <c r="H344" s="37">
        <v>2599121.0</v>
      </c>
      <c r="I344" s="36">
        <v>656.0</v>
      </c>
      <c r="J344" s="36">
        <v>466.0</v>
      </c>
      <c r="K344" s="36">
        <v>117690.0</v>
      </c>
      <c r="L344" s="36">
        <v>2492.0</v>
      </c>
      <c r="M344" s="36">
        <v>624933.0</v>
      </c>
      <c r="N344" s="36">
        <v>742623.0</v>
      </c>
      <c r="O344" s="36">
        <v>50.0</v>
      </c>
      <c r="P344" s="38">
        <v>8396.0</v>
      </c>
      <c r="Q344" s="38">
        <v>46.0</v>
      </c>
      <c r="R344" s="38">
        <v>7131.0</v>
      </c>
      <c r="S344" s="38">
        <v>5.0</v>
      </c>
      <c r="T344" s="38">
        <v>948.0</v>
      </c>
      <c r="U344" s="38">
        <v>317.0</v>
      </c>
      <c r="V344" s="38">
        <v>319.0</v>
      </c>
      <c r="W344" s="38">
        <v>47.0</v>
      </c>
      <c r="X344" s="38">
        <v>22.0</v>
      </c>
      <c r="Y344" s="38">
        <v>14.0</v>
      </c>
      <c r="Z344" s="35">
        <v>2394.0</v>
      </c>
      <c r="AA344" s="29">
        <v>3902.0</v>
      </c>
      <c r="AB344" s="29">
        <v>1959.0</v>
      </c>
      <c r="AC344" s="29">
        <v>5861.0</v>
      </c>
      <c r="AD344" s="29">
        <v>118206.0</v>
      </c>
      <c r="AE344" s="29">
        <v>3902.0</v>
      </c>
      <c r="AF344" s="29">
        <v>84838.0</v>
      </c>
      <c r="AG344" s="29">
        <v>1959.0</v>
      </c>
      <c r="AH344" s="29">
        <v>33368.0</v>
      </c>
    </row>
    <row r="345" ht="14.25" customHeight="1">
      <c r="A345" s="34">
        <v>44231.0</v>
      </c>
      <c r="B345" s="35">
        <v>708.0</v>
      </c>
      <c r="C345" s="35">
        <v>687.0</v>
      </c>
      <c r="D345" s="35">
        <v>140997.0</v>
      </c>
      <c r="E345" s="36">
        <v>23484.0</v>
      </c>
      <c r="F345" s="37">
        <v>2482316.0</v>
      </c>
      <c r="G345" s="37">
        <v>24192.0</v>
      </c>
      <c r="H345" s="37">
        <v>2623313.0</v>
      </c>
      <c r="I345" s="36">
        <v>612.0</v>
      </c>
      <c r="J345" s="36">
        <v>602.0</v>
      </c>
      <c r="K345" s="36">
        <v>118302.0</v>
      </c>
      <c r="L345" s="36">
        <v>2650.0</v>
      </c>
      <c r="M345" s="36">
        <v>627583.0</v>
      </c>
      <c r="N345" s="36">
        <v>745885.0</v>
      </c>
      <c r="O345" s="36">
        <v>33.0</v>
      </c>
      <c r="P345" s="38">
        <v>8429.0</v>
      </c>
      <c r="Q345" s="38">
        <v>48.0</v>
      </c>
      <c r="R345" s="38">
        <v>7179.0</v>
      </c>
      <c r="S345" s="38">
        <v>0.0</v>
      </c>
      <c r="T345" s="38">
        <v>948.0</v>
      </c>
      <c r="U345" s="38">
        <v>302.0</v>
      </c>
      <c r="V345" s="38">
        <v>312.0</v>
      </c>
      <c r="W345" s="38">
        <v>48.0</v>
      </c>
      <c r="X345" s="38">
        <v>23.0</v>
      </c>
      <c r="Y345" s="38">
        <v>8.0</v>
      </c>
      <c r="Z345" s="35">
        <v>2402.0</v>
      </c>
      <c r="AA345" s="29">
        <v>2916.0</v>
      </c>
      <c r="AB345" s="29">
        <v>2050.0</v>
      </c>
      <c r="AC345" s="29">
        <v>4966.0</v>
      </c>
      <c r="AD345" s="29">
        <v>123172.0</v>
      </c>
      <c r="AE345" s="29">
        <v>2916.0</v>
      </c>
      <c r="AF345" s="29">
        <v>87754.0</v>
      </c>
      <c r="AG345" s="29">
        <v>2050.0</v>
      </c>
      <c r="AH345" s="29">
        <v>35418.0</v>
      </c>
    </row>
    <row r="346" ht="14.25" customHeight="1">
      <c r="A346" s="34">
        <v>44232.0</v>
      </c>
      <c r="B346" s="35">
        <v>613.0</v>
      </c>
      <c r="C346" s="35">
        <v>690.0</v>
      </c>
      <c r="D346" s="35">
        <v>141610.0</v>
      </c>
      <c r="E346" s="36">
        <v>20028.0</v>
      </c>
      <c r="F346" s="37">
        <v>2502344.0</v>
      </c>
      <c r="G346" s="37">
        <v>20641.0</v>
      </c>
      <c r="H346" s="37">
        <v>2643954.0</v>
      </c>
      <c r="I346" s="36">
        <v>519.0</v>
      </c>
      <c r="J346" s="36">
        <v>596.0</v>
      </c>
      <c r="K346" s="36">
        <v>118821.0</v>
      </c>
      <c r="L346" s="36">
        <v>2288.0</v>
      </c>
      <c r="M346" s="36">
        <v>629871.0</v>
      </c>
      <c r="N346" s="36">
        <v>748692.0</v>
      </c>
      <c r="O346" s="36">
        <v>25.0</v>
      </c>
      <c r="P346" s="38">
        <v>8454.0</v>
      </c>
      <c r="Q346" s="38">
        <v>41.0</v>
      </c>
      <c r="R346" s="38">
        <v>7220.0</v>
      </c>
      <c r="S346" s="38">
        <v>3.0</v>
      </c>
      <c r="T346" s="38">
        <v>951.0</v>
      </c>
      <c r="U346" s="38">
        <v>283.0</v>
      </c>
      <c r="V346" s="38">
        <v>301.0</v>
      </c>
      <c r="W346" s="38">
        <v>51.0</v>
      </c>
      <c r="X346" s="38">
        <v>24.0</v>
      </c>
      <c r="Y346" s="38">
        <v>6.0</v>
      </c>
      <c r="Z346" s="35">
        <v>2408.0</v>
      </c>
      <c r="AA346" s="29">
        <v>2946.0</v>
      </c>
      <c r="AB346" s="29">
        <v>1551.0</v>
      </c>
      <c r="AC346" s="29">
        <v>4497.0</v>
      </c>
      <c r="AD346" s="29">
        <v>127669.0</v>
      </c>
      <c r="AE346" s="29">
        <v>2946.0</v>
      </c>
      <c r="AF346" s="29">
        <v>90700.0</v>
      </c>
      <c r="AG346" s="29">
        <v>1551.0</v>
      </c>
      <c r="AH346" s="29">
        <v>36969.0</v>
      </c>
    </row>
    <row r="347" ht="14.25" customHeight="1">
      <c r="A347" s="34">
        <v>44233.0</v>
      </c>
      <c r="B347" s="35">
        <v>413.0</v>
      </c>
      <c r="C347" s="35">
        <v>578.0</v>
      </c>
      <c r="D347" s="35">
        <v>142023.0</v>
      </c>
      <c r="E347" s="36">
        <v>15173.0</v>
      </c>
      <c r="F347" s="37">
        <v>2517517.0</v>
      </c>
      <c r="G347" s="37">
        <v>15586.0</v>
      </c>
      <c r="H347" s="37">
        <v>2659540.0</v>
      </c>
      <c r="I347" s="36">
        <v>366.0</v>
      </c>
      <c r="J347" s="36">
        <v>499.0</v>
      </c>
      <c r="K347" s="36">
        <v>119187.0</v>
      </c>
      <c r="L347" s="36">
        <v>1717.0</v>
      </c>
      <c r="M347" s="36">
        <v>631588.0</v>
      </c>
      <c r="N347" s="36">
        <v>750775.0</v>
      </c>
      <c r="O347" s="36">
        <v>28.0</v>
      </c>
      <c r="P347" s="38">
        <v>8482.0</v>
      </c>
      <c r="Q347" s="38">
        <v>28.0</v>
      </c>
      <c r="R347" s="38">
        <v>7248.0</v>
      </c>
      <c r="S347" s="38">
        <v>3.0</v>
      </c>
      <c r="T347" s="38">
        <v>954.0</v>
      </c>
      <c r="U347" s="38">
        <v>280.0</v>
      </c>
      <c r="V347" s="38">
        <v>288.0</v>
      </c>
      <c r="W347" s="38">
        <v>52.0</v>
      </c>
      <c r="X347" s="38">
        <v>23.0</v>
      </c>
      <c r="Y347" s="38">
        <v>9.0</v>
      </c>
      <c r="Z347" s="35">
        <v>2417.0</v>
      </c>
      <c r="AA347" s="29">
        <v>3235.0</v>
      </c>
      <c r="AB347" s="29">
        <v>1653.0</v>
      </c>
      <c r="AC347" s="29">
        <v>4888.0</v>
      </c>
      <c r="AD347" s="29">
        <v>132557.0</v>
      </c>
      <c r="AE347" s="29">
        <v>3235.0</v>
      </c>
      <c r="AF347" s="29">
        <v>93935.0</v>
      </c>
      <c r="AG347" s="29">
        <v>1653.0</v>
      </c>
      <c r="AH347" s="29">
        <v>38622.0</v>
      </c>
    </row>
    <row r="348" ht="14.25" customHeight="1">
      <c r="A348" s="34">
        <v>44234.0</v>
      </c>
      <c r="B348" s="35">
        <v>240.0</v>
      </c>
      <c r="C348" s="35">
        <v>422.0</v>
      </c>
      <c r="D348" s="35">
        <v>142263.0</v>
      </c>
      <c r="E348" s="36">
        <v>4714.0</v>
      </c>
      <c r="F348" s="37">
        <v>2522231.0</v>
      </c>
      <c r="G348" s="37">
        <v>4954.0</v>
      </c>
      <c r="H348" s="37">
        <v>2664494.0</v>
      </c>
      <c r="I348" s="36">
        <v>189.0</v>
      </c>
      <c r="J348" s="36">
        <v>358.0</v>
      </c>
      <c r="K348" s="36">
        <v>119376.0</v>
      </c>
      <c r="L348" s="36">
        <v>714.0</v>
      </c>
      <c r="M348" s="36">
        <v>632302.0</v>
      </c>
      <c r="N348" s="36">
        <v>751678.0</v>
      </c>
      <c r="O348" s="36">
        <v>25.0</v>
      </c>
      <c r="P348" s="38">
        <v>8507.0</v>
      </c>
      <c r="Q348" s="38">
        <v>22.0</v>
      </c>
      <c r="R348" s="38">
        <v>7270.0</v>
      </c>
      <c r="S348" s="38">
        <v>7.0</v>
      </c>
      <c r="T348" s="38">
        <v>961.0</v>
      </c>
      <c r="U348" s="38">
        <v>276.0</v>
      </c>
      <c r="V348" s="38">
        <v>280.0</v>
      </c>
      <c r="W348" s="38">
        <v>49.0</v>
      </c>
      <c r="X348" s="38">
        <v>24.0</v>
      </c>
      <c r="Y348" s="38">
        <v>14.0</v>
      </c>
      <c r="Z348" s="35">
        <v>2431.0</v>
      </c>
      <c r="AA348" s="29">
        <v>410.0</v>
      </c>
      <c r="AB348" s="29">
        <v>445.0</v>
      </c>
      <c r="AC348" s="29">
        <v>855.0</v>
      </c>
      <c r="AD348" s="29">
        <v>133412.0</v>
      </c>
      <c r="AE348" s="29">
        <v>410.0</v>
      </c>
      <c r="AF348" s="29">
        <v>94345.0</v>
      </c>
      <c r="AG348" s="29">
        <v>445.0</v>
      </c>
      <c r="AH348" s="29">
        <v>39067.0</v>
      </c>
    </row>
    <row r="349" ht="14.25" customHeight="1">
      <c r="A349" s="34">
        <v>44235.0</v>
      </c>
      <c r="B349" s="35">
        <v>387.0</v>
      </c>
      <c r="C349" s="35">
        <v>347.0</v>
      </c>
      <c r="D349" s="35">
        <v>142650.0</v>
      </c>
      <c r="E349" s="36">
        <v>13022.0</v>
      </c>
      <c r="F349" s="37">
        <v>2535253.0</v>
      </c>
      <c r="G349" s="37">
        <v>13409.0</v>
      </c>
      <c r="H349" s="37">
        <v>2677903.0</v>
      </c>
      <c r="I349" s="36">
        <v>338.0</v>
      </c>
      <c r="J349" s="36">
        <v>298.0</v>
      </c>
      <c r="K349" s="36">
        <v>119714.0</v>
      </c>
      <c r="L349" s="36">
        <v>1606.0</v>
      </c>
      <c r="M349" s="36">
        <v>633908.0</v>
      </c>
      <c r="N349" s="36">
        <v>753622.0</v>
      </c>
      <c r="O349" s="36">
        <v>23.0</v>
      </c>
      <c r="P349" s="38">
        <v>8530.0</v>
      </c>
      <c r="Q349" s="38">
        <v>30.0</v>
      </c>
      <c r="R349" s="38">
        <v>7300.0</v>
      </c>
      <c r="S349" s="38">
        <v>1.0</v>
      </c>
      <c r="T349" s="38">
        <v>962.0</v>
      </c>
      <c r="U349" s="38">
        <v>268.0</v>
      </c>
      <c r="V349" s="38">
        <v>275.0</v>
      </c>
      <c r="W349" s="38">
        <v>46.0</v>
      </c>
      <c r="X349" s="38">
        <v>23.0</v>
      </c>
      <c r="Y349" s="38">
        <v>8.0</v>
      </c>
      <c r="Z349" s="35">
        <v>2439.0</v>
      </c>
      <c r="AA349" s="29">
        <v>1711.0</v>
      </c>
      <c r="AB349" s="29">
        <v>1383.0</v>
      </c>
      <c r="AC349" s="29">
        <v>3094.0</v>
      </c>
      <c r="AD349" s="29">
        <v>136506.0</v>
      </c>
      <c r="AE349" s="29">
        <v>1711.0</v>
      </c>
      <c r="AF349" s="29">
        <v>96056.0</v>
      </c>
      <c r="AG349" s="29">
        <v>1383.0</v>
      </c>
      <c r="AH349" s="29">
        <v>40450.0</v>
      </c>
    </row>
    <row r="350" ht="14.25" customHeight="1">
      <c r="A350" s="34">
        <v>44236.0</v>
      </c>
      <c r="B350" s="35">
        <v>563.0</v>
      </c>
      <c r="C350" s="35">
        <v>397.0</v>
      </c>
      <c r="D350" s="35">
        <v>143213.0</v>
      </c>
      <c r="E350" s="36">
        <v>17930.0</v>
      </c>
      <c r="F350" s="37">
        <v>2553183.0</v>
      </c>
      <c r="G350" s="37">
        <v>18493.0</v>
      </c>
      <c r="H350" s="37">
        <v>2696396.0</v>
      </c>
      <c r="I350" s="36">
        <v>493.0</v>
      </c>
      <c r="J350" s="36">
        <v>340.0</v>
      </c>
      <c r="K350" s="36">
        <v>120207.0</v>
      </c>
      <c r="L350" s="36">
        <v>1770.0</v>
      </c>
      <c r="M350" s="36">
        <v>635678.0</v>
      </c>
      <c r="N350" s="36">
        <v>755885.0</v>
      </c>
      <c r="O350" s="36">
        <v>34.0</v>
      </c>
      <c r="P350" s="38">
        <v>8564.0</v>
      </c>
      <c r="Q350" s="38">
        <v>35.0</v>
      </c>
      <c r="R350" s="38">
        <v>7335.0</v>
      </c>
      <c r="S350" s="38">
        <v>4.0</v>
      </c>
      <c r="T350" s="38">
        <v>966.0</v>
      </c>
      <c r="U350" s="38">
        <v>263.0</v>
      </c>
      <c r="V350" s="38">
        <v>269.0</v>
      </c>
      <c r="W350" s="38">
        <v>48.0</v>
      </c>
      <c r="X350" s="38">
        <v>24.0</v>
      </c>
      <c r="Y350" s="38">
        <v>7.0</v>
      </c>
      <c r="Z350" s="35">
        <v>2446.0</v>
      </c>
      <c r="AA350" s="29">
        <v>2708.0</v>
      </c>
      <c r="AB350" s="29">
        <v>1396.0</v>
      </c>
      <c r="AC350" s="29">
        <v>4104.0</v>
      </c>
      <c r="AD350" s="29">
        <v>140610.0</v>
      </c>
      <c r="AE350" s="29">
        <v>2708.0</v>
      </c>
      <c r="AF350" s="29">
        <v>98764.0</v>
      </c>
      <c r="AG350" s="29">
        <v>1396.0</v>
      </c>
      <c r="AH350" s="29">
        <v>41846.0</v>
      </c>
    </row>
    <row r="351" ht="14.25" customHeight="1">
      <c r="A351" s="34">
        <v>44237.0</v>
      </c>
      <c r="B351" s="35">
        <v>549.0</v>
      </c>
      <c r="C351" s="35">
        <v>500.0</v>
      </c>
      <c r="D351" s="35">
        <v>143762.0</v>
      </c>
      <c r="E351" s="36">
        <v>23770.0</v>
      </c>
      <c r="F351" s="37">
        <v>2576953.0</v>
      </c>
      <c r="G351" s="37">
        <v>24319.0</v>
      </c>
      <c r="H351" s="37">
        <v>2720715.0</v>
      </c>
      <c r="I351" s="36">
        <v>472.0</v>
      </c>
      <c r="J351" s="36">
        <v>434.0</v>
      </c>
      <c r="K351" s="36">
        <v>120679.0</v>
      </c>
      <c r="L351" s="36">
        <v>2141.0</v>
      </c>
      <c r="M351" s="36">
        <v>637819.0</v>
      </c>
      <c r="N351" s="36">
        <v>758498.0</v>
      </c>
      <c r="O351" s="36">
        <v>30.0</v>
      </c>
      <c r="P351" s="38">
        <v>8594.0</v>
      </c>
      <c r="Q351" s="38">
        <v>44.0</v>
      </c>
      <c r="R351" s="38">
        <v>7379.0</v>
      </c>
      <c r="S351" s="38">
        <v>6.0</v>
      </c>
      <c r="T351" s="38">
        <v>972.0</v>
      </c>
      <c r="U351" s="38">
        <v>243.0</v>
      </c>
      <c r="V351" s="38">
        <v>258.0</v>
      </c>
      <c r="W351" s="38">
        <v>44.0</v>
      </c>
      <c r="X351" s="38">
        <v>22.0</v>
      </c>
      <c r="Y351" s="38">
        <v>11.0</v>
      </c>
      <c r="Z351" s="35">
        <v>2457.0</v>
      </c>
      <c r="AA351" s="29">
        <v>2741.0</v>
      </c>
      <c r="AB351" s="29">
        <v>2245.0</v>
      </c>
      <c r="AC351" s="29">
        <v>4986.0</v>
      </c>
      <c r="AD351" s="29">
        <v>145596.0</v>
      </c>
      <c r="AE351" s="29">
        <v>2741.0</v>
      </c>
      <c r="AF351" s="29">
        <v>101505.0</v>
      </c>
      <c r="AG351" s="29">
        <v>2245.0</v>
      </c>
      <c r="AH351" s="29">
        <v>44091.0</v>
      </c>
    </row>
    <row r="352" ht="14.25" customHeight="1">
      <c r="A352" s="34">
        <v>44238.0</v>
      </c>
      <c r="B352" s="35">
        <v>478.0</v>
      </c>
      <c r="C352" s="35">
        <v>530.0</v>
      </c>
      <c r="D352" s="35">
        <v>144240.0</v>
      </c>
      <c r="E352" s="36">
        <v>21076.0</v>
      </c>
      <c r="F352" s="37">
        <v>2598029.0</v>
      </c>
      <c r="G352" s="37">
        <v>21554.0</v>
      </c>
      <c r="H352" s="37">
        <v>2742269.0</v>
      </c>
      <c r="I352" s="36">
        <v>409.0</v>
      </c>
      <c r="J352" s="36">
        <v>458.0</v>
      </c>
      <c r="K352" s="36">
        <v>121088.0</v>
      </c>
      <c r="L352" s="36">
        <v>2008.0</v>
      </c>
      <c r="M352" s="36">
        <v>639827.0</v>
      </c>
      <c r="N352" s="36">
        <v>760915.0</v>
      </c>
      <c r="O352" s="36">
        <v>31.0</v>
      </c>
      <c r="P352" s="38">
        <v>8625.0</v>
      </c>
      <c r="Q352" s="38">
        <v>34.0</v>
      </c>
      <c r="R352" s="38">
        <v>7413.0</v>
      </c>
      <c r="S352" s="38">
        <v>4.0</v>
      </c>
      <c r="T352" s="38">
        <v>976.0</v>
      </c>
      <c r="U352" s="38">
        <v>236.0</v>
      </c>
      <c r="V352" s="38">
        <v>247.0</v>
      </c>
      <c r="W352" s="38">
        <v>43.0</v>
      </c>
      <c r="X352" s="38">
        <v>22.0</v>
      </c>
      <c r="Y352" s="38">
        <v>11.0</v>
      </c>
      <c r="Z352" s="35">
        <v>2468.0</v>
      </c>
      <c r="AA352" s="29">
        <v>3032.0</v>
      </c>
      <c r="AB352" s="29">
        <v>1952.0</v>
      </c>
      <c r="AC352" s="29">
        <v>4984.0</v>
      </c>
      <c r="AD352" s="29">
        <v>150580.0</v>
      </c>
      <c r="AE352" s="29">
        <v>3032.0</v>
      </c>
      <c r="AF352" s="29">
        <v>104537.0</v>
      </c>
      <c r="AG352" s="29">
        <v>1952.0</v>
      </c>
      <c r="AH352" s="29">
        <v>46043.0</v>
      </c>
    </row>
    <row r="353" ht="14.25" customHeight="1">
      <c r="A353" s="34">
        <v>44239.0</v>
      </c>
      <c r="B353" s="35">
        <v>444.0</v>
      </c>
      <c r="C353" s="35">
        <v>490.0</v>
      </c>
      <c r="D353" s="35">
        <v>144684.0</v>
      </c>
      <c r="E353" s="36">
        <v>20706.0</v>
      </c>
      <c r="F353" s="37">
        <v>2618735.0</v>
      </c>
      <c r="G353" s="37">
        <v>21150.0</v>
      </c>
      <c r="H353" s="37">
        <v>2763419.0</v>
      </c>
      <c r="I353" s="36">
        <v>383.0</v>
      </c>
      <c r="J353" s="36">
        <v>421.0</v>
      </c>
      <c r="K353" s="36">
        <v>121471.0</v>
      </c>
      <c r="L353" s="36">
        <v>1937.0</v>
      </c>
      <c r="M353" s="36">
        <v>641764.0</v>
      </c>
      <c r="N353" s="36">
        <v>763235.0</v>
      </c>
      <c r="O353" s="36">
        <v>19.0</v>
      </c>
      <c r="P353" s="38">
        <v>8644.0</v>
      </c>
      <c r="Q353" s="38">
        <v>27.0</v>
      </c>
      <c r="R353" s="38">
        <v>7440.0</v>
      </c>
      <c r="S353" s="38">
        <v>2.0</v>
      </c>
      <c r="T353" s="38">
        <v>978.0</v>
      </c>
      <c r="U353" s="38">
        <v>226.0</v>
      </c>
      <c r="V353" s="38">
        <v>235.0</v>
      </c>
      <c r="W353" s="38">
        <v>41.0</v>
      </c>
      <c r="X353" s="38">
        <v>21.0</v>
      </c>
      <c r="Y353" s="38">
        <v>5.0</v>
      </c>
      <c r="Z353" s="35">
        <v>2473.0</v>
      </c>
      <c r="AA353" s="29">
        <v>3373.0</v>
      </c>
      <c r="AB353" s="29">
        <v>2393.0</v>
      </c>
      <c r="AC353" s="29">
        <v>5766.0</v>
      </c>
      <c r="AD353" s="29">
        <v>156346.0</v>
      </c>
      <c r="AE353" s="29">
        <v>3373.0</v>
      </c>
      <c r="AF353" s="29">
        <v>107910.0</v>
      </c>
      <c r="AG353" s="29">
        <v>2393.0</v>
      </c>
      <c r="AH353" s="29">
        <v>48436.0</v>
      </c>
    </row>
    <row r="354" ht="14.25" customHeight="1">
      <c r="A354" s="34">
        <v>44240.0</v>
      </c>
      <c r="B354" s="35">
        <v>387.0</v>
      </c>
      <c r="C354" s="35">
        <v>436.0</v>
      </c>
      <c r="D354" s="35">
        <v>145071.0</v>
      </c>
      <c r="E354" s="36">
        <v>14067.0</v>
      </c>
      <c r="F354" s="37">
        <v>2632802.0</v>
      </c>
      <c r="G354" s="37">
        <v>14454.0</v>
      </c>
      <c r="H354" s="37">
        <v>2777873.0</v>
      </c>
      <c r="I354" s="36">
        <v>329.0</v>
      </c>
      <c r="J354" s="36">
        <v>374.0</v>
      </c>
      <c r="K354" s="36">
        <v>121800.0</v>
      </c>
      <c r="L354" s="36">
        <v>1579.0</v>
      </c>
      <c r="M354" s="36">
        <v>643343.0</v>
      </c>
      <c r="N354" s="36">
        <v>765143.0</v>
      </c>
      <c r="O354" s="36">
        <v>22.0</v>
      </c>
      <c r="P354" s="38">
        <v>8666.0</v>
      </c>
      <c r="Q354" s="38">
        <v>34.0</v>
      </c>
      <c r="R354" s="38">
        <v>7474.0</v>
      </c>
      <c r="S354" s="38">
        <v>4.0</v>
      </c>
      <c r="T354" s="38">
        <v>982.0</v>
      </c>
      <c r="U354" s="38">
        <v>210.0</v>
      </c>
      <c r="V354" s="38">
        <v>224.0</v>
      </c>
      <c r="W354" s="38">
        <v>38.0</v>
      </c>
      <c r="X354" s="38">
        <v>19.0</v>
      </c>
      <c r="Y354" s="38">
        <v>10.0</v>
      </c>
      <c r="Z354" s="35">
        <v>2483.0</v>
      </c>
      <c r="AA354" s="29">
        <v>3322.0</v>
      </c>
      <c r="AB354" s="29">
        <v>2873.0</v>
      </c>
      <c r="AC354" s="29">
        <v>6195.0</v>
      </c>
      <c r="AD354" s="29">
        <v>162541.0</v>
      </c>
      <c r="AE354" s="29">
        <v>3322.0</v>
      </c>
      <c r="AF354" s="29">
        <v>111232.0</v>
      </c>
      <c r="AG354" s="29">
        <v>2874.0</v>
      </c>
      <c r="AH354" s="29">
        <v>51310.0</v>
      </c>
    </row>
    <row r="355" ht="14.25" customHeight="1">
      <c r="A355" s="34">
        <v>44241.0</v>
      </c>
      <c r="B355" s="35">
        <v>266.0</v>
      </c>
      <c r="C355" s="35">
        <v>366.0</v>
      </c>
      <c r="D355" s="35">
        <v>145337.0</v>
      </c>
      <c r="E355" s="36">
        <v>6593.0</v>
      </c>
      <c r="F355" s="37">
        <v>2639395.0</v>
      </c>
      <c r="G355" s="37">
        <v>6859.0</v>
      </c>
      <c r="H355" s="37">
        <v>2784732.0</v>
      </c>
      <c r="I355" s="36">
        <v>232.0</v>
      </c>
      <c r="J355" s="36">
        <v>315.0</v>
      </c>
      <c r="K355" s="36">
        <v>122032.0</v>
      </c>
      <c r="L355" s="36">
        <v>896.0</v>
      </c>
      <c r="M355" s="36">
        <v>644239.0</v>
      </c>
      <c r="N355" s="36">
        <v>766271.0</v>
      </c>
      <c r="O355" s="36">
        <v>26.0</v>
      </c>
      <c r="P355" s="38">
        <v>8692.0</v>
      </c>
      <c r="Q355" s="38">
        <v>15.0</v>
      </c>
      <c r="R355" s="38">
        <v>7489.0</v>
      </c>
      <c r="S355" s="38">
        <v>0.0</v>
      </c>
      <c r="T355" s="38">
        <v>982.0</v>
      </c>
      <c r="U355" s="38">
        <v>221.0</v>
      </c>
      <c r="V355" s="38">
        <v>219.0</v>
      </c>
      <c r="W355" s="38">
        <v>38.0</v>
      </c>
      <c r="X355" s="38">
        <v>23.0</v>
      </c>
      <c r="Y355" s="38">
        <v>4.0</v>
      </c>
      <c r="Z355" s="35">
        <v>2487.0</v>
      </c>
      <c r="AA355" s="29">
        <v>1325.0</v>
      </c>
      <c r="AB355" s="29">
        <v>784.0</v>
      </c>
      <c r="AC355" s="29">
        <v>2109.0</v>
      </c>
      <c r="AD355" s="29">
        <v>164650.0</v>
      </c>
      <c r="AE355" s="29">
        <v>1325.0</v>
      </c>
      <c r="AF355" s="29">
        <v>112557.0</v>
      </c>
      <c r="AG355" s="29">
        <v>784.0</v>
      </c>
      <c r="AH355" s="29">
        <v>52094.0</v>
      </c>
    </row>
    <row r="356" ht="14.25" customHeight="1">
      <c r="A356" s="34">
        <v>44242.0</v>
      </c>
      <c r="B356" s="35">
        <v>330.0</v>
      </c>
      <c r="C356" s="35">
        <v>328.0</v>
      </c>
      <c r="D356" s="35">
        <v>145667.0</v>
      </c>
      <c r="E356" s="36">
        <v>11090.0</v>
      </c>
      <c r="F356" s="37">
        <v>2650485.0</v>
      </c>
      <c r="G356" s="37">
        <v>11420.0</v>
      </c>
      <c r="H356" s="37">
        <v>2796152.0</v>
      </c>
      <c r="I356" s="36">
        <v>301.0</v>
      </c>
      <c r="J356" s="36">
        <v>287.0</v>
      </c>
      <c r="K356" s="36">
        <v>122333.0</v>
      </c>
      <c r="L356" s="36">
        <v>1184.0</v>
      </c>
      <c r="M356" s="36">
        <v>645423.0</v>
      </c>
      <c r="N356" s="36">
        <v>767756.0</v>
      </c>
      <c r="O356" s="36">
        <v>28.0</v>
      </c>
      <c r="P356" s="38">
        <v>8720.0</v>
      </c>
      <c r="Q356" s="38">
        <v>28.0</v>
      </c>
      <c r="R356" s="38">
        <v>7517.0</v>
      </c>
      <c r="S356" s="38">
        <v>3.0</v>
      </c>
      <c r="T356" s="38">
        <v>985.0</v>
      </c>
      <c r="U356" s="38">
        <v>218.0</v>
      </c>
      <c r="V356" s="38">
        <v>216.0</v>
      </c>
      <c r="W356" s="38">
        <v>33.0</v>
      </c>
      <c r="X356" s="38">
        <v>22.0</v>
      </c>
      <c r="Y356" s="38">
        <v>3.0</v>
      </c>
      <c r="Z356" s="35">
        <v>2490.0</v>
      </c>
      <c r="AA356" s="29">
        <v>3806.0</v>
      </c>
      <c r="AB356" s="29">
        <v>1068.0</v>
      </c>
      <c r="AC356" s="29">
        <v>4874.0</v>
      </c>
      <c r="AD356" s="29">
        <v>169524.0</v>
      </c>
      <c r="AE356" s="29">
        <v>3806.0</v>
      </c>
      <c r="AF356" s="29">
        <v>116363.0</v>
      </c>
      <c r="AG356" s="29">
        <v>1068.0</v>
      </c>
      <c r="AH356" s="29">
        <v>53162.0</v>
      </c>
    </row>
    <row r="357" ht="14.25" customHeight="1">
      <c r="A357" s="34">
        <v>44243.0</v>
      </c>
      <c r="B357" s="35">
        <v>472.0</v>
      </c>
      <c r="C357" s="35">
        <v>356.0</v>
      </c>
      <c r="D357" s="35">
        <v>146139.0</v>
      </c>
      <c r="E357" s="36">
        <v>20049.0</v>
      </c>
      <c r="F357" s="37">
        <v>2670534.0</v>
      </c>
      <c r="G357" s="37">
        <v>20521.0</v>
      </c>
      <c r="H357" s="37">
        <v>2816673.0</v>
      </c>
      <c r="I357" s="36">
        <v>410.0</v>
      </c>
      <c r="J357" s="36">
        <v>314.0</v>
      </c>
      <c r="K357" s="36">
        <v>122743.0</v>
      </c>
      <c r="L357" s="36">
        <v>1794.0</v>
      </c>
      <c r="M357" s="36">
        <v>647217.0</v>
      </c>
      <c r="N357" s="36">
        <v>769960.0</v>
      </c>
      <c r="O357" s="36">
        <v>22.0</v>
      </c>
      <c r="P357" s="38">
        <v>8742.0</v>
      </c>
      <c r="Q357" s="38">
        <v>41.0</v>
      </c>
      <c r="R357" s="38">
        <v>7558.0</v>
      </c>
      <c r="S357" s="38">
        <v>3.0</v>
      </c>
      <c r="T357" s="38">
        <v>988.0</v>
      </c>
      <c r="U357" s="38">
        <v>196.0</v>
      </c>
      <c r="V357" s="38">
        <v>212.0</v>
      </c>
      <c r="W357" s="38">
        <v>34.0</v>
      </c>
      <c r="X357" s="38">
        <v>20.0</v>
      </c>
      <c r="Y357" s="38">
        <v>9.0</v>
      </c>
      <c r="Z357" s="35">
        <v>2499.0</v>
      </c>
      <c r="AA357" s="29">
        <v>3635.0</v>
      </c>
      <c r="AB357" s="29">
        <v>1302.0</v>
      </c>
      <c r="AC357" s="29">
        <v>4937.0</v>
      </c>
      <c r="AD357" s="29">
        <v>174461.0</v>
      </c>
      <c r="AE357" s="29">
        <v>3635.0</v>
      </c>
      <c r="AF357" s="29">
        <v>119998.0</v>
      </c>
      <c r="AG357" s="29">
        <v>1302.0</v>
      </c>
      <c r="AH357" s="29">
        <v>54464.0</v>
      </c>
    </row>
    <row r="358" ht="14.25" customHeight="1">
      <c r="A358" s="34">
        <v>44244.0</v>
      </c>
      <c r="B358" s="35">
        <v>412.0</v>
      </c>
      <c r="C358" s="35">
        <v>405.0</v>
      </c>
      <c r="D358" s="35">
        <v>146551.0</v>
      </c>
      <c r="E358" s="36">
        <v>22259.0</v>
      </c>
      <c r="F358" s="37">
        <v>2692793.0</v>
      </c>
      <c r="G358" s="37">
        <v>22671.0</v>
      </c>
      <c r="H358" s="37">
        <v>2839344.0</v>
      </c>
      <c r="I358" s="36">
        <v>358.0</v>
      </c>
      <c r="J358" s="36">
        <v>356.0</v>
      </c>
      <c r="K358" s="36">
        <v>123101.0</v>
      </c>
      <c r="L358" s="36">
        <v>1743.0</v>
      </c>
      <c r="M358" s="36">
        <v>648960.0</v>
      </c>
      <c r="N358" s="36">
        <v>772061.0</v>
      </c>
      <c r="O358" s="36">
        <v>25.0</v>
      </c>
      <c r="P358" s="38">
        <v>8767.0</v>
      </c>
      <c r="Q358" s="38">
        <v>27.0</v>
      </c>
      <c r="R358" s="38">
        <v>7585.0</v>
      </c>
      <c r="S358" s="38">
        <v>0.0</v>
      </c>
      <c r="T358" s="38">
        <v>988.0</v>
      </c>
      <c r="U358" s="38">
        <v>194.0</v>
      </c>
      <c r="V358" s="38">
        <v>203.0</v>
      </c>
      <c r="W358" s="38">
        <v>30.0</v>
      </c>
      <c r="X358" s="38">
        <v>20.0</v>
      </c>
      <c r="Y358" s="38">
        <v>2.0</v>
      </c>
      <c r="Z358" s="35">
        <v>2501.0</v>
      </c>
      <c r="AA358" s="29">
        <v>5189.0</v>
      </c>
      <c r="AB358" s="29">
        <v>1924.0</v>
      </c>
      <c r="AC358" s="29">
        <v>7113.0</v>
      </c>
      <c r="AD358" s="29">
        <v>181574.0</v>
      </c>
      <c r="AE358" s="29">
        <v>5189.0</v>
      </c>
      <c r="AF358" s="29">
        <v>125187.0</v>
      </c>
      <c r="AG358" s="29">
        <v>1924.0</v>
      </c>
      <c r="AH358" s="29">
        <v>56388.0</v>
      </c>
    </row>
    <row r="359" ht="14.25" customHeight="1">
      <c r="A359" s="34">
        <v>44245.0</v>
      </c>
      <c r="B359" s="35">
        <v>397.0</v>
      </c>
      <c r="C359" s="35">
        <v>427.0</v>
      </c>
      <c r="D359" s="35">
        <v>146948.0</v>
      </c>
      <c r="E359" s="36">
        <v>20161.0</v>
      </c>
      <c r="F359" s="37">
        <v>2712954.0</v>
      </c>
      <c r="G359" s="37">
        <v>20558.0</v>
      </c>
      <c r="H359" s="37">
        <v>2859902.0</v>
      </c>
      <c r="I359" s="36">
        <v>333.0</v>
      </c>
      <c r="J359" s="36">
        <v>367.0</v>
      </c>
      <c r="K359" s="36">
        <v>123434.0</v>
      </c>
      <c r="L359" s="36">
        <v>1577.0</v>
      </c>
      <c r="M359" s="36">
        <v>650537.0</v>
      </c>
      <c r="N359" s="36">
        <v>773971.0</v>
      </c>
      <c r="O359" s="36">
        <v>17.0</v>
      </c>
      <c r="P359" s="38">
        <v>8784.0</v>
      </c>
      <c r="Q359" s="38">
        <v>19.0</v>
      </c>
      <c r="R359" s="38">
        <v>7604.0</v>
      </c>
      <c r="S359" s="38">
        <v>2.0</v>
      </c>
      <c r="T359" s="38">
        <v>990.0</v>
      </c>
      <c r="U359" s="38">
        <v>190.0</v>
      </c>
      <c r="V359" s="38">
        <v>193.0</v>
      </c>
      <c r="W359" s="38">
        <v>35.0</v>
      </c>
      <c r="X359" s="38">
        <v>19.0</v>
      </c>
      <c r="Y359" s="38">
        <v>4.0</v>
      </c>
      <c r="Z359" s="35">
        <v>2505.0</v>
      </c>
      <c r="AA359" s="29">
        <v>6023.0</v>
      </c>
      <c r="AB359" s="29">
        <v>2315.0</v>
      </c>
      <c r="AC359" s="29">
        <v>8338.0</v>
      </c>
      <c r="AD359" s="29">
        <v>189912.0</v>
      </c>
      <c r="AE359" s="29">
        <v>6023.0</v>
      </c>
      <c r="AF359" s="29">
        <v>131210.0</v>
      </c>
      <c r="AG359" s="29">
        <v>2315.0</v>
      </c>
      <c r="AH359" s="29">
        <v>58703.0</v>
      </c>
    </row>
    <row r="360" ht="14.25" customHeight="1">
      <c r="A360" s="34">
        <v>44246.0</v>
      </c>
      <c r="B360" s="35">
        <v>418.0</v>
      </c>
      <c r="C360" s="35">
        <v>409.0</v>
      </c>
      <c r="D360" s="35">
        <v>147366.0</v>
      </c>
      <c r="E360" s="36">
        <v>16724.0</v>
      </c>
      <c r="F360" s="37">
        <v>2729678.0</v>
      </c>
      <c r="G360" s="37">
        <v>17142.0</v>
      </c>
      <c r="H360" s="37">
        <v>2877044.0</v>
      </c>
      <c r="I360" s="36">
        <v>353.0</v>
      </c>
      <c r="J360" s="36">
        <v>348.0</v>
      </c>
      <c r="K360" s="36">
        <v>123787.0</v>
      </c>
      <c r="L360" s="36">
        <v>1546.0</v>
      </c>
      <c r="M360" s="36">
        <v>652083.0</v>
      </c>
      <c r="N360" s="36">
        <v>775870.0</v>
      </c>
      <c r="O360" s="36">
        <v>22.0</v>
      </c>
      <c r="P360" s="38">
        <v>8806.0</v>
      </c>
      <c r="Q360" s="38">
        <v>34.0</v>
      </c>
      <c r="R360" s="38">
        <v>7638.0</v>
      </c>
      <c r="S360" s="38">
        <v>3.0</v>
      </c>
      <c r="T360" s="38">
        <v>993.0</v>
      </c>
      <c r="U360" s="38">
        <v>175.0</v>
      </c>
      <c r="V360" s="38">
        <v>186.0</v>
      </c>
      <c r="W360" s="38">
        <v>29.0</v>
      </c>
      <c r="X360" s="38">
        <v>17.0</v>
      </c>
      <c r="Y360" s="38">
        <v>6.0</v>
      </c>
      <c r="Z360" s="35">
        <v>2511.0</v>
      </c>
      <c r="AA360" s="29">
        <v>5557.0</v>
      </c>
      <c r="AB360" s="29">
        <v>2248.0</v>
      </c>
      <c r="AC360" s="29">
        <v>7805.0</v>
      </c>
      <c r="AD360" s="29">
        <v>197717.0</v>
      </c>
      <c r="AE360" s="29">
        <v>5557.0</v>
      </c>
      <c r="AF360" s="29">
        <v>136767.0</v>
      </c>
      <c r="AG360" s="29">
        <v>2248.0</v>
      </c>
      <c r="AH360" s="29">
        <v>60951.0</v>
      </c>
    </row>
    <row r="361" ht="14.25" customHeight="1">
      <c r="A361" s="34">
        <v>44247.0</v>
      </c>
      <c r="B361" s="35">
        <v>336.0</v>
      </c>
      <c r="C361" s="35">
        <v>384.0</v>
      </c>
      <c r="D361" s="35">
        <v>147702.0</v>
      </c>
      <c r="E361" s="35">
        <v>10618.0</v>
      </c>
      <c r="F361" s="35">
        <v>2740296.0</v>
      </c>
      <c r="G361" s="35">
        <v>10954.0</v>
      </c>
      <c r="H361" s="35">
        <v>2887998.0</v>
      </c>
      <c r="I361" s="35">
        <v>283.0</v>
      </c>
      <c r="J361" s="35">
        <v>323.0</v>
      </c>
      <c r="K361" s="35">
        <v>124070.0</v>
      </c>
      <c r="L361" s="35">
        <v>1312.0</v>
      </c>
      <c r="M361" s="35">
        <v>653395.0</v>
      </c>
      <c r="N361" s="35">
        <v>777465.0</v>
      </c>
      <c r="O361" s="35">
        <v>37.0</v>
      </c>
      <c r="P361" s="35">
        <v>8843.0</v>
      </c>
      <c r="Q361" s="35">
        <v>21.0</v>
      </c>
      <c r="R361" s="35">
        <v>7659.0</v>
      </c>
      <c r="S361" s="35">
        <v>2.0</v>
      </c>
      <c r="T361" s="35">
        <v>995.0</v>
      </c>
      <c r="U361" s="35">
        <v>189.0</v>
      </c>
      <c r="V361" s="35">
        <v>185.0</v>
      </c>
      <c r="W361" s="35">
        <v>29.0</v>
      </c>
      <c r="X361" s="35">
        <v>17.0</v>
      </c>
      <c r="Y361" s="35">
        <v>4.0</v>
      </c>
      <c r="Z361" s="35">
        <v>2515.0</v>
      </c>
      <c r="AA361" s="35">
        <v>7899.0</v>
      </c>
      <c r="AB361" s="35">
        <v>2019.0</v>
      </c>
      <c r="AC361" s="35">
        <v>9918.0</v>
      </c>
      <c r="AD361" s="35">
        <v>207635.0</v>
      </c>
      <c r="AE361" s="35">
        <v>7899.0</v>
      </c>
      <c r="AF361" s="35">
        <v>144666.0</v>
      </c>
      <c r="AG361" s="35">
        <v>2019.0</v>
      </c>
      <c r="AH361" s="35">
        <v>62970.0</v>
      </c>
    </row>
    <row r="362" ht="14.25" customHeight="1">
      <c r="A362" s="34">
        <v>44248.0</v>
      </c>
      <c r="B362" s="35">
        <v>199.0</v>
      </c>
      <c r="C362" s="35">
        <v>318.0</v>
      </c>
      <c r="D362" s="35">
        <v>147901.0</v>
      </c>
      <c r="E362" s="35">
        <v>6308.0</v>
      </c>
      <c r="F362" s="35">
        <v>2746604.0</v>
      </c>
      <c r="G362" s="35">
        <v>6507.0</v>
      </c>
      <c r="H362" s="35">
        <v>2894505.0</v>
      </c>
      <c r="I362" s="35">
        <v>176.0</v>
      </c>
      <c r="J362" s="35">
        <v>271.0</v>
      </c>
      <c r="K362" s="35">
        <v>124246.0</v>
      </c>
      <c r="L362" s="35">
        <v>836.0</v>
      </c>
      <c r="M362" s="35">
        <v>654231.0</v>
      </c>
      <c r="N362" s="35">
        <v>778477.0</v>
      </c>
      <c r="O362" s="35">
        <v>6.0</v>
      </c>
      <c r="P362" s="35">
        <v>8849.0</v>
      </c>
      <c r="Q362" s="35">
        <v>14.0</v>
      </c>
      <c r="R362" s="35">
        <v>7673.0</v>
      </c>
      <c r="S362" s="35">
        <v>2.0</v>
      </c>
      <c r="T362" s="35">
        <v>997.0</v>
      </c>
      <c r="U362" s="35">
        <v>179.0</v>
      </c>
      <c r="V362" s="35">
        <v>181.0</v>
      </c>
      <c r="W362" s="35">
        <v>33.0</v>
      </c>
      <c r="X362" s="35">
        <v>18.0</v>
      </c>
      <c r="Y362" s="35">
        <v>3.0</v>
      </c>
      <c r="Z362" s="35">
        <v>2518.0</v>
      </c>
      <c r="AA362" s="35">
        <v>1932.0</v>
      </c>
      <c r="AB362" s="35">
        <v>618.0</v>
      </c>
      <c r="AC362" s="35">
        <v>2550.0</v>
      </c>
      <c r="AD362" s="35">
        <v>210185.0</v>
      </c>
      <c r="AE362" s="35">
        <v>1932.0</v>
      </c>
      <c r="AF362" s="35">
        <v>146598.0</v>
      </c>
      <c r="AG362" s="35">
        <v>618.0</v>
      </c>
      <c r="AH362" s="35">
        <v>63588.0</v>
      </c>
    </row>
    <row r="363" ht="14.25" customHeight="1">
      <c r="A363" s="34">
        <v>44249.0</v>
      </c>
      <c r="B363" s="35">
        <v>389.0</v>
      </c>
      <c r="C363" s="35">
        <v>308.0</v>
      </c>
      <c r="D363" s="35">
        <v>148290.0</v>
      </c>
      <c r="E363" s="35">
        <v>12032.0</v>
      </c>
      <c r="F363" s="35">
        <v>2758636.0</v>
      </c>
      <c r="G363" s="35">
        <v>12421.0</v>
      </c>
      <c r="H363" s="35">
        <v>2906926.0</v>
      </c>
      <c r="I363" s="35">
        <v>344.0</v>
      </c>
      <c r="J363" s="35">
        <v>268.0</v>
      </c>
      <c r="K363" s="35">
        <v>124590.0</v>
      </c>
      <c r="L363" s="35">
        <v>1514.0</v>
      </c>
      <c r="M363" s="35">
        <v>655745.0</v>
      </c>
      <c r="N363" s="35">
        <v>780335.0</v>
      </c>
      <c r="O363" s="35">
        <v>16.0</v>
      </c>
      <c r="P363" s="35">
        <v>8865.0</v>
      </c>
      <c r="Q363" s="35">
        <v>17.0</v>
      </c>
      <c r="R363" s="35">
        <v>7690.0</v>
      </c>
      <c r="S363" s="35">
        <v>0.0</v>
      </c>
      <c r="T363" s="35">
        <v>997.0</v>
      </c>
      <c r="U363" s="35">
        <v>178.0</v>
      </c>
      <c r="V363" s="35">
        <v>182.0</v>
      </c>
      <c r="W363" s="35">
        <v>32.0</v>
      </c>
      <c r="X363" s="35">
        <v>17.0</v>
      </c>
      <c r="Y363" s="35">
        <v>3.0</v>
      </c>
      <c r="Z363" s="35">
        <v>2521.0</v>
      </c>
      <c r="AA363" s="35">
        <v>5473.0</v>
      </c>
      <c r="AB363" s="35">
        <v>1388.0</v>
      </c>
      <c r="AC363" s="35">
        <v>6861.0</v>
      </c>
      <c r="AD363" s="35">
        <v>217046.0</v>
      </c>
      <c r="AE363" s="35">
        <v>5473.0</v>
      </c>
      <c r="AF363" s="35">
        <v>152071.0</v>
      </c>
      <c r="AG363" s="35">
        <v>1388.0</v>
      </c>
      <c r="AH363" s="35">
        <v>64976.0</v>
      </c>
    </row>
    <row r="364" ht="14.25" customHeight="1">
      <c r="A364" s="34">
        <v>44250.0</v>
      </c>
      <c r="B364" s="35">
        <v>489.0</v>
      </c>
      <c r="C364" s="35">
        <v>359.0</v>
      </c>
      <c r="D364" s="35">
        <v>148779.0</v>
      </c>
      <c r="E364" s="35">
        <v>19938.0</v>
      </c>
      <c r="F364" s="35">
        <v>2778574.0</v>
      </c>
      <c r="G364" s="35">
        <v>20427.0</v>
      </c>
      <c r="H364" s="35">
        <v>2927353.0</v>
      </c>
      <c r="I364" s="35">
        <v>442.0</v>
      </c>
      <c r="J364" s="35">
        <v>321.0</v>
      </c>
      <c r="K364" s="35">
        <v>125032.0</v>
      </c>
      <c r="L364" s="35">
        <v>2097.0</v>
      </c>
      <c r="M364" s="35">
        <v>657842.0</v>
      </c>
      <c r="N364" s="35">
        <v>782874.0</v>
      </c>
      <c r="O364" s="35">
        <v>27.0</v>
      </c>
      <c r="P364" s="35">
        <v>8892.0</v>
      </c>
      <c r="Q364" s="35">
        <v>27.0</v>
      </c>
      <c r="R364" s="35">
        <v>7717.0</v>
      </c>
      <c r="S364" s="35">
        <v>2.0</v>
      </c>
      <c r="T364" s="35">
        <v>999.0</v>
      </c>
      <c r="U364" s="35">
        <v>176.0</v>
      </c>
      <c r="V364" s="35">
        <v>178.0</v>
      </c>
      <c r="W364" s="35">
        <v>32.0</v>
      </c>
      <c r="X364" s="35">
        <v>18.0</v>
      </c>
      <c r="Y364" s="35">
        <v>5.0</v>
      </c>
      <c r="Z364" s="35">
        <v>2526.0</v>
      </c>
      <c r="AA364" s="35">
        <v>6118.0</v>
      </c>
      <c r="AB364" s="35">
        <v>1380.0</v>
      </c>
      <c r="AC364" s="35">
        <v>7498.0</v>
      </c>
      <c r="AD364" s="35">
        <v>224544.0</v>
      </c>
      <c r="AE364" s="35">
        <v>6118.0</v>
      </c>
      <c r="AF364" s="35">
        <v>158189.0</v>
      </c>
      <c r="AG364" s="35">
        <v>1380.0</v>
      </c>
      <c r="AH364" s="35">
        <v>66356.0</v>
      </c>
    </row>
    <row r="365" ht="14.25" customHeight="1">
      <c r="A365" s="34">
        <v>44251.0</v>
      </c>
      <c r="B365" s="35">
        <v>489.0</v>
      </c>
      <c r="C365" s="35">
        <v>456.0</v>
      </c>
      <c r="D365" s="35">
        <v>149268.0</v>
      </c>
      <c r="E365" s="35">
        <v>23277.0</v>
      </c>
      <c r="F365" s="35">
        <v>2801851.0</v>
      </c>
      <c r="G365" s="35">
        <v>23766.0</v>
      </c>
      <c r="H365" s="35">
        <v>2951119.0</v>
      </c>
      <c r="I365" s="35">
        <v>427.0</v>
      </c>
      <c r="J365" s="35">
        <v>404.0</v>
      </c>
      <c r="K365" s="35">
        <v>125459.0</v>
      </c>
      <c r="L365" s="35">
        <v>2024.0</v>
      </c>
      <c r="M365" s="35">
        <v>659866.0</v>
      </c>
      <c r="N365" s="35">
        <v>785325.0</v>
      </c>
      <c r="O365" s="35">
        <v>28.0</v>
      </c>
      <c r="P365" s="35">
        <v>8920.0</v>
      </c>
      <c r="Q365" s="35">
        <v>20.0</v>
      </c>
      <c r="R365" s="35">
        <v>7737.0</v>
      </c>
      <c r="S365" s="35">
        <v>2.0</v>
      </c>
      <c r="T365" s="35">
        <v>1001.0</v>
      </c>
      <c r="U365" s="35">
        <v>182.0</v>
      </c>
      <c r="V365" s="35">
        <v>179.0</v>
      </c>
      <c r="W365" s="35">
        <v>33.0</v>
      </c>
      <c r="X365" s="35">
        <v>20.0</v>
      </c>
      <c r="Y365" s="35">
        <v>5.0</v>
      </c>
      <c r="Z365" s="35">
        <v>2531.0</v>
      </c>
      <c r="AA365" s="35">
        <v>6627.0</v>
      </c>
      <c r="AB365" s="35">
        <v>1813.0</v>
      </c>
      <c r="AC365" s="35">
        <v>8440.0</v>
      </c>
      <c r="AD365" s="35">
        <v>232984.0</v>
      </c>
      <c r="AE365" s="35">
        <v>6627.0</v>
      </c>
      <c r="AF365" s="35">
        <v>164816.0</v>
      </c>
      <c r="AG365" s="35">
        <v>1813.0</v>
      </c>
      <c r="AH365" s="35">
        <v>68169.0</v>
      </c>
    </row>
    <row r="366" ht="14.25" customHeight="1">
      <c r="A366" s="34">
        <v>44252.0</v>
      </c>
      <c r="B366" s="35">
        <v>526.0</v>
      </c>
      <c r="C366" s="35">
        <v>501.0</v>
      </c>
      <c r="D366" s="35">
        <v>149794.0</v>
      </c>
      <c r="E366" s="35">
        <v>20984.0</v>
      </c>
      <c r="F366" s="35">
        <v>2822835.0</v>
      </c>
      <c r="G366" s="35">
        <v>21510.0</v>
      </c>
      <c r="H366" s="35">
        <v>2972629.0</v>
      </c>
      <c r="I366" s="35">
        <v>462.0</v>
      </c>
      <c r="J366" s="35">
        <v>444.0</v>
      </c>
      <c r="K366" s="35">
        <v>125921.0</v>
      </c>
      <c r="L366" s="35">
        <v>1925.0</v>
      </c>
      <c r="M366" s="35">
        <v>661791.0</v>
      </c>
      <c r="N366" s="35">
        <v>787712.0</v>
      </c>
      <c r="O366" s="35">
        <v>19.0</v>
      </c>
      <c r="P366" s="35">
        <v>8939.0</v>
      </c>
      <c r="Q366" s="35">
        <v>20.0</v>
      </c>
      <c r="R366" s="35">
        <v>7757.0</v>
      </c>
      <c r="S366" s="35">
        <v>3.0</v>
      </c>
      <c r="T366" s="35">
        <v>1004.0</v>
      </c>
      <c r="U366" s="35">
        <v>178.0</v>
      </c>
      <c r="V366" s="35">
        <v>179.0</v>
      </c>
      <c r="W366" s="35">
        <v>30.0</v>
      </c>
      <c r="X366" s="35">
        <v>20.0</v>
      </c>
      <c r="Y366" s="35">
        <v>5.0</v>
      </c>
      <c r="Z366" s="35">
        <v>2536.0</v>
      </c>
      <c r="AA366" s="35">
        <v>8696.0</v>
      </c>
      <c r="AB366" s="35">
        <v>2971.0</v>
      </c>
      <c r="AC366" s="35">
        <v>11667.0</v>
      </c>
      <c r="AD366" s="35">
        <v>244651.0</v>
      </c>
      <c r="AE366" s="35">
        <v>8696.0</v>
      </c>
      <c r="AF366" s="35">
        <v>173512.0</v>
      </c>
      <c r="AG366" s="35">
        <v>2971.0</v>
      </c>
      <c r="AH366" s="35">
        <v>71140.0</v>
      </c>
    </row>
    <row r="367" ht="14.25" customHeight="1">
      <c r="A367" s="34">
        <v>44253.0</v>
      </c>
      <c r="B367" s="35">
        <v>433.0</v>
      </c>
      <c r="C367" s="35">
        <v>483.0</v>
      </c>
      <c r="D367" s="35">
        <v>150227.0</v>
      </c>
      <c r="E367" s="35">
        <v>18584.0</v>
      </c>
      <c r="F367" s="35">
        <v>2841419.0</v>
      </c>
      <c r="G367" s="35">
        <v>19017.0</v>
      </c>
      <c r="H367" s="35">
        <v>2991646.0</v>
      </c>
      <c r="I367" s="35">
        <v>376.0</v>
      </c>
      <c r="J367" s="35">
        <v>422.0</v>
      </c>
      <c r="K367" s="35">
        <v>126297.0</v>
      </c>
      <c r="L367" s="35">
        <v>1588.0</v>
      </c>
      <c r="M367" s="35">
        <v>663379.0</v>
      </c>
      <c r="N367" s="35">
        <v>789676.0</v>
      </c>
      <c r="O367" s="35">
        <v>25.0</v>
      </c>
      <c r="P367" s="35">
        <v>8964.0</v>
      </c>
      <c r="Q367" s="35">
        <v>24.0</v>
      </c>
      <c r="R367" s="35">
        <v>7781.0</v>
      </c>
      <c r="S367" s="35">
        <v>1.0</v>
      </c>
      <c r="T367" s="35">
        <v>1005.0</v>
      </c>
      <c r="U367" s="35">
        <v>178.0</v>
      </c>
      <c r="V367" s="35">
        <v>179.0</v>
      </c>
      <c r="W367" s="35">
        <v>29.0</v>
      </c>
      <c r="X367" s="35">
        <v>21.0</v>
      </c>
      <c r="Y367" s="35">
        <v>0.0</v>
      </c>
      <c r="Z367" s="35">
        <v>2536.0</v>
      </c>
      <c r="AA367" s="35">
        <v>8407.0</v>
      </c>
      <c r="AB367" s="35">
        <v>2636.0</v>
      </c>
      <c r="AC367" s="35">
        <v>11043.0</v>
      </c>
      <c r="AD367" s="35">
        <v>255694.0</v>
      </c>
      <c r="AE367" s="35">
        <v>8407.0</v>
      </c>
      <c r="AF367" s="35">
        <v>181919.0</v>
      </c>
      <c r="AG367" s="35">
        <v>2636.0</v>
      </c>
      <c r="AH367" s="35">
        <v>73776.0</v>
      </c>
    </row>
    <row r="368" ht="14.25" customHeight="1">
      <c r="A368" s="34">
        <v>44254.0</v>
      </c>
      <c r="B368" s="35">
        <v>384.0</v>
      </c>
      <c r="C368" s="35">
        <v>448.0</v>
      </c>
      <c r="D368" s="35">
        <v>150611.0</v>
      </c>
      <c r="E368" s="35">
        <v>14920.0</v>
      </c>
      <c r="F368" s="35">
        <v>2856339.0</v>
      </c>
      <c r="G368" s="35">
        <v>15304.0</v>
      </c>
      <c r="H368" s="35">
        <v>3006950.0</v>
      </c>
      <c r="I368" s="35">
        <v>355.0</v>
      </c>
      <c r="J368" s="35">
        <v>398.0</v>
      </c>
      <c r="K368" s="35">
        <v>126652.0</v>
      </c>
      <c r="L368" s="35">
        <v>1635.0</v>
      </c>
      <c r="M368" s="35">
        <v>665014.0</v>
      </c>
      <c r="N368" s="35">
        <v>791666.0</v>
      </c>
      <c r="O368" s="35">
        <v>14.0</v>
      </c>
      <c r="P368" s="35">
        <v>8978.0</v>
      </c>
      <c r="Q368" s="35">
        <v>13.0</v>
      </c>
      <c r="R368" s="35">
        <v>7794.0</v>
      </c>
      <c r="S368" s="35">
        <v>1.0</v>
      </c>
      <c r="T368" s="35">
        <v>1006.0</v>
      </c>
      <c r="U368" s="35">
        <v>178.0</v>
      </c>
      <c r="V368" s="35">
        <v>178.0</v>
      </c>
      <c r="W368" s="35">
        <v>29.0</v>
      </c>
      <c r="X368" s="35">
        <v>21.0</v>
      </c>
      <c r="Y368" s="35">
        <v>4.0</v>
      </c>
      <c r="Z368" s="35">
        <v>2540.0</v>
      </c>
      <c r="AA368" s="35">
        <v>8507.0</v>
      </c>
      <c r="AB368" s="35">
        <v>3725.0</v>
      </c>
      <c r="AC368" s="35">
        <v>12232.0</v>
      </c>
      <c r="AD368" s="35">
        <v>267926.0</v>
      </c>
      <c r="AE368" s="35">
        <v>8507.0</v>
      </c>
      <c r="AF368" s="35">
        <v>190426.0</v>
      </c>
      <c r="AG368" s="35">
        <v>3725.0</v>
      </c>
      <c r="AH368" s="35">
        <v>77501.0</v>
      </c>
    </row>
    <row r="369" ht="14.25" customHeight="1">
      <c r="A369" s="34">
        <v>44255.0</v>
      </c>
      <c r="B369" s="35">
        <v>193.0</v>
      </c>
      <c r="C369" s="35">
        <v>337.0</v>
      </c>
      <c r="D369" s="35">
        <v>150804.0</v>
      </c>
      <c r="E369" s="35">
        <v>6184.0</v>
      </c>
      <c r="F369" s="35">
        <v>2862523.0</v>
      </c>
      <c r="G369" s="35">
        <v>6377.0</v>
      </c>
      <c r="H369" s="35">
        <v>3013327.0</v>
      </c>
      <c r="I369" s="35">
        <v>173.0</v>
      </c>
      <c r="J369" s="35">
        <v>301.0</v>
      </c>
      <c r="K369" s="35">
        <v>126825.0</v>
      </c>
      <c r="L369" s="35">
        <v>726.0</v>
      </c>
      <c r="M369" s="35">
        <v>665740.0</v>
      </c>
      <c r="N369" s="35">
        <v>792565.0</v>
      </c>
      <c r="O369" s="35">
        <v>8.0</v>
      </c>
      <c r="P369" s="35">
        <v>8986.0</v>
      </c>
      <c r="Q369" s="35">
        <v>9.0</v>
      </c>
      <c r="R369" s="35">
        <v>7803.0</v>
      </c>
      <c r="S369" s="35">
        <v>2.0</v>
      </c>
      <c r="T369" s="35">
        <v>1008.0</v>
      </c>
      <c r="U369" s="35">
        <v>175.0</v>
      </c>
      <c r="V369" s="35">
        <v>177.0</v>
      </c>
      <c r="W369" s="35">
        <v>27.0</v>
      </c>
      <c r="X369" s="35">
        <v>19.0</v>
      </c>
      <c r="Y369" s="35">
        <v>3.0</v>
      </c>
      <c r="Z369" s="35">
        <v>2543.0</v>
      </c>
      <c r="AA369" s="35">
        <v>2501.0</v>
      </c>
      <c r="AB369" s="35">
        <v>1338.0</v>
      </c>
      <c r="AC369" s="35">
        <v>3839.0</v>
      </c>
      <c r="AD369" s="35">
        <v>271765.0</v>
      </c>
      <c r="AE369" s="35">
        <v>2501.0</v>
      </c>
      <c r="AF369" s="35">
        <v>192927.0</v>
      </c>
      <c r="AG369" s="35">
        <v>1338.0</v>
      </c>
      <c r="AH369" s="35">
        <v>78839.0</v>
      </c>
    </row>
    <row r="370" ht="14.25" customHeight="1">
      <c r="A370" s="34">
        <v>44256.0</v>
      </c>
      <c r="B370" s="35">
        <v>360.0</v>
      </c>
      <c r="C370" s="35">
        <v>312.0</v>
      </c>
      <c r="D370" s="35">
        <v>151164.0</v>
      </c>
      <c r="E370" s="35">
        <v>11380.0</v>
      </c>
      <c r="F370" s="35">
        <v>2873903.0</v>
      </c>
      <c r="G370" s="35">
        <v>11740.0</v>
      </c>
      <c r="H370" s="35">
        <v>3025067.0</v>
      </c>
      <c r="I370" s="35">
        <v>323.0</v>
      </c>
      <c r="J370" s="35">
        <v>284.0</v>
      </c>
      <c r="K370" s="35">
        <v>127148.0</v>
      </c>
      <c r="L370" s="35">
        <v>1385.0</v>
      </c>
      <c r="M370" s="35">
        <v>667125.0</v>
      </c>
      <c r="N370" s="35">
        <v>794273.0</v>
      </c>
      <c r="O370" s="35">
        <v>15.0</v>
      </c>
      <c r="P370" s="35">
        <v>9001.0</v>
      </c>
      <c r="Q370" s="35">
        <v>21.0</v>
      </c>
      <c r="R370" s="35">
        <v>7824.0</v>
      </c>
      <c r="S370" s="35">
        <v>4.0</v>
      </c>
      <c r="T370" s="35">
        <v>1012.0</v>
      </c>
      <c r="U370" s="35">
        <v>165.0</v>
      </c>
      <c r="V370" s="35">
        <v>173.0</v>
      </c>
      <c r="W370" s="35">
        <v>26.0</v>
      </c>
      <c r="X370" s="35">
        <v>17.0</v>
      </c>
      <c r="Y370" s="35">
        <v>6.0</v>
      </c>
      <c r="Z370" s="35">
        <v>2549.0</v>
      </c>
      <c r="AA370" s="35">
        <v>4802.0</v>
      </c>
      <c r="AB370" s="35">
        <v>1484.0</v>
      </c>
      <c r="AC370" s="35">
        <v>6286.0</v>
      </c>
      <c r="AD370" s="35">
        <v>278051.0</v>
      </c>
      <c r="AE370" s="35">
        <v>4802.0</v>
      </c>
      <c r="AF370" s="35">
        <v>197729.0</v>
      </c>
      <c r="AG370" s="35">
        <v>1484.0</v>
      </c>
      <c r="AH370" s="35">
        <v>80323.0</v>
      </c>
    </row>
    <row r="371" ht="14.25" customHeight="1">
      <c r="A371" s="34">
        <v>44257.0</v>
      </c>
      <c r="B371" s="35">
        <v>481.0</v>
      </c>
      <c r="C371" s="35">
        <v>345.0</v>
      </c>
      <c r="D371" s="35">
        <v>151645.0</v>
      </c>
      <c r="E371" s="35">
        <v>20853.0</v>
      </c>
      <c r="F371" s="35">
        <v>2894756.0</v>
      </c>
      <c r="G371" s="35">
        <v>21334.0</v>
      </c>
      <c r="H371" s="35">
        <v>3046401.0</v>
      </c>
      <c r="I371" s="35">
        <v>429.0</v>
      </c>
      <c r="J371" s="35">
        <v>308.0</v>
      </c>
      <c r="K371" s="35">
        <v>127577.0</v>
      </c>
      <c r="L371" s="35">
        <v>1705.0</v>
      </c>
      <c r="M371" s="35">
        <v>668830.0</v>
      </c>
      <c r="N371" s="35">
        <v>796407.0</v>
      </c>
      <c r="O371" s="35">
        <v>23.0</v>
      </c>
      <c r="P371" s="35">
        <v>9024.0</v>
      </c>
      <c r="Q371" s="35">
        <v>23.0</v>
      </c>
      <c r="R371" s="35">
        <v>7847.0</v>
      </c>
      <c r="S371" s="35">
        <v>0.0</v>
      </c>
      <c r="T371" s="35">
        <v>1012.0</v>
      </c>
      <c r="U371" s="35">
        <v>165.0</v>
      </c>
      <c r="V371" s="35">
        <v>168.0</v>
      </c>
      <c r="W371" s="35">
        <v>27.0</v>
      </c>
      <c r="X371" s="35">
        <v>18.0</v>
      </c>
      <c r="Y371" s="35">
        <v>0.0</v>
      </c>
      <c r="Z371" s="35">
        <v>2549.0</v>
      </c>
      <c r="AA371" s="35">
        <v>6210.0</v>
      </c>
      <c r="AB371" s="35">
        <v>1351.0</v>
      </c>
      <c r="AC371" s="35">
        <v>7561.0</v>
      </c>
      <c r="AD371" s="35">
        <v>285612.0</v>
      </c>
      <c r="AE371" s="35">
        <v>6210.0</v>
      </c>
      <c r="AF371" s="35">
        <v>203939.0</v>
      </c>
      <c r="AG371" s="35">
        <v>1351.0</v>
      </c>
      <c r="AH371" s="35">
        <v>81674.0</v>
      </c>
    </row>
    <row r="372" ht="14.25" customHeight="1">
      <c r="A372" s="34">
        <v>44258.0</v>
      </c>
      <c r="B372" s="35">
        <v>474.0</v>
      </c>
      <c r="C372" s="35">
        <v>438.0</v>
      </c>
      <c r="D372" s="35">
        <v>152119.0</v>
      </c>
      <c r="E372" s="35">
        <v>24036.0</v>
      </c>
      <c r="F372" s="35">
        <v>2918792.0</v>
      </c>
      <c r="G372" s="35">
        <v>24510.0</v>
      </c>
      <c r="H372" s="35">
        <v>3070911.0</v>
      </c>
      <c r="I372" s="35">
        <v>425.0</v>
      </c>
      <c r="J372" s="35">
        <v>392.0</v>
      </c>
      <c r="K372" s="35">
        <v>128002.0</v>
      </c>
      <c r="L372" s="35">
        <v>1829.0</v>
      </c>
      <c r="M372" s="35">
        <v>670659.0</v>
      </c>
      <c r="N372" s="35">
        <v>798661.0</v>
      </c>
      <c r="O372" s="35">
        <v>16.0</v>
      </c>
      <c r="P372" s="35">
        <v>9040.0</v>
      </c>
      <c r="Q372" s="35">
        <v>23.0</v>
      </c>
      <c r="R372" s="35">
        <v>7870.0</v>
      </c>
      <c r="S372" s="35">
        <v>2.0</v>
      </c>
      <c r="T372" s="35">
        <v>1014.0</v>
      </c>
      <c r="U372" s="35">
        <v>156.0</v>
      </c>
      <c r="V372" s="35">
        <v>162.0</v>
      </c>
      <c r="W372" s="35">
        <v>28.0</v>
      </c>
      <c r="X372" s="35">
        <v>17.0</v>
      </c>
      <c r="Y372" s="35">
        <v>3.0</v>
      </c>
      <c r="Z372" s="35">
        <v>2552.0</v>
      </c>
      <c r="AA372" s="35">
        <v>7605.0</v>
      </c>
      <c r="AB372" s="35">
        <v>3140.0</v>
      </c>
      <c r="AC372" s="35">
        <v>10745.0</v>
      </c>
      <c r="AD372" s="35">
        <v>296357.0</v>
      </c>
      <c r="AE372" s="35">
        <v>7605.0</v>
      </c>
      <c r="AF372" s="35">
        <v>211544.0</v>
      </c>
      <c r="AG372" s="35">
        <v>3140.0</v>
      </c>
      <c r="AH372" s="35">
        <v>84814.0</v>
      </c>
    </row>
    <row r="373" ht="14.25" customHeight="1">
      <c r="A373" s="34">
        <v>44259.0</v>
      </c>
      <c r="B373" s="35">
        <v>429.0</v>
      </c>
      <c r="C373" s="35">
        <v>461.0</v>
      </c>
      <c r="D373" s="35">
        <v>152548.0</v>
      </c>
      <c r="E373" s="35">
        <v>20739.0</v>
      </c>
      <c r="F373" s="35">
        <v>2939531.0</v>
      </c>
      <c r="G373" s="35">
        <v>21168.0</v>
      </c>
      <c r="H373" s="35">
        <v>3092079.0</v>
      </c>
      <c r="I373" s="35">
        <v>383.0</v>
      </c>
      <c r="J373" s="35">
        <v>412.0</v>
      </c>
      <c r="K373" s="35">
        <v>128385.0</v>
      </c>
      <c r="L373" s="35">
        <v>1734.0</v>
      </c>
      <c r="M373" s="35">
        <v>672393.0</v>
      </c>
      <c r="N373" s="35">
        <v>800778.0</v>
      </c>
      <c r="O373" s="39">
        <v>21.0</v>
      </c>
      <c r="P373" s="39">
        <v>9061.0</v>
      </c>
      <c r="Q373" s="39">
        <v>29.0</v>
      </c>
      <c r="R373" s="39">
        <v>7899.0</v>
      </c>
      <c r="S373" s="39">
        <v>2.0</v>
      </c>
      <c r="T373" s="39">
        <v>1016.0</v>
      </c>
      <c r="U373" s="39">
        <v>146.0</v>
      </c>
      <c r="V373" s="39">
        <v>156.0</v>
      </c>
      <c r="W373" s="39">
        <v>26.0</v>
      </c>
      <c r="X373" s="39">
        <v>17.0</v>
      </c>
      <c r="Y373" s="35">
        <v>3.0</v>
      </c>
      <c r="Z373" s="35">
        <v>2555.0</v>
      </c>
      <c r="AA373" s="35">
        <v>6737.0</v>
      </c>
      <c r="AB373" s="35">
        <v>2816.0</v>
      </c>
      <c r="AC373" s="35">
        <v>9553.0</v>
      </c>
      <c r="AD373" s="35">
        <v>305910.0</v>
      </c>
      <c r="AE373" s="35">
        <v>6737.0</v>
      </c>
      <c r="AF373" s="35">
        <v>218281.0</v>
      </c>
      <c r="AG373" s="35">
        <v>2816.0</v>
      </c>
      <c r="AH373" s="35">
        <v>87630.0</v>
      </c>
    </row>
    <row r="374" ht="14.25" customHeight="1">
      <c r="A374" s="34">
        <v>44260.0</v>
      </c>
      <c r="B374" s="35">
        <v>424.0</v>
      </c>
      <c r="C374" s="35">
        <v>442.0</v>
      </c>
      <c r="D374" s="35">
        <v>152972.0</v>
      </c>
      <c r="E374" s="35">
        <v>18658.0</v>
      </c>
      <c r="F374" s="35">
        <v>2958189.0</v>
      </c>
      <c r="G374" s="35">
        <v>19082.0</v>
      </c>
      <c r="H374" s="35">
        <v>3111161.0</v>
      </c>
      <c r="I374" s="35">
        <v>357.0</v>
      </c>
      <c r="J374" s="35">
        <v>388.0</v>
      </c>
      <c r="K374" s="35">
        <v>128742.0</v>
      </c>
      <c r="L374" s="35">
        <v>1866.0</v>
      </c>
      <c r="M374" s="35">
        <v>674259.0</v>
      </c>
      <c r="N374" s="35">
        <v>803001.0</v>
      </c>
      <c r="O374" s="39">
        <v>19.0</v>
      </c>
      <c r="P374" s="39">
        <v>9080.0</v>
      </c>
      <c r="Q374" s="39">
        <v>18.0</v>
      </c>
      <c r="R374" s="39">
        <v>7917.0</v>
      </c>
      <c r="S374" s="39">
        <v>2.0</v>
      </c>
      <c r="T374" s="39">
        <v>1018.0</v>
      </c>
      <c r="U374" s="39">
        <v>145.0</v>
      </c>
      <c r="V374" s="39">
        <v>149.0</v>
      </c>
      <c r="W374" s="39">
        <v>26.0</v>
      </c>
      <c r="X374" s="39">
        <v>17.0</v>
      </c>
      <c r="Y374" s="35">
        <v>3.0</v>
      </c>
      <c r="Z374" s="35">
        <v>2558.0</v>
      </c>
      <c r="AA374" s="35">
        <v>6315.0</v>
      </c>
      <c r="AB374" s="35">
        <v>2839.0</v>
      </c>
      <c r="AC374" s="35">
        <v>9154.0</v>
      </c>
      <c r="AD374" s="35">
        <v>315064.0</v>
      </c>
      <c r="AE374" s="35">
        <v>6315.0</v>
      </c>
      <c r="AF374" s="35">
        <v>224596.0</v>
      </c>
      <c r="AG374" s="35">
        <v>2839.0</v>
      </c>
      <c r="AH374" s="35">
        <v>90469.0</v>
      </c>
    </row>
    <row r="375" ht="14.25" customHeight="1">
      <c r="A375" s="34">
        <v>44261.0</v>
      </c>
      <c r="B375" s="35">
        <v>299.0</v>
      </c>
      <c r="C375" s="35">
        <v>384.0</v>
      </c>
      <c r="D375" s="35">
        <v>153271.0</v>
      </c>
      <c r="E375" s="35">
        <v>13482.0</v>
      </c>
      <c r="F375" s="35">
        <v>2971671.0</v>
      </c>
      <c r="G375" s="35">
        <v>13781.0</v>
      </c>
      <c r="H375" s="35">
        <v>3124942.0</v>
      </c>
      <c r="I375" s="35">
        <v>246.0</v>
      </c>
      <c r="J375" s="35">
        <v>329.0</v>
      </c>
      <c r="K375" s="35">
        <v>128988.0</v>
      </c>
      <c r="L375" s="35">
        <v>1460.0</v>
      </c>
      <c r="M375" s="35">
        <v>675719.0</v>
      </c>
      <c r="N375" s="35">
        <v>804707.0</v>
      </c>
      <c r="O375" s="39">
        <v>17.0</v>
      </c>
      <c r="P375" s="39">
        <v>9097.0</v>
      </c>
      <c r="Q375" s="39">
        <v>16.0</v>
      </c>
      <c r="R375" s="39">
        <v>7933.0</v>
      </c>
      <c r="S375" s="39">
        <v>1.0</v>
      </c>
      <c r="T375" s="39">
        <v>1019.0</v>
      </c>
      <c r="U375" s="39">
        <v>145.0</v>
      </c>
      <c r="V375" s="39">
        <v>145.0</v>
      </c>
      <c r="W375" s="39">
        <v>24.0</v>
      </c>
      <c r="X375" s="39">
        <v>19.0</v>
      </c>
      <c r="Y375" s="35">
        <v>1.0</v>
      </c>
      <c r="Z375" s="35">
        <v>2559.0</v>
      </c>
      <c r="AA375" s="35">
        <v>7722.0</v>
      </c>
      <c r="AB375" s="35">
        <v>2352.0</v>
      </c>
      <c r="AC375" s="35">
        <v>10074.0</v>
      </c>
      <c r="AD375" s="35">
        <v>325138.0</v>
      </c>
      <c r="AE375" s="35">
        <v>7722.0</v>
      </c>
      <c r="AF375" s="35">
        <v>232318.0</v>
      </c>
      <c r="AG375" s="35">
        <v>2741.0</v>
      </c>
      <c r="AH375" s="35">
        <v>93210.0</v>
      </c>
    </row>
    <row r="376" ht="14.25" customHeight="1">
      <c r="A376" s="34">
        <v>44262.0</v>
      </c>
      <c r="B376" s="35">
        <v>244.0</v>
      </c>
      <c r="C376" s="35">
        <v>322.0</v>
      </c>
      <c r="D376" s="35">
        <v>153515.0</v>
      </c>
      <c r="E376" s="35">
        <v>5091.0</v>
      </c>
      <c r="F376" s="35">
        <v>2976762.0</v>
      </c>
      <c r="G376" s="35">
        <v>5335.0</v>
      </c>
      <c r="H376" s="35">
        <v>3130277.0</v>
      </c>
      <c r="I376" s="35">
        <v>202.0</v>
      </c>
      <c r="J376" s="35">
        <v>268.0</v>
      </c>
      <c r="K376" s="35">
        <v>129190.0</v>
      </c>
      <c r="L376" s="35">
        <v>682.0</v>
      </c>
      <c r="M376" s="35">
        <v>676401.0</v>
      </c>
      <c r="N376" s="35">
        <v>805591.0</v>
      </c>
      <c r="O376" s="39">
        <v>13.0</v>
      </c>
      <c r="P376" s="39">
        <v>9110.0</v>
      </c>
      <c r="Q376" s="39">
        <v>6.0</v>
      </c>
      <c r="R376" s="39">
        <v>7939.0</v>
      </c>
      <c r="S376" s="39">
        <v>0.0</v>
      </c>
      <c r="T376" s="39">
        <v>1019.0</v>
      </c>
      <c r="U376" s="39">
        <v>152.0</v>
      </c>
      <c r="V376" s="39">
        <v>147.0</v>
      </c>
      <c r="W376" s="39">
        <v>23.0</v>
      </c>
      <c r="X376" s="39">
        <v>18.0</v>
      </c>
      <c r="Y376" s="35">
        <v>4.0</v>
      </c>
      <c r="Z376" s="35">
        <v>2563.0</v>
      </c>
      <c r="AA376" s="35">
        <v>2925.0</v>
      </c>
      <c r="AB376" s="35">
        <v>432.0</v>
      </c>
      <c r="AC376" s="35">
        <v>3357.0</v>
      </c>
      <c r="AD376" s="35">
        <v>328495.0</v>
      </c>
      <c r="AE376" s="35">
        <v>2925.0</v>
      </c>
      <c r="AF376" s="35">
        <v>235243.0</v>
      </c>
      <c r="AG376" s="35">
        <v>812.0</v>
      </c>
      <c r="AH376" s="35">
        <v>94022.0</v>
      </c>
    </row>
    <row r="377" ht="14.25" customHeight="1">
      <c r="A377" s="34">
        <v>44263.0</v>
      </c>
      <c r="B377" s="35">
        <v>368.0</v>
      </c>
      <c r="C377" s="35">
        <v>304.0</v>
      </c>
      <c r="D377" s="35">
        <v>153883.0</v>
      </c>
      <c r="E377" s="35">
        <v>12276.0</v>
      </c>
      <c r="F377" s="35">
        <v>2989038.0</v>
      </c>
      <c r="G377" s="35">
        <v>12644.0</v>
      </c>
      <c r="H377" s="35">
        <v>3142921.0</v>
      </c>
      <c r="I377" s="35">
        <v>305.0</v>
      </c>
      <c r="J377" s="35">
        <v>251.0</v>
      </c>
      <c r="K377" s="35">
        <v>129495.0</v>
      </c>
      <c r="L377" s="35">
        <v>1436.0</v>
      </c>
      <c r="M377" s="35">
        <v>677837.0</v>
      </c>
      <c r="N377" s="35">
        <v>807332.0</v>
      </c>
      <c r="O377" s="39">
        <v>26.0</v>
      </c>
      <c r="P377" s="39">
        <v>9136.0</v>
      </c>
      <c r="Q377" s="39">
        <v>22.0</v>
      </c>
      <c r="R377" s="39">
        <v>7961.0</v>
      </c>
      <c r="S377" s="39">
        <v>1.0</v>
      </c>
      <c r="T377" s="39">
        <v>1020.0</v>
      </c>
      <c r="U377" s="39">
        <v>155.0</v>
      </c>
      <c r="V377" s="39">
        <v>151.0</v>
      </c>
      <c r="W377" s="39">
        <v>24.0</v>
      </c>
      <c r="X377" s="39">
        <v>18.0</v>
      </c>
      <c r="Y377" s="35">
        <v>1.0</v>
      </c>
      <c r="Z377" s="35">
        <v>2564.0</v>
      </c>
      <c r="AA377" s="35">
        <v>4485.0</v>
      </c>
      <c r="AB377" s="35">
        <v>1625.0</v>
      </c>
      <c r="AC377" s="35">
        <v>6110.0</v>
      </c>
      <c r="AD377" s="35">
        <v>334605.0</v>
      </c>
      <c r="AE377" s="35">
        <v>4485.0</v>
      </c>
      <c r="AF377" s="35">
        <v>239728.0</v>
      </c>
      <c r="AG377" s="35">
        <v>2126.0</v>
      </c>
      <c r="AH377" s="35">
        <v>96148.0</v>
      </c>
    </row>
    <row r="378" ht="14.25" customHeight="1">
      <c r="A378" s="34">
        <v>44264.0</v>
      </c>
      <c r="B378" s="35">
        <v>427.0</v>
      </c>
      <c r="C378" s="35">
        <v>346.0</v>
      </c>
      <c r="D378" s="35">
        <v>154310.0</v>
      </c>
      <c r="E378" s="35">
        <v>19735.0</v>
      </c>
      <c r="F378" s="35">
        <v>3008773.0</v>
      </c>
      <c r="G378" s="35">
        <v>20162.0</v>
      </c>
      <c r="H378" s="35">
        <v>3163083.0</v>
      </c>
      <c r="I378" s="35">
        <v>379.0</v>
      </c>
      <c r="J378" s="35">
        <v>295.0</v>
      </c>
      <c r="K378" s="35">
        <v>129874.0</v>
      </c>
      <c r="L378" s="35">
        <v>1854.0</v>
      </c>
      <c r="M378" s="35">
        <v>679691.0</v>
      </c>
      <c r="N378" s="35">
        <v>809565.0</v>
      </c>
      <c r="O378" s="39">
        <v>23.0</v>
      </c>
      <c r="P378" s="39">
        <v>9159.0</v>
      </c>
      <c r="Q378" s="39">
        <v>24.0</v>
      </c>
      <c r="R378" s="39">
        <v>7985.0</v>
      </c>
      <c r="S378" s="39">
        <v>2.0</v>
      </c>
      <c r="T378" s="39">
        <v>1022.0</v>
      </c>
      <c r="U378" s="39">
        <v>152.0</v>
      </c>
      <c r="V378" s="39">
        <v>153.0</v>
      </c>
      <c r="W378" s="39">
        <v>27.0</v>
      </c>
      <c r="X378" s="39">
        <v>18.0</v>
      </c>
      <c r="Y378" s="35">
        <v>2.0</v>
      </c>
      <c r="Z378" s="35">
        <v>2566.0</v>
      </c>
      <c r="AA378" s="35">
        <v>5099.0</v>
      </c>
      <c r="AB378" s="35">
        <v>2459.0</v>
      </c>
      <c r="AC378" s="35">
        <v>7558.0</v>
      </c>
      <c r="AD378" s="35">
        <v>342163.0</v>
      </c>
      <c r="AE378" s="35">
        <v>5099.0</v>
      </c>
      <c r="AF378" s="35">
        <v>244827.0</v>
      </c>
      <c r="AG378" s="35">
        <v>3240.0</v>
      </c>
      <c r="AH378" s="35">
        <v>99388.0</v>
      </c>
    </row>
    <row r="379" ht="14.25" customHeight="1">
      <c r="A379" s="34">
        <v>44265.0</v>
      </c>
      <c r="B379" s="35">
        <v>538.0</v>
      </c>
      <c r="C379" s="35">
        <v>444.0</v>
      </c>
      <c r="D379" s="35">
        <v>154848.0</v>
      </c>
      <c r="E379" s="35">
        <v>25645.0</v>
      </c>
      <c r="F379" s="35">
        <v>3034418.0</v>
      </c>
      <c r="G379" s="35">
        <v>26183.0</v>
      </c>
      <c r="H379" s="35">
        <v>3189266.0</v>
      </c>
      <c r="I379" s="35">
        <v>481.0</v>
      </c>
      <c r="J379" s="35">
        <v>388.0</v>
      </c>
      <c r="K379" s="35">
        <v>130355.0</v>
      </c>
      <c r="L379" s="35">
        <v>2067.0</v>
      </c>
      <c r="M379" s="35">
        <v>681758.0</v>
      </c>
      <c r="N379" s="35">
        <v>812113.0</v>
      </c>
      <c r="O379" s="39">
        <v>19.0</v>
      </c>
      <c r="P379" s="39">
        <v>9178.0</v>
      </c>
      <c r="Q379" s="39">
        <v>27.0</v>
      </c>
      <c r="R379" s="39">
        <v>8012.0</v>
      </c>
      <c r="S379" s="39">
        <v>0.0</v>
      </c>
      <c r="T379" s="39">
        <v>1022.0</v>
      </c>
      <c r="U379" s="39">
        <v>144.0</v>
      </c>
      <c r="V379" s="39">
        <v>150.0</v>
      </c>
      <c r="W379" s="39">
        <v>25.0</v>
      </c>
      <c r="X379" s="39">
        <v>19.0</v>
      </c>
      <c r="Y379" s="35">
        <v>5.0</v>
      </c>
      <c r="Z379" s="35">
        <v>2571.0</v>
      </c>
      <c r="AA379" s="35">
        <v>5665.0</v>
      </c>
      <c r="AB379" s="35">
        <v>2097.0</v>
      </c>
      <c r="AC379" s="35">
        <v>7762.0</v>
      </c>
      <c r="AD379" s="35">
        <v>349925.0</v>
      </c>
      <c r="AE379" s="35">
        <v>5665.0</v>
      </c>
      <c r="AF379" s="35">
        <v>250492.0</v>
      </c>
      <c r="AG379" s="35">
        <v>2667.0</v>
      </c>
      <c r="AH379" s="35">
        <v>102055.0</v>
      </c>
    </row>
    <row r="380" ht="14.25" customHeight="1">
      <c r="A380" s="34">
        <v>44266.0</v>
      </c>
      <c r="B380" s="35">
        <v>414.0</v>
      </c>
      <c r="C380" s="35">
        <v>460.0</v>
      </c>
      <c r="D380" s="35">
        <v>155262.0</v>
      </c>
      <c r="E380" s="35">
        <v>20990.0</v>
      </c>
      <c r="F380" s="35">
        <v>3055408.0</v>
      </c>
      <c r="G380" s="35">
        <v>21404.0</v>
      </c>
      <c r="H380" s="35">
        <v>3210670.0</v>
      </c>
      <c r="I380" s="35">
        <v>364.0</v>
      </c>
      <c r="J380" s="35">
        <v>408.0</v>
      </c>
      <c r="K380" s="35">
        <v>130719.0</v>
      </c>
      <c r="L380" s="35">
        <v>2108.0</v>
      </c>
      <c r="M380" s="35">
        <v>683866.0</v>
      </c>
      <c r="N380" s="35">
        <v>814585.0</v>
      </c>
      <c r="O380" s="39">
        <v>21.0</v>
      </c>
      <c r="P380" s="39">
        <v>9199.0</v>
      </c>
      <c r="Q380" s="39">
        <v>15.0</v>
      </c>
      <c r="R380" s="39">
        <v>8027.0</v>
      </c>
      <c r="S380" s="39">
        <v>3.0</v>
      </c>
      <c r="T380" s="39">
        <v>1025.0</v>
      </c>
      <c r="U380" s="39">
        <v>147.0</v>
      </c>
      <c r="V380" s="39">
        <v>148.0</v>
      </c>
      <c r="W380" s="39">
        <v>25.0</v>
      </c>
      <c r="X380" s="39">
        <v>17.0</v>
      </c>
      <c r="Y380" s="35">
        <v>3.0</v>
      </c>
      <c r="Z380" s="35">
        <v>2574.0</v>
      </c>
      <c r="AA380" s="35">
        <v>7130.0</v>
      </c>
      <c r="AB380" s="35">
        <v>3045.0</v>
      </c>
      <c r="AC380" s="35">
        <v>10175.0</v>
      </c>
      <c r="AD380" s="35">
        <v>360100.0</v>
      </c>
      <c r="AE380" s="35">
        <v>7130.0</v>
      </c>
      <c r="AF380" s="35">
        <v>257622.0</v>
      </c>
      <c r="AG380" s="35">
        <v>4527.0</v>
      </c>
      <c r="AH380" s="35">
        <v>106582.0</v>
      </c>
    </row>
    <row r="381" ht="14.25" customHeight="1">
      <c r="A381" s="40">
        <v>44267.0</v>
      </c>
      <c r="B381" s="35">
        <v>428.0</v>
      </c>
      <c r="C381" s="35">
        <v>460.0</v>
      </c>
      <c r="D381" s="35">
        <v>155690.0</v>
      </c>
      <c r="E381" s="35">
        <v>18045.0</v>
      </c>
      <c r="F381" s="35">
        <v>3073453.0</v>
      </c>
      <c r="G381" s="35">
        <v>18473.0</v>
      </c>
      <c r="H381" s="35">
        <v>3229143.0</v>
      </c>
      <c r="I381" s="35">
        <v>365.0</v>
      </c>
      <c r="J381" s="35">
        <v>403.0</v>
      </c>
      <c r="K381" s="35">
        <v>131084.0</v>
      </c>
      <c r="L381" s="35">
        <v>1904.0</v>
      </c>
      <c r="M381" s="35">
        <v>685770.0</v>
      </c>
      <c r="N381" s="35">
        <v>816854.0</v>
      </c>
      <c r="O381" s="39">
        <v>22.0</v>
      </c>
      <c r="P381" s="39">
        <v>9221.0</v>
      </c>
      <c r="Q381" s="39">
        <v>28.0</v>
      </c>
      <c r="R381" s="39">
        <v>8055.0</v>
      </c>
      <c r="S381" s="39">
        <v>0.0</v>
      </c>
      <c r="T381" s="39">
        <v>1025.0</v>
      </c>
      <c r="U381" s="39">
        <v>141.0</v>
      </c>
      <c r="V381" s="39">
        <v>144.0</v>
      </c>
      <c r="W381" s="39">
        <v>24.0</v>
      </c>
      <c r="X381" s="39">
        <v>16.0</v>
      </c>
      <c r="Y381" s="35">
        <v>1.0</v>
      </c>
      <c r="Z381" s="35">
        <v>2575.0</v>
      </c>
      <c r="AA381" s="35">
        <v>7071.0</v>
      </c>
      <c r="AB381" s="35">
        <v>2803.0</v>
      </c>
      <c r="AC381" s="35">
        <v>9874.0</v>
      </c>
      <c r="AD381" s="35">
        <v>369974.0</v>
      </c>
      <c r="AE381" s="35">
        <v>7071.0</v>
      </c>
      <c r="AF381" s="35">
        <v>264693.0</v>
      </c>
      <c r="AG381" s="35">
        <v>3468.0</v>
      </c>
      <c r="AH381" s="35">
        <v>110050.0</v>
      </c>
    </row>
    <row r="382" ht="14.25" customHeight="1">
      <c r="A382" s="40">
        <v>44268.0</v>
      </c>
      <c r="B382" s="35">
        <v>357.0</v>
      </c>
      <c r="C382" s="35">
        <v>400.0</v>
      </c>
      <c r="D382" s="35">
        <v>156047.0</v>
      </c>
      <c r="E382" s="35">
        <v>13238.0</v>
      </c>
      <c r="F382" s="35">
        <v>3086691.0</v>
      </c>
      <c r="G382" s="35">
        <v>13595.0</v>
      </c>
      <c r="H382" s="35">
        <v>3242738.0</v>
      </c>
      <c r="I382" s="35">
        <v>295.0</v>
      </c>
      <c r="J382" s="35">
        <v>341.0</v>
      </c>
      <c r="K382" s="35">
        <v>131379.0</v>
      </c>
      <c r="L382" s="35">
        <v>1572.0</v>
      </c>
      <c r="M382" s="35">
        <v>687342.0</v>
      </c>
      <c r="N382" s="35">
        <v>818721.0</v>
      </c>
      <c r="O382" s="39">
        <v>16.0</v>
      </c>
      <c r="P382" s="39">
        <v>9237.0</v>
      </c>
      <c r="Q382" s="39">
        <v>13.0</v>
      </c>
      <c r="R382" s="39">
        <v>8068.0</v>
      </c>
      <c r="S382" s="39">
        <v>3.0</v>
      </c>
      <c r="T382" s="39">
        <v>1028.0</v>
      </c>
      <c r="U382" s="39">
        <v>141.0</v>
      </c>
      <c r="V382" s="39">
        <v>143.0</v>
      </c>
      <c r="W382" s="39">
        <v>21.0</v>
      </c>
      <c r="X382" s="39">
        <v>16.0</v>
      </c>
      <c r="Y382" s="35">
        <v>4.0</v>
      </c>
      <c r="Z382" s="35">
        <v>2579.0</v>
      </c>
      <c r="AA382" s="35">
        <v>8374.0</v>
      </c>
      <c r="AB382" s="35">
        <v>2606.0</v>
      </c>
      <c r="AC382" s="35">
        <v>10980.0</v>
      </c>
      <c r="AD382" s="35">
        <v>380954.0</v>
      </c>
      <c r="AE382" s="35">
        <v>8374.0</v>
      </c>
      <c r="AF382" s="35">
        <v>273067.0</v>
      </c>
      <c r="AG382" s="35">
        <v>4322.0</v>
      </c>
      <c r="AH382" s="35">
        <v>114372.0</v>
      </c>
    </row>
    <row r="383" ht="14.25" customHeight="1">
      <c r="A383" s="40">
        <v>44269.0</v>
      </c>
      <c r="B383" s="35">
        <v>164.0</v>
      </c>
      <c r="C383" s="35">
        <v>316.0</v>
      </c>
      <c r="D383" s="35">
        <v>156211.0</v>
      </c>
      <c r="E383" s="35">
        <v>4419.0</v>
      </c>
      <c r="F383" s="35">
        <v>3091110.0</v>
      </c>
      <c r="G383" s="35">
        <v>4583.0</v>
      </c>
      <c r="H383" s="35">
        <v>3247321.0</v>
      </c>
      <c r="I383" s="35">
        <v>155.0</v>
      </c>
      <c r="J383" s="35">
        <v>272.0</v>
      </c>
      <c r="K383" s="35">
        <v>131534.0</v>
      </c>
      <c r="L383" s="35">
        <v>655.0</v>
      </c>
      <c r="M383" s="35">
        <v>687997.0</v>
      </c>
      <c r="N383" s="35">
        <v>819531.0</v>
      </c>
      <c r="O383" s="39">
        <v>16.0</v>
      </c>
      <c r="P383" s="39">
        <v>9253.0</v>
      </c>
      <c r="Q383" s="39">
        <v>19.0</v>
      </c>
      <c r="R383" s="39">
        <v>8087.0</v>
      </c>
      <c r="S383" s="39">
        <v>1.0</v>
      </c>
      <c r="T383" s="39">
        <v>1029.0</v>
      </c>
      <c r="U383" s="39">
        <v>137.0</v>
      </c>
      <c r="V383" s="39">
        <v>140.0</v>
      </c>
      <c r="W383" s="39">
        <v>19.0</v>
      </c>
      <c r="X383" s="39">
        <v>16.0</v>
      </c>
      <c r="Y383" s="35">
        <v>2.0</v>
      </c>
      <c r="Z383" s="35">
        <v>2581.0</v>
      </c>
      <c r="AA383" s="35">
        <v>2245.0</v>
      </c>
      <c r="AB383" s="35">
        <v>571.0</v>
      </c>
      <c r="AC383" s="35">
        <v>2816.0</v>
      </c>
      <c r="AD383" s="35">
        <v>383770.0</v>
      </c>
      <c r="AE383" s="35">
        <v>2245.0</v>
      </c>
      <c r="AF383" s="35">
        <v>275312.0</v>
      </c>
      <c r="AG383" s="35">
        <v>606.0</v>
      </c>
      <c r="AH383" s="35">
        <v>114978.0</v>
      </c>
    </row>
    <row r="384" ht="14.25" customHeight="1">
      <c r="A384" s="40">
        <v>44270.0</v>
      </c>
      <c r="B384" s="35">
        <v>316.0</v>
      </c>
      <c r="C384" s="35">
        <v>279.0</v>
      </c>
      <c r="D384" s="35">
        <v>156527.0</v>
      </c>
      <c r="E384" s="35">
        <v>10830.0</v>
      </c>
      <c r="F384" s="35">
        <v>3101940.0</v>
      </c>
      <c r="G384" s="35">
        <v>11146.0</v>
      </c>
      <c r="H384" s="35">
        <v>3258467.0</v>
      </c>
      <c r="I384" s="35">
        <v>266.0</v>
      </c>
      <c r="J384" s="35">
        <v>239.0</v>
      </c>
      <c r="K384" s="35">
        <v>131800.0</v>
      </c>
      <c r="L384" s="35">
        <v>1308.0</v>
      </c>
      <c r="M384" s="35">
        <v>689305.0</v>
      </c>
      <c r="N384" s="35">
        <v>821105.0</v>
      </c>
      <c r="O384" s="39">
        <v>15.0</v>
      </c>
      <c r="P384" s="39">
        <v>9268.0</v>
      </c>
      <c r="Q384" s="39">
        <v>20.0</v>
      </c>
      <c r="R384" s="39">
        <v>8107.0</v>
      </c>
      <c r="S384" s="39">
        <v>2.0</v>
      </c>
      <c r="T384" s="39">
        <v>1031.0</v>
      </c>
      <c r="U384" s="39">
        <v>130.0</v>
      </c>
      <c r="V384" s="39">
        <v>136.0</v>
      </c>
      <c r="W384" s="39">
        <v>17.0</v>
      </c>
      <c r="X384" s="39">
        <v>14.0</v>
      </c>
      <c r="Y384" s="35">
        <v>4.0</v>
      </c>
      <c r="Z384" s="35">
        <v>2585.0</v>
      </c>
      <c r="AA384" s="35">
        <v>1853.0</v>
      </c>
      <c r="AB384" s="35">
        <v>4487.0</v>
      </c>
      <c r="AC384" s="35">
        <v>6340.0</v>
      </c>
      <c r="AD384" s="35">
        <v>390110.0</v>
      </c>
      <c r="AE384" s="35">
        <v>1853.0</v>
      </c>
      <c r="AF384" s="35">
        <v>277165.0</v>
      </c>
      <c r="AG384" s="35">
        <v>4565.0</v>
      </c>
      <c r="AH384" s="35">
        <v>119543.0</v>
      </c>
    </row>
    <row r="385" ht="14.25" customHeight="1">
      <c r="A385" s="40">
        <v>44271.0</v>
      </c>
      <c r="B385" s="35">
        <v>412.0</v>
      </c>
      <c r="C385" s="35">
        <v>297.0</v>
      </c>
      <c r="D385" s="35">
        <v>156939.0</v>
      </c>
      <c r="E385" s="35">
        <v>18448.0</v>
      </c>
      <c r="F385" s="35">
        <v>3120388.0</v>
      </c>
      <c r="G385" s="35">
        <v>18860.0</v>
      </c>
      <c r="H385" s="35">
        <v>3277327.0</v>
      </c>
      <c r="I385" s="35">
        <v>384.0</v>
      </c>
      <c r="J385" s="35">
        <v>268.0</v>
      </c>
      <c r="K385" s="35">
        <v>132184.0</v>
      </c>
      <c r="L385" s="35">
        <v>1411.0</v>
      </c>
      <c r="M385" s="35">
        <v>690716.0</v>
      </c>
      <c r="N385" s="35">
        <v>822900.0</v>
      </c>
      <c r="Y385" s="35">
        <v>3.0</v>
      </c>
      <c r="Z385" s="35">
        <v>2588.0</v>
      </c>
      <c r="AA385" s="35">
        <v>1701.0</v>
      </c>
      <c r="AB385" s="35">
        <v>6546.0</v>
      </c>
      <c r="AC385" s="35">
        <v>8247.0</v>
      </c>
      <c r="AD385" s="35">
        <v>398357.0</v>
      </c>
      <c r="AE385" s="35">
        <v>1701.0</v>
      </c>
      <c r="AF385" s="35">
        <v>278866.0</v>
      </c>
      <c r="AG385" s="35">
        <v>6815.0</v>
      </c>
      <c r="AH385" s="35">
        <v>126358.0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24428.0</v>
      </c>
      <c r="C3" s="52">
        <v>0.03</v>
      </c>
      <c r="D3" s="53">
        <v>2899.0</v>
      </c>
      <c r="E3" s="54">
        <v>0.02</v>
      </c>
      <c r="F3" s="55">
        <v>76.0</v>
      </c>
      <c r="G3" s="56">
        <v>0.01</v>
      </c>
      <c r="H3" s="55" t="s">
        <v>55</v>
      </c>
      <c r="I3" s="57" t="s">
        <v>38</v>
      </c>
      <c r="J3" s="58">
        <v>0.0</v>
      </c>
      <c r="K3" s="59">
        <v>0.0</v>
      </c>
      <c r="L3" s="58">
        <v>0.0</v>
      </c>
      <c r="M3" s="59">
        <v>0.0</v>
      </c>
      <c r="N3" s="58">
        <v>0.0</v>
      </c>
      <c r="O3" s="59">
        <v>0.0</v>
      </c>
    </row>
    <row r="4" ht="14.25" customHeight="1">
      <c r="A4" s="60">
        <v>43960.0</v>
      </c>
      <c r="B4" s="51">
        <v>32068.0</v>
      </c>
      <c r="C4" s="52">
        <v>0.04</v>
      </c>
      <c r="D4" s="53">
        <v>3631.0</v>
      </c>
      <c r="E4" s="54">
        <v>0.03</v>
      </c>
      <c r="F4" s="55">
        <v>22.0</v>
      </c>
      <c r="G4" s="57" t="s">
        <v>56</v>
      </c>
      <c r="H4" s="55">
        <v>0.0</v>
      </c>
      <c r="I4" s="56">
        <v>0.0</v>
      </c>
      <c r="J4" s="58">
        <v>0.0</v>
      </c>
      <c r="K4" s="59">
        <v>0.0</v>
      </c>
      <c r="L4" s="58">
        <v>0.0</v>
      </c>
      <c r="M4" s="59">
        <v>0.0</v>
      </c>
      <c r="N4" s="58">
        <v>0.0</v>
      </c>
      <c r="O4" s="59">
        <v>0.0</v>
      </c>
    </row>
    <row r="5" ht="14.25" customHeight="1">
      <c r="A5" s="60">
        <v>44118.0</v>
      </c>
      <c r="B5" s="51">
        <v>33310.0</v>
      </c>
      <c r="C5" s="52">
        <v>0.04</v>
      </c>
      <c r="D5" s="53">
        <v>4636.0</v>
      </c>
      <c r="E5" s="54">
        <v>0.04</v>
      </c>
      <c r="F5" s="55">
        <v>33.0</v>
      </c>
      <c r="G5" s="57" t="s">
        <v>56</v>
      </c>
      <c r="H5" s="55" t="s">
        <v>55</v>
      </c>
      <c r="I5" s="61" t="s">
        <v>38</v>
      </c>
      <c r="J5" s="62" t="s">
        <v>55</v>
      </c>
      <c r="K5" s="62" t="s">
        <v>38</v>
      </c>
      <c r="L5" s="62">
        <v>0.0</v>
      </c>
      <c r="M5" s="63">
        <v>0.0</v>
      </c>
      <c r="N5" s="62" t="s">
        <v>55</v>
      </c>
      <c r="O5" s="62" t="s">
        <v>38</v>
      </c>
    </row>
    <row r="6" ht="14.25" customHeight="1">
      <c r="A6" s="50" t="s">
        <v>57</v>
      </c>
      <c r="B6" s="51">
        <v>38983.0</v>
      </c>
      <c r="C6" s="52">
        <v>0.05</v>
      </c>
      <c r="D6" s="53">
        <v>6237.0</v>
      </c>
      <c r="E6" s="54">
        <v>0.05</v>
      </c>
      <c r="F6" s="55">
        <v>59.0</v>
      </c>
      <c r="G6" s="56">
        <v>0.01</v>
      </c>
      <c r="H6" s="55">
        <v>0.0</v>
      </c>
      <c r="I6" s="54">
        <v>0.0</v>
      </c>
      <c r="J6" s="62">
        <v>767.0</v>
      </c>
      <c r="K6" s="62" t="s">
        <v>56</v>
      </c>
      <c r="L6" s="62">
        <v>389.0</v>
      </c>
      <c r="M6" s="62" t="s">
        <v>56</v>
      </c>
      <c r="N6" s="62">
        <v>1138.0</v>
      </c>
      <c r="O6" s="62" t="s">
        <v>56</v>
      </c>
    </row>
    <row r="7" ht="15.0" customHeight="1">
      <c r="A7" s="50" t="s">
        <v>58</v>
      </c>
      <c r="B7" s="51">
        <v>82571.0</v>
      </c>
      <c r="C7" s="52">
        <v>0.11</v>
      </c>
      <c r="D7" s="64">
        <v>14974.0</v>
      </c>
      <c r="E7" s="54">
        <v>0.12</v>
      </c>
      <c r="F7" s="55">
        <v>230.0</v>
      </c>
      <c r="G7" s="56">
        <v>0.02</v>
      </c>
      <c r="H7" s="55" t="s">
        <v>55</v>
      </c>
      <c r="I7" s="61" t="s">
        <v>38</v>
      </c>
      <c r="J7" s="62">
        <v>7756.0</v>
      </c>
      <c r="K7" s="63">
        <v>0.03</v>
      </c>
      <c r="L7" s="62">
        <v>4705.0</v>
      </c>
      <c r="M7" s="63">
        <v>0.04</v>
      </c>
      <c r="N7" s="62">
        <v>12209.0</v>
      </c>
      <c r="O7" s="63">
        <v>0.03</v>
      </c>
    </row>
    <row r="8" ht="15.0" customHeight="1">
      <c r="A8" s="50" t="s">
        <v>59</v>
      </c>
      <c r="B8" s="51">
        <v>63941.0</v>
      </c>
      <c r="C8" s="52">
        <v>0.08</v>
      </c>
      <c r="D8" s="64">
        <v>11129.0</v>
      </c>
      <c r="E8" s="54">
        <v>0.09</v>
      </c>
      <c r="F8" s="55">
        <v>293.0</v>
      </c>
      <c r="G8" s="56">
        <v>0.03</v>
      </c>
      <c r="H8" s="55" t="s">
        <v>55</v>
      </c>
      <c r="I8" s="61" t="s">
        <v>38</v>
      </c>
      <c r="J8" s="62">
        <v>9624.0</v>
      </c>
      <c r="K8" s="63">
        <v>0.04</v>
      </c>
      <c r="L8" s="62">
        <v>6248.0</v>
      </c>
      <c r="M8" s="63">
        <v>0.06</v>
      </c>
      <c r="N8" s="62">
        <v>15618.0</v>
      </c>
      <c r="O8" s="63">
        <v>0.04</v>
      </c>
    </row>
    <row r="9" ht="15.0" customHeight="1">
      <c r="A9" s="50" t="s">
        <v>60</v>
      </c>
      <c r="B9" s="51">
        <v>113834.0</v>
      </c>
      <c r="C9" s="52">
        <v>0.15</v>
      </c>
      <c r="D9" s="64">
        <v>19617.0</v>
      </c>
      <c r="E9" s="54">
        <v>0.16</v>
      </c>
      <c r="F9" s="55">
        <v>573.0</v>
      </c>
      <c r="G9" s="56">
        <v>0.06</v>
      </c>
      <c r="H9" s="55">
        <v>11.0</v>
      </c>
      <c r="I9" s="57" t="s">
        <v>56</v>
      </c>
      <c r="J9" s="58">
        <v>21778.0</v>
      </c>
      <c r="K9" s="59">
        <v>0.08</v>
      </c>
      <c r="L9" s="58">
        <v>13519.0</v>
      </c>
      <c r="M9" s="59">
        <v>0.13</v>
      </c>
      <c r="N9" s="58">
        <v>34588.0</v>
      </c>
      <c r="O9" s="59">
        <v>0.1</v>
      </c>
    </row>
    <row r="10" ht="15.0" customHeight="1">
      <c r="A10" s="50" t="s">
        <v>61</v>
      </c>
      <c r="B10" s="51">
        <v>93001.0</v>
      </c>
      <c r="C10" s="52">
        <v>0.12</v>
      </c>
      <c r="D10" s="64">
        <v>16779.0</v>
      </c>
      <c r="E10" s="54">
        <v>0.13</v>
      </c>
      <c r="F10" s="55">
        <v>789.0</v>
      </c>
      <c r="G10" s="56">
        <v>0.09</v>
      </c>
      <c r="H10" s="55">
        <v>32.0</v>
      </c>
      <c r="I10" s="56">
        <v>0.01</v>
      </c>
      <c r="J10" s="58">
        <v>23934.0</v>
      </c>
      <c r="K10" s="59">
        <v>0.09</v>
      </c>
      <c r="L10" s="58">
        <v>14257.0</v>
      </c>
      <c r="M10" s="59">
        <v>0.14</v>
      </c>
      <c r="N10" s="58">
        <v>37205.0</v>
      </c>
      <c r="O10" s="59">
        <v>0.1</v>
      </c>
    </row>
    <row r="11" ht="14.25" customHeight="1">
      <c r="A11" s="50" t="s">
        <v>62</v>
      </c>
      <c r="B11" s="51">
        <v>108922.0</v>
      </c>
      <c r="C11" s="52">
        <v>0.14</v>
      </c>
      <c r="D11" s="64">
        <v>18596.0</v>
      </c>
      <c r="E11" s="54">
        <v>0.15</v>
      </c>
      <c r="F11" s="55">
        <v>1313.0</v>
      </c>
      <c r="G11" s="56">
        <v>0.14</v>
      </c>
      <c r="H11" s="55">
        <v>112.0</v>
      </c>
      <c r="I11" s="56">
        <v>0.04</v>
      </c>
      <c r="J11" s="58">
        <v>33635.0</v>
      </c>
      <c r="K11" s="59">
        <v>0.13</v>
      </c>
      <c r="L11" s="58">
        <v>19092.0</v>
      </c>
      <c r="M11" s="59">
        <v>0.18</v>
      </c>
      <c r="N11" s="58">
        <v>51109.0</v>
      </c>
      <c r="O11" s="59">
        <v>0.14</v>
      </c>
    </row>
    <row r="12" ht="14.25" customHeight="1">
      <c r="A12" s="50" t="s">
        <v>63</v>
      </c>
      <c r="B12" s="51">
        <v>90893.0</v>
      </c>
      <c r="C12" s="52">
        <v>0.12</v>
      </c>
      <c r="D12" s="64">
        <v>13341.0</v>
      </c>
      <c r="E12" s="54">
        <v>0.11</v>
      </c>
      <c r="F12" s="55">
        <v>1780.0</v>
      </c>
      <c r="G12" s="56">
        <v>0.19</v>
      </c>
      <c r="H12" s="55">
        <v>304.0</v>
      </c>
      <c r="I12" s="56">
        <v>0.12</v>
      </c>
      <c r="J12" s="58">
        <v>63773.0</v>
      </c>
      <c r="K12" s="59">
        <v>0.25</v>
      </c>
      <c r="L12" s="58">
        <v>18343.0</v>
      </c>
      <c r="M12" s="59">
        <v>0.17</v>
      </c>
      <c r="N12" s="58">
        <v>80557.0</v>
      </c>
      <c r="O12" s="59">
        <v>0.23</v>
      </c>
    </row>
    <row r="13" ht="14.25" customHeight="1">
      <c r="A13" s="50" t="s">
        <v>64</v>
      </c>
      <c r="B13" s="51">
        <v>48846.0</v>
      </c>
      <c r="C13" s="52">
        <v>0.06</v>
      </c>
      <c r="D13" s="64">
        <v>6967.0</v>
      </c>
      <c r="E13" s="54">
        <v>0.06</v>
      </c>
      <c r="F13" s="55">
        <v>1901.0</v>
      </c>
      <c r="G13" s="56">
        <v>0.21</v>
      </c>
      <c r="H13" s="55">
        <v>584.0</v>
      </c>
      <c r="I13" s="56">
        <v>0.23</v>
      </c>
      <c r="J13" s="58">
        <v>60645.0</v>
      </c>
      <c r="K13" s="59">
        <v>0.24</v>
      </c>
      <c r="L13" s="58">
        <v>14348.0</v>
      </c>
      <c r="M13" s="59">
        <v>0.14</v>
      </c>
      <c r="N13" s="58">
        <v>74570.0</v>
      </c>
      <c r="O13" s="59">
        <v>0.21</v>
      </c>
    </row>
    <row r="14" ht="14.25" customHeight="1">
      <c r="A14" s="50" t="s">
        <v>65</v>
      </c>
      <c r="B14" s="51">
        <v>21485.0</v>
      </c>
      <c r="C14" s="52">
        <v>0.03</v>
      </c>
      <c r="D14" s="64">
        <v>4348.0</v>
      </c>
      <c r="E14" s="54">
        <v>0.03</v>
      </c>
      <c r="F14" s="55">
        <v>1484.0</v>
      </c>
      <c r="G14" s="56">
        <v>0.16</v>
      </c>
      <c r="H14" s="55">
        <v>821.0</v>
      </c>
      <c r="I14" s="56">
        <v>0.32</v>
      </c>
      <c r="J14" s="58">
        <v>26770.0</v>
      </c>
      <c r="K14" s="59">
        <v>0.1</v>
      </c>
      <c r="L14" s="58">
        <v>10065.0</v>
      </c>
      <c r="M14" s="59">
        <v>0.1</v>
      </c>
      <c r="N14" s="58">
        <v>36739.0</v>
      </c>
      <c r="O14" s="59">
        <v>0.1</v>
      </c>
    </row>
    <row r="15" ht="14.25" customHeight="1">
      <c r="A15" s="50" t="s">
        <v>66</v>
      </c>
      <c r="B15" s="51">
        <v>8790.0</v>
      </c>
      <c r="C15" s="52">
        <v>0.01</v>
      </c>
      <c r="D15" s="64">
        <v>2441.0</v>
      </c>
      <c r="E15" s="54">
        <v>0.02</v>
      </c>
      <c r="F15" s="55">
        <v>671.0</v>
      </c>
      <c r="G15" s="54">
        <v>0.07</v>
      </c>
      <c r="H15" s="55">
        <v>702.0</v>
      </c>
      <c r="I15" s="56">
        <v>0.27</v>
      </c>
      <c r="J15" s="58">
        <v>8099.0</v>
      </c>
      <c r="K15" s="59">
        <v>0.03</v>
      </c>
      <c r="L15" s="58">
        <v>4071.0</v>
      </c>
      <c r="M15" s="59">
        <v>0.04</v>
      </c>
      <c r="N15" s="58">
        <v>12154.0</v>
      </c>
      <c r="O15" s="59">
        <v>0.03</v>
      </c>
    </row>
    <row r="16" ht="14.25" customHeight="1">
      <c r="A16" s="50" t="s">
        <v>67</v>
      </c>
      <c r="B16" s="51">
        <v>1061.0</v>
      </c>
      <c r="C16" s="61" t="s">
        <v>38</v>
      </c>
      <c r="D16" s="64">
        <v>6.0</v>
      </c>
      <c r="E16" s="61" t="s">
        <v>38</v>
      </c>
      <c r="F16" s="55">
        <v>7.0</v>
      </c>
      <c r="G16" s="57" t="s">
        <v>38</v>
      </c>
      <c r="H16" s="64">
        <v>0.0</v>
      </c>
      <c r="I16" s="61" t="s">
        <v>38</v>
      </c>
      <c r="J16" s="62">
        <v>1.0</v>
      </c>
      <c r="K16" s="62" t="s">
        <v>38</v>
      </c>
      <c r="L16" s="62">
        <v>0.0</v>
      </c>
      <c r="M16" s="62" t="s">
        <v>38</v>
      </c>
      <c r="N16" s="62">
        <v>1.0</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56080.0</v>
      </c>
      <c r="C18" s="52">
        <v>0.16</v>
      </c>
      <c r="D18" s="64">
        <v>31970.0</v>
      </c>
      <c r="E18" s="54">
        <v>0.29</v>
      </c>
      <c r="F18" s="70">
        <v>1932.0</v>
      </c>
      <c r="G18" s="71">
        <v>0.26</v>
      </c>
      <c r="H18" s="72">
        <v>214.0</v>
      </c>
      <c r="I18" s="71">
        <v>0.1</v>
      </c>
      <c r="J18" s="73">
        <v>18964.0</v>
      </c>
      <c r="K18" s="74">
        <v>0.08</v>
      </c>
      <c r="L18" s="73">
        <v>8032.0</v>
      </c>
      <c r="M18" s="74">
        <v>0.09</v>
      </c>
      <c r="N18" s="73">
        <v>26407.0</v>
      </c>
      <c r="O18" s="74">
        <v>0.09</v>
      </c>
    </row>
    <row r="19" ht="14.25" customHeight="1">
      <c r="A19" s="50" t="s">
        <v>70</v>
      </c>
      <c r="B19" s="51">
        <v>4766.0</v>
      </c>
      <c r="C19" s="52">
        <v>0.01</v>
      </c>
      <c r="D19" s="64">
        <v>332.0</v>
      </c>
      <c r="E19" s="61" t="s">
        <v>56</v>
      </c>
      <c r="F19" s="70">
        <v>23.0</v>
      </c>
      <c r="G19" s="75" t="s">
        <v>56</v>
      </c>
      <c r="H19" s="72" t="s">
        <v>55</v>
      </c>
      <c r="I19" s="61" t="s">
        <v>38</v>
      </c>
      <c r="J19" s="62">
        <v>580.0</v>
      </c>
      <c r="K19" s="62" t="s">
        <v>56</v>
      </c>
      <c r="L19" s="62">
        <v>209.0</v>
      </c>
      <c r="M19" s="62" t="s">
        <v>56</v>
      </c>
      <c r="N19" s="62">
        <v>769.0</v>
      </c>
      <c r="O19" s="62" t="s">
        <v>56</v>
      </c>
    </row>
    <row r="20" ht="14.25" customHeight="1">
      <c r="A20" s="50" t="s">
        <v>71</v>
      </c>
      <c r="B20" s="51">
        <v>9056.0</v>
      </c>
      <c r="C20" s="52">
        <v>0.03</v>
      </c>
      <c r="D20" s="64">
        <v>2423.0</v>
      </c>
      <c r="E20" s="54">
        <v>0.02</v>
      </c>
      <c r="F20" s="70">
        <v>169.0</v>
      </c>
      <c r="G20" s="71">
        <v>0.02</v>
      </c>
      <c r="H20" s="72">
        <v>38.0</v>
      </c>
      <c r="I20" s="71">
        <v>0.02</v>
      </c>
      <c r="J20" s="73">
        <v>3965.0</v>
      </c>
      <c r="K20" s="74">
        <v>0.02</v>
      </c>
      <c r="L20" s="73">
        <v>1563.0</v>
      </c>
      <c r="M20" s="74">
        <v>0.02</v>
      </c>
      <c r="N20" s="73">
        <v>5426.0</v>
      </c>
      <c r="O20" s="74">
        <v>0.02</v>
      </c>
    </row>
    <row r="21" ht="14.25" customHeight="1">
      <c r="A21" s="50" t="s">
        <v>72</v>
      </c>
      <c r="B21" s="51">
        <v>18922.0</v>
      </c>
      <c r="C21" s="52">
        <v>0.06</v>
      </c>
      <c r="D21" s="64">
        <v>7976.0</v>
      </c>
      <c r="E21" s="54">
        <v>0.07</v>
      </c>
      <c r="F21" s="70">
        <v>610.0</v>
      </c>
      <c r="G21" s="71">
        <v>0.08</v>
      </c>
      <c r="H21" s="72">
        <v>106.0</v>
      </c>
      <c r="I21" s="71">
        <v>0.05</v>
      </c>
      <c r="J21" s="73">
        <v>7684.0</v>
      </c>
      <c r="K21" s="74">
        <v>0.03</v>
      </c>
      <c r="L21" s="73">
        <v>3626.0</v>
      </c>
      <c r="M21" s="74">
        <v>0.04</v>
      </c>
      <c r="N21" s="73">
        <v>11161.0</v>
      </c>
      <c r="O21" s="74">
        <v>0.04</v>
      </c>
    </row>
    <row r="22" ht="15.0" customHeight="1">
      <c r="A22" s="50" t="s">
        <v>73</v>
      </c>
      <c r="B22" s="51">
        <v>536.0</v>
      </c>
      <c r="C22" s="76" t="s">
        <v>56</v>
      </c>
      <c r="D22" s="64">
        <v>0.0</v>
      </c>
      <c r="E22" s="54">
        <v>0.0</v>
      </c>
      <c r="F22" s="70">
        <v>0.0</v>
      </c>
      <c r="G22" s="71">
        <v>0.0</v>
      </c>
      <c r="H22" s="72">
        <v>0.0</v>
      </c>
      <c r="I22" s="71">
        <v>0.0</v>
      </c>
      <c r="J22" s="73">
        <v>364.0</v>
      </c>
      <c r="K22" s="73" t="s">
        <v>56</v>
      </c>
      <c r="L22" s="73">
        <v>117.0</v>
      </c>
      <c r="M22" s="73" t="s">
        <v>56</v>
      </c>
      <c r="N22" s="73">
        <v>475.0</v>
      </c>
      <c r="O22" s="73" t="s">
        <v>56</v>
      </c>
    </row>
    <row r="23" ht="15.0" customHeight="1">
      <c r="A23" s="50" t="s">
        <v>74</v>
      </c>
      <c r="B23" s="51">
        <v>227623.0</v>
      </c>
      <c r="C23" s="52">
        <v>0.67</v>
      </c>
      <c r="D23" s="64">
        <v>62051.0</v>
      </c>
      <c r="E23" s="54">
        <v>0.57</v>
      </c>
      <c r="F23" s="70">
        <v>4438.0</v>
      </c>
      <c r="G23" s="71">
        <v>0.6</v>
      </c>
      <c r="H23" s="72">
        <v>1854.0</v>
      </c>
      <c r="I23" s="71">
        <v>0.84</v>
      </c>
      <c r="J23" s="73">
        <v>180621.0</v>
      </c>
      <c r="K23" s="74">
        <v>0.81</v>
      </c>
      <c r="L23" s="73">
        <v>66509.0</v>
      </c>
      <c r="M23" s="74">
        <v>0.77</v>
      </c>
      <c r="N23" s="73">
        <v>242676.0</v>
      </c>
      <c r="O23" s="74">
        <v>0.8</v>
      </c>
    </row>
    <row r="24" ht="14.25" customHeight="1">
      <c r="A24" s="50" t="s">
        <v>75</v>
      </c>
      <c r="B24" s="51">
        <v>20666.0</v>
      </c>
      <c r="C24" s="52">
        <v>0.06</v>
      </c>
      <c r="D24" s="64">
        <v>2422.0</v>
      </c>
      <c r="E24" s="54">
        <v>0.02</v>
      </c>
      <c r="F24" s="70">
        <v>206.0</v>
      </c>
      <c r="G24" s="71">
        <v>0.03</v>
      </c>
      <c r="H24" s="72" t="s">
        <v>55</v>
      </c>
      <c r="I24" s="75" t="s">
        <v>38</v>
      </c>
      <c r="J24" s="73">
        <v>11455.0</v>
      </c>
      <c r="K24" s="74">
        <v>0.05</v>
      </c>
      <c r="L24" s="73">
        <v>5763.0</v>
      </c>
      <c r="M24" s="74">
        <v>0.07</v>
      </c>
      <c r="N24" s="73">
        <v>16852.0</v>
      </c>
      <c r="O24" s="74">
        <v>0.06</v>
      </c>
    </row>
    <row r="25" ht="14.25" customHeight="1">
      <c r="A25" s="50" t="s">
        <v>76</v>
      </c>
      <c r="B25" s="51">
        <v>4255.0</v>
      </c>
      <c r="C25" s="52">
        <v>0.01</v>
      </c>
      <c r="D25" s="64">
        <v>1274.0</v>
      </c>
      <c r="E25" s="54">
        <v>0.01</v>
      </c>
      <c r="F25" s="70">
        <v>43.0</v>
      </c>
      <c r="G25" s="71">
        <v>0.01</v>
      </c>
      <c r="H25" s="72" t="s">
        <v>55</v>
      </c>
      <c r="I25" s="61" t="s">
        <v>38</v>
      </c>
      <c r="J25" s="62" t="s">
        <v>38</v>
      </c>
      <c r="K25" s="62" t="s">
        <v>38</v>
      </c>
      <c r="L25" s="62" t="s">
        <v>38</v>
      </c>
      <c r="M25" s="62" t="s">
        <v>38</v>
      </c>
      <c r="N25" s="62" t="s">
        <v>38</v>
      </c>
      <c r="O25" s="62" t="s">
        <v>38</v>
      </c>
    </row>
    <row r="26" ht="14.25" customHeight="1">
      <c r="A26" s="50" t="s">
        <v>77</v>
      </c>
      <c r="B26" s="51">
        <v>9819.0</v>
      </c>
      <c r="C26" s="61" t="s">
        <v>38</v>
      </c>
      <c r="D26" s="64">
        <v>2569.0</v>
      </c>
      <c r="E26" s="61" t="s">
        <v>38</v>
      </c>
      <c r="F26" s="70">
        <v>96.0</v>
      </c>
      <c r="G26" s="61" t="s">
        <v>38</v>
      </c>
      <c r="H26" s="72">
        <v>0.0</v>
      </c>
      <c r="I26" s="61" t="s">
        <v>38</v>
      </c>
      <c r="J26" s="62">
        <v>0.0</v>
      </c>
      <c r="K26" s="62" t="s">
        <v>38</v>
      </c>
      <c r="L26" s="62">
        <v>0.0</v>
      </c>
      <c r="M26" s="62" t="s">
        <v>38</v>
      </c>
      <c r="N26" s="62">
        <v>0.0</v>
      </c>
      <c r="O26" s="62" t="s">
        <v>38</v>
      </c>
    </row>
    <row r="27" ht="14.25" customHeight="1">
      <c r="A27" s="50" t="s">
        <v>78</v>
      </c>
      <c r="B27" s="51">
        <v>410410.0</v>
      </c>
      <c r="C27" s="61" t="s">
        <v>38</v>
      </c>
      <c r="D27" s="64">
        <v>14584.0</v>
      </c>
      <c r="E27" s="61" t="s">
        <v>38</v>
      </c>
      <c r="F27" s="70">
        <v>1714.0</v>
      </c>
      <c r="G27" s="76" t="s">
        <v>38</v>
      </c>
      <c r="H27" s="72">
        <v>356.0</v>
      </c>
      <c r="I27" s="61" t="s">
        <v>38</v>
      </c>
      <c r="J27" s="62">
        <v>33150.0</v>
      </c>
      <c r="K27" s="62" t="s">
        <v>38</v>
      </c>
      <c r="L27" s="62">
        <v>19218.0</v>
      </c>
      <c r="M27" s="62" t="s">
        <v>38</v>
      </c>
      <c r="N27" s="62">
        <v>52123.0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356280.0</v>
      </c>
      <c r="C29" s="52">
        <v>0.54</v>
      </c>
      <c r="D29" s="64">
        <v>63843.0</v>
      </c>
      <c r="E29" s="54">
        <v>0.53</v>
      </c>
      <c r="F29" s="72">
        <v>4402.0</v>
      </c>
      <c r="G29" s="52">
        <v>0.5</v>
      </c>
      <c r="H29" s="72">
        <v>1331.0</v>
      </c>
      <c r="I29" s="71">
        <v>0.52</v>
      </c>
      <c r="J29" s="73">
        <v>154872.0</v>
      </c>
      <c r="K29" s="74">
        <v>0.6</v>
      </c>
      <c r="L29" s="73">
        <v>66755.0</v>
      </c>
      <c r="M29" s="74">
        <v>0.64</v>
      </c>
      <c r="N29" s="73">
        <v>218055.0</v>
      </c>
      <c r="O29" s="74">
        <v>0.61</v>
      </c>
    </row>
    <row r="30" ht="14.25" customHeight="1">
      <c r="A30" s="50" t="s">
        <v>81</v>
      </c>
      <c r="B30" s="51">
        <v>301950.0</v>
      </c>
      <c r="C30" s="52">
        <v>0.46</v>
      </c>
      <c r="D30" s="64">
        <v>56530.0</v>
      </c>
      <c r="E30" s="54">
        <v>0.47</v>
      </c>
      <c r="F30" s="72">
        <v>4425.0</v>
      </c>
      <c r="G30" s="52">
        <v>0.5</v>
      </c>
      <c r="H30" s="72">
        <v>1241.0</v>
      </c>
      <c r="I30" s="71">
        <v>0.48</v>
      </c>
      <c r="J30" s="73">
        <v>101703.0</v>
      </c>
      <c r="K30" s="74">
        <v>0.4</v>
      </c>
      <c r="L30" s="73">
        <v>38187.0</v>
      </c>
      <c r="M30" s="74">
        <v>0.36</v>
      </c>
      <c r="N30" s="73">
        <v>137536.0</v>
      </c>
      <c r="O30" s="74">
        <v>0.39</v>
      </c>
    </row>
    <row r="31" ht="14.25" customHeight="1">
      <c r="A31" s="50" t="s">
        <v>82</v>
      </c>
      <c r="B31" s="51">
        <v>196.0</v>
      </c>
      <c r="C31" s="76" t="s">
        <v>56</v>
      </c>
      <c r="D31" s="64">
        <v>172.0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103707.0</v>
      </c>
      <c r="C32" s="76" t="s">
        <v>38</v>
      </c>
      <c r="D32" s="64">
        <v>5056.0</v>
      </c>
      <c r="E32" s="61" t="s">
        <v>38</v>
      </c>
      <c r="F32" s="51">
        <v>390.0</v>
      </c>
      <c r="G32" s="76" t="s">
        <v>38</v>
      </c>
      <c r="H32" s="72">
        <v>0.0</v>
      </c>
      <c r="I32" s="61" t="s">
        <v>38</v>
      </c>
      <c r="J32" s="62">
        <v>208.0</v>
      </c>
      <c r="K32" s="62" t="s">
        <v>38</v>
      </c>
      <c r="L32" s="62">
        <v>95.0</v>
      </c>
      <c r="M32" s="62" t="s">
        <v>38</v>
      </c>
      <c r="N32" s="62">
        <v>298.0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3036.0</v>
      </c>
      <c r="E34" s="54">
        <v>0.05</v>
      </c>
      <c r="F34" s="51">
        <v>98.0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62400.0</v>
      </c>
      <c r="E35" s="54">
        <v>0.95</v>
      </c>
      <c r="F35" s="51">
        <v>3215.0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60165.0</v>
      </c>
      <c r="E36" s="61" t="s">
        <v>38</v>
      </c>
      <c r="F36" s="76">
        <v>5918.0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40336.0</v>
      </c>
      <c r="E38" s="54">
        <v>0.53</v>
      </c>
      <c r="F38" s="76">
        <v>4595.0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35351.0</v>
      </c>
      <c r="E39" s="54">
        <v>0.46</v>
      </c>
      <c r="F39" s="76">
        <v>4617.0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526.0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235.0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23012.0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26141.0</v>
      </c>
      <c r="E43" s="61" t="s">
        <v>38</v>
      </c>
      <c r="F43" s="76">
        <v>17.0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41.0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630.0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1122.0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133.0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65828.0</v>
      </c>
      <c r="E49" s="54">
        <v>0.96</v>
      </c>
      <c r="F49" s="76">
        <v>3405.0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612.0</v>
      </c>
      <c r="E50" s="54">
        <v>0.01</v>
      </c>
      <c r="F50" s="76">
        <v>14.0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28311.0</v>
      </c>
      <c r="E51" s="61" t="s">
        <v>38</v>
      </c>
      <c r="F51" s="76">
        <v>2084.0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28924.0</v>
      </c>
      <c r="E52" s="61" t="s">
        <v>38</v>
      </c>
      <c r="F52" s="76">
        <v>3674.0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44265.0</v>
      </c>
      <c r="D58" s="101"/>
      <c r="E58" s="101"/>
      <c r="F58" s="101"/>
      <c r="G58" s="101"/>
      <c r="H58" s="101"/>
      <c r="I58" s="101"/>
      <c r="J58" s="101"/>
      <c r="K58" s="101"/>
      <c r="L58" s="101"/>
      <c r="M58" s="101"/>
      <c r="N58" s="101"/>
      <c r="O58" s="101"/>
    </row>
  </sheetData>
  <mergeCells count="17">
    <mergeCell ref="A54:L57"/>
    <mergeCell ref="B58:C58"/>
    <mergeCell ref="A53:I53"/>
    <mergeCell ref="B2:C2"/>
    <mergeCell ref="D2:E2"/>
    <mergeCell ref="F2:G2"/>
    <mergeCell ref="H2:I2"/>
    <mergeCell ref="J2:K2"/>
    <mergeCell ref="L2:M2"/>
    <mergeCell ref="N2:O2"/>
    <mergeCell ref="B1:C1"/>
    <mergeCell ref="D1:E1"/>
    <mergeCell ref="F1:G1"/>
    <mergeCell ref="H1:I1"/>
    <mergeCell ref="J1:K1"/>
    <mergeCell ref="L1:M1"/>
    <mergeCell ref="N1:O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44272.0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74.0</v>
      </c>
      <c r="H30" s="75">
        <v>123.0</v>
      </c>
      <c r="I30" s="75">
        <v>98.0</v>
      </c>
      <c r="J30" s="75">
        <v>86.0</v>
      </c>
      <c r="K30" s="75">
        <v>61.0</v>
      </c>
      <c r="L30" s="75">
        <v>33.0</v>
      </c>
      <c r="M30" s="75">
        <v>32.0</v>
      </c>
      <c r="N30" s="75">
        <v>697.0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50.0</v>
      </c>
      <c r="L32" s="75">
        <v>39.0</v>
      </c>
      <c r="M32" s="75">
        <v>26.0</v>
      </c>
      <c r="N32" s="75">
        <v>670.0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193.0</v>
      </c>
      <c r="K39" s="122">
        <v>106.0</v>
      </c>
      <c r="L39" s="122">
        <v>42.0</v>
      </c>
      <c r="M39" s="122">
        <v>38.0</v>
      </c>
      <c r="N39" s="122">
        <v>1223.0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275.0</v>
      </c>
      <c r="G41" s="122">
        <v>270.0</v>
      </c>
      <c r="H41" s="122">
        <v>481.0</v>
      </c>
      <c r="I41" s="122">
        <v>380.0</v>
      </c>
      <c r="J41" s="122">
        <v>337.0</v>
      </c>
      <c r="K41" s="122">
        <v>235.0</v>
      </c>
      <c r="L41" s="122">
        <v>111.0</v>
      </c>
      <c r="M41" s="122">
        <v>64.0</v>
      </c>
      <c r="N41" s="122">
        <v>2468.0</v>
      </c>
    </row>
    <row r="42">
      <c r="A42" s="120" t="s">
        <v>140</v>
      </c>
      <c r="B42" s="122">
        <v>61.0</v>
      </c>
      <c r="C42" s="122">
        <v>71.0</v>
      </c>
      <c r="D42" s="122">
        <v>124.0</v>
      </c>
      <c r="E42" s="122">
        <v>141.0</v>
      </c>
      <c r="F42" s="122">
        <v>314.0</v>
      </c>
      <c r="G42" s="122">
        <v>267.0</v>
      </c>
      <c r="H42" s="122">
        <v>464.0</v>
      </c>
      <c r="I42" s="122">
        <v>449.0</v>
      </c>
      <c r="J42" s="122">
        <v>420.0</v>
      </c>
      <c r="K42" s="122">
        <v>289.0</v>
      </c>
      <c r="L42" s="122">
        <v>154.0</v>
      </c>
      <c r="M42" s="122">
        <v>97.0</v>
      </c>
      <c r="N42" s="122">
        <v>2851.0</v>
      </c>
    </row>
    <row r="43">
      <c r="A43" s="120" t="s">
        <v>141</v>
      </c>
      <c r="B43" s="122">
        <v>65.0</v>
      </c>
      <c r="C43" s="122">
        <v>115.0</v>
      </c>
      <c r="D43" s="122">
        <v>152.0</v>
      </c>
      <c r="E43" s="122">
        <v>199.0</v>
      </c>
      <c r="F43" s="122">
        <v>390.0</v>
      </c>
      <c r="G43" s="122">
        <v>347.0</v>
      </c>
      <c r="H43" s="122">
        <v>585.0</v>
      </c>
      <c r="I43" s="122">
        <v>492.0</v>
      </c>
      <c r="J43" s="122">
        <v>592.0</v>
      </c>
      <c r="K43" s="122">
        <v>397.0</v>
      </c>
      <c r="L43" s="122">
        <v>206.0</v>
      </c>
      <c r="M43" s="122">
        <v>192.0</v>
      </c>
      <c r="N43" s="122">
        <v>3732.0</v>
      </c>
    </row>
    <row r="44">
      <c r="A44" s="120" t="s">
        <v>142</v>
      </c>
      <c r="B44" s="122">
        <v>115.0</v>
      </c>
      <c r="C44" s="122">
        <v>124.0</v>
      </c>
      <c r="D44" s="122">
        <v>207.0</v>
      </c>
      <c r="E44" s="122">
        <v>274.0</v>
      </c>
      <c r="F44" s="122">
        <v>611.0</v>
      </c>
      <c r="G44" s="122">
        <v>564.0</v>
      </c>
      <c r="H44" s="122">
        <v>917.0</v>
      </c>
      <c r="I44" s="122">
        <v>765.0</v>
      </c>
      <c r="J44" s="122">
        <v>888.0</v>
      </c>
      <c r="K44" s="122">
        <v>608.0</v>
      </c>
      <c r="L44" s="122">
        <v>268.0</v>
      </c>
      <c r="M44" s="122">
        <v>207.0</v>
      </c>
      <c r="N44" s="122">
        <v>5548.0</v>
      </c>
    </row>
    <row r="45">
      <c r="A45" s="120" t="s">
        <v>143</v>
      </c>
      <c r="B45" s="122">
        <v>133.0</v>
      </c>
      <c r="C45" s="122">
        <v>151.0</v>
      </c>
      <c r="D45" s="122">
        <v>237.0</v>
      </c>
      <c r="E45" s="122">
        <v>303.0</v>
      </c>
      <c r="F45" s="122">
        <v>778.0</v>
      </c>
      <c r="G45" s="122">
        <v>611.0</v>
      </c>
      <c r="H45" s="122">
        <v>1070.0</v>
      </c>
      <c r="I45" s="122">
        <v>886.0</v>
      </c>
      <c r="J45" s="122">
        <v>1038.0</v>
      </c>
      <c r="K45" s="122">
        <v>692.0</v>
      </c>
      <c r="L45" s="122">
        <v>320.0</v>
      </c>
      <c r="M45" s="122">
        <v>237.0</v>
      </c>
      <c r="N45" s="122">
        <v>6456.0</v>
      </c>
    </row>
    <row r="46">
      <c r="A46" s="120" t="s">
        <v>144</v>
      </c>
      <c r="B46" s="122">
        <v>128.0</v>
      </c>
      <c r="C46" s="122">
        <v>181.0</v>
      </c>
      <c r="D46" s="122">
        <v>204.0</v>
      </c>
      <c r="E46" s="122">
        <v>254.0</v>
      </c>
      <c r="F46" s="122">
        <v>560.0</v>
      </c>
      <c r="G46" s="122">
        <v>521.0</v>
      </c>
      <c r="H46" s="122">
        <v>966.0</v>
      </c>
      <c r="I46" s="122">
        <v>805.0</v>
      </c>
      <c r="J46" s="122">
        <v>935.0</v>
      </c>
      <c r="K46" s="122">
        <v>628.0</v>
      </c>
      <c r="L46" s="122">
        <v>331.0</v>
      </c>
      <c r="M46" s="122">
        <v>370.0</v>
      </c>
      <c r="N46" s="122">
        <v>5883.0</v>
      </c>
    </row>
    <row r="47">
      <c r="A47" s="120" t="s">
        <v>145</v>
      </c>
      <c r="B47" s="122">
        <v>185.0</v>
      </c>
      <c r="C47" s="122">
        <v>246.0</v>
      </c>
      <c r="D47" s="122">
        <v>361.0</v>
      </c>
      <c r="E47" s="122">
        <v>412.0</v>
      </c>
      <c r="F47" s="122">
        <v>910.0</v>
      </c>
      <c r="G47" s="122">
        <v>758.0</v>
      </c>
      <c r="H47" s="122">
        <v>1382.0</v>
      </c>
      <c r="I47" s="122">
        <v>1224.0</v>
      </c>
      <c r="J47" s="122">
        <v>1362.0</v>
      </c>
      <c r="K47" s="122">
        <v>1007.0</v>
      </c>
      <c r="L47" s="122">
        <v>483.0</v>
      </c>
      <c r="M47" s="122">
        <v>453.0</v>
      </c>
      <c r="N47" s="122">
        <v>8783.0</v>
      </c>
    </row>
    <row r="48">
      <c r="A48" s="120" t="s">
        <v>146</v>
      </c>
      <c r="B48" s="122">
        <v>220.0</v>
      </c>
      <c r="C48" s="122">
        <v>261.0</v>
      </c>
      <c r="D48" s="122">
        <v>302.0</v>
      </c>
      <c r="E48" s="122">
        <v>363.0</v>
      </c>
      <c r="F48" s="122">
        <v>830.0</v>
      </c>
      <c r="G48" s="122">
        <v>715.0</v>
      </c>
      <c r="H48" s="122">
        <v>1249.0</v>
      </c>
      <c r="I48" s="122">
        <v>1115.0</v>
      </c>
      <c r="J48" s="122">
        <v>1326.0</v>
      </c>
      <c r="K48" s="122">
        <v>904.0</v>
      </c>
      <c r="L48" s="122">
        <v>452.0</v>
      </c>
      <c r="M48" s="122">
        <v>382.0</v>
      </c>
      <c r="N48" s="122">
        <v>8119.0</v>
      </c>
    </row>
    <row r="49" ht="15.75" customHeight="1">
      <c r="A49" s="120" t="s">
        <v>147</v>
      </c>
      <c r="B49" s="122">
        <v>163.0</v>
      </c>
      <c r="C49" s="122">
        <v>176.0</v>
      </c>
      <c r="D49" s="122">
        <v>242.0</v>
      </c>
      <c r="E49" s="122">
        <v>294.0</v>
      </c>
      <c r="F49" s="122">
        <v>561.0</v>
      </c>
      <c r="G49" s="122">
        <v>514.0</v>
      </c>
      <c r="H49" s="122">
        <v>926.0</v>
      </c>
      <c r="I49" s="122">
        <v>787.0</v>
      </c>
      <c r="J49" s="122">
        <v>932.0</v>
      </c>
      <c r="K49" s="122">
        <v>723.0</v>
      </c>
      <c r="L49" s="122">
        <v>360.0</v>
      </c>
      <c r="M49" s="122">
        <v>364.0</v>
      </c>
      <c r="N49" s="122">
        <v>6043.0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704.0</v>
      </c>
      <c r="G51" s="122">
        <v>652.0</v>
      </c>
      <c r="H51" s="122">
        <v>1060.0</v>
      </c>
      <c r="I51" s="122">
        <v>867.0</v>
      </c>
      <c r="J51" s="122">
        <v>955.0</v>
      </c>
      <c r="K51" s="122">
        <v>785.0</v>
      </c>
      <c r="L51" s="122">
        <v>408.0</v>
      </c>
      <c r="M51" s="122">
        <v>355.0</v>
      </c>
      <c r="N51" s="122">
        <v>6741.0</v>
      </c>
    </row>
    <row r="52" ht="15.75" customHeight="1">
      <c r="A52" s="120" t="s">
        <v>150</v>
      </c>
      <c r="B52" s="122">
        <v>195.0</v>
      </c>
      <c r="C52" s="122">
        <v>224.0</v>
      </c>
      <c r="D52" s="122">
        <v>320.0</v>
      </c>
      <c r="E52" s="122">
        <v>421.0</v>
      </c>
      <c r="F52" s="122">
        <v>861.0</v>
      </c>
      <c r="G52" s="122">
        <v>730.0</v>
      </c>
      <c r="H52" s="122">
        <v>1290.0</v>
      </c>
      <c r="I52" s="122">
        <v>974.0</v>
      </c>
      <c r="J52" s="122">
        <v>1144.0</v>
      </c>
      <c r="K52" s="122">
        <v>802.0</v>
      </c>
      <c r="L52" s="122">
        <v>376.0</v>
      </c>
      <c r="M52" s="122">
        <v>296.0</v>
      </c>
      <c r="N52" s="122">
        <v>7634.0</v>
      </c>
    </row>
    <row r="53" ht="15.75" customHeight="1">
      <c r="A53" s="120" t="s">
        <v>151</v>
      </c>
      <c r="B53" s="122">
        <v>154.0</v>
      </c>
      <c r="C53" s="122">
        <v>223.0</v>
      </c>
      <c r="D53" s="122">
        <v>278.0</v>
      </c>
      <c r="E53" s="122">
        <v>359.0</v>
      </c>
      <c r="F53" s="122">
        <v>643.0</v>
      </c>
      <c r="G53" s="122">
        <v>502.0</v>
      </c>
      <c r="H53" s="122">
        <v>805.0</v>
      </c>
      <c r="I53" s="122">
        <v>770.0</v>
      </c>
      <c r="J53" s="122">
        <v>856.0</v>
      </c>
      <c r="K53" s="122">
        <v>575.0</v>
      </c>
      <c r="L53" s="122">
        <v>319.0</v>
      </c>
      <c r="M53" s="122">
        <v>274.0</v>
      </c>
      <c r="N53" s="122">
        <v>5758.0</v>
      </c>
    </row>
    <row r="54" ht="15.75" customHeight="1">
      <c r="A54" s="120" t="s">
        <v>152</v>
      </c>
      <c r="B54" s="122">
        <v>140.0</v>
      </c>
      <c r="C54" s="122">
        <v>198.0</v>
      </c>
      <c r="D54" s="122">
        <v>226.0</v>
      </c>
      <c r="E54" s="122">
        <v>259.0</v>
      </c>
      <c r="F54" s="122">
        <v>527.0</v>
      </c>
      <c r="G54" s="122">
        <v>383.0</v>
      </c>
      <c r="H54" s="122">
        <v>729.0</v>
      </c>
      <c r="I54" s="122">
        <v>601.0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593.0</v>
      </c>
      <c r="I55" s="122">
        <v>493.0</v>
      </c>
      <c r="J55" s="122">
        <v>525.0</v>
      </c>
      <c r="K55" s="122">
        <v>453.0</v>
      </c>
      <c r="L55" s="122">
        <v>233.0</v>
      </c>
      <c r="M55" s="122">
        <v>185.0</v>
      </c>
      <c r="N55" s="122">
        <v>3969.0</v>
      </c>
    </row>
    <row r="56" ht="15.75" customHeight="1">
      <c r="A56" s="120" t="s">
        <v>154</v>
      </c>
      <c r="B56" s="122">
        <v>92.0</v>
      </c>
      <c r="C56" s="122">
        <v>130.0</v>
      </c>
      <c r="D56" s="122">
        <v>117.0</v>
      </c>
      <c r="E56" s="122">
        <v>172.0</v>
      </c>
      <c r="F56" s="122">
        <v>452.0</v>
      </c>
      <c r="G56" s="122">
        <v>230.0</v>
      </c>
      <c r="H56" s="122">
        <v>442.0</v>
      </c>
      <c r="I56" s="122">
        <v>358.0</v>
      </c>
      <c r="J56" s="122">
        <v>399.0</v>
      </c>
      <c r="K56" s="122">
        <v>319.0</v>
      </c>
      <c r="L56" s="122">
        <v>192.0</v>
      </c>
      <c r="M56" s="122">
        <v>132.0</v>
      </c>
      <c r="N56" s="122">
        <v>3035.0</v>
      </c>
    </row>
    <row r="57" ht="15.75" customHeight="1">
      <c r="A57" s="120" t="s">
        <v>155</v>
      </c>
      <c r="B57" s="122">
        <v>70.0</v>
      </c>
      <c r="C57" s="122">
        <v>96.0</v>
      </c>
      <c r="D57" s="122">
        <v>117.0</v>
      </c>
      <c r="E57" s="122">
        <v>150.0</v>
      </c>
      <c r="F57" s="122">
        <v>448.0</v>
      </c>
      <c r="G57" s="122">
        <v>217.0</v>
      </c>
      <c r="H57" s="122">
        <v>358.0</v>
      </c>
      <c r="I57" s="122">
        <v>267.0</v>
      </c>
      <c r="J57" s="122">
        <v>299.0</v>
      </c>
      <c r="K57" s="122">
        <v>226.0</v>
      </c>
      <c r="L57" s="122">
        <v>131.0</v>
      </c>
      <c r="M57" s="122">
        <v>76.0</v>
      </c>
      <c r="N57" s="122">
        <v>2456.0</v>
      </c>
    </row>
    <row r="58" ht="15.75" customHeight="1">
      <c r="A58" s="120" t="s">
        <v>156</v>
      </c>
      <c r="B58" s="122">
        <v>66.0</v>
      </c>
      <c r="C58" s="122">
        <v>79.0</v>
      </c>
      <c r="D58" s="122">
        <v>75.0</v>
      </c>
      <c r="E58" s="122">
        <v>122.0</v>
      </c>
      <c r="F58" s="122">
        <v>417.0</v>
      </c>
      <c r="G58" s="122">
        <v>162.0</v>
      </c>
      <c r="H58" s="122">
        <v>309.0</v>
      </c>
      <c r="I58" s="122">
        <v>263.0</v>
      </c>
      <c r="J58" s="122">
        <v>293.0</v>
      </c>
      <c r="K58" s="122">
        <v>207.0</v>
      </c>
      <c r="L58" s="122">
        <v>97.0</v>
      </c>
      <c r="M58" s="122">
        <v>43.0</v>
      </c>
      <c r="N58" s="122">
        <v>2133.0</v>
      </c>
    </row>
    <row r="59" ht="15.75" customHeight="1">
      <c r="A59" s="120" t="s">
        <v>157</v>
      </c>
      <c r="B59" s="122">
        <v>77.0</v>
      </c>
      <c r="C59" s="122">
        <v>94.0</v>
      </c>
      <c r="D59" s="122">
        <v>90.0</v>
      </c>
      <c r="E59" s="122">
        <v>209.0</v>
      </c>
      <c r="F59" s="122">
        <v>508.0</v>
      </c>
      <c r="G59" s="122">
        <v>179.0</v>
      </c>
      <c r="H59" s="122">
        <v>343.0</v>
      </c>
      <c r="I59" s="122">
        <v>291.0</v>
      </c>
      <c r="J59" s="122">
        <v>280.0</v>
      </c>
      <c r="K59" s="122">
        <v>213.0</v>
      </c>
      <c r="L59" s="122">
        <v>93.0</v>
      </c>
      <c r="M59" s="122">
        <v>38.0</v>
      </c>
      <c r="N59" s="122">
        <v>2415.0</v>
      </c>
    </row>
    <row r="60" ht="15.75" customHeight="1">
      <c r="A60" s="120" t="s">
        <v>158</v>
      </c>
      <c r="B60" s="122">
        <v>62.0</v>
      </c>
      <c r="C60" s="122">
        <v>95.0</v>
      </c>
      <c r="D60" s="122">
        <v>121.0</v>
      </c>
      <c r="E60" s="122">
        <v>144.0</v>
      </c>
      <c r="F60" s="122">
        <v>499.0</v>
      </c>
      <c r="G60" s="122">
        <v>163.0</v>
      </c>
      <c r="H60" s="122">
        <v>310.0</v>
      </c>
      <c r="I60" s="122">
        <v>264.0</v>
      </c>
      <c r="J60" s="122">
        <v>262.0</v>
      </c>
      <c r="K60" s="122">
        <v>175.0</v>
      </c>
      <c r="L60" s="122">
        <v>74.0</v>
      </c>
      <c r="M60" s="122">
        <v>35.0</v>
      </c>
      <c r="N60" s="122">
        <v>2204.0</v>
      </c>
    </row>
    <row r="61" ht="15.75" customHeight="1">
      <c r="A61" s="120" t="s">
        <v>159</v>
      </c>
      <c r="B61" s="122">
        <v>82.0</v>
      </c>
      <c r="C61" s="122">
        <v>120.0</v>
      </c>
      <c r="D61" s="122">
        <v>130.0</v>
      </c>
      <c r="E61" s="122">
        <v>201.0</v>
      </c>
      <c r="F61" s="122">
        <v>379.0</v>
      </c>
      <c r="G61" s="122">
        <v>173.0</v>
      </c>
      <c r="H61" s="122">
        <v>324.0</v>
      </c>
      <c r="I61" s="122">
        <v>241.0</v>
      </c>
      <c r="J61" s="122">
        <v>285.0</v>
      </c>
      <c r="K61" s="122">
        <v>190.0</v>
      </c>
      <c r="L61" s="122">
        <v>68.0</v>
      </c>
      <c r="M61" s="122">
        <v>41.0</v>
      </c>
      <c r="N61" s="122">
        <v>2234.0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160</v>
      </c>
      <c r="I1" s="103"/>
      <c r="J1" s="103"/>
      <c r="K1" s="104"/>
      <c r="L1" s="105"/>
      <c r="M1" s="106"/>
      <c r="N1" s="105"/>
    </row>
    <row r="2">
      <c r="A2" s="107" t="s">
        <v>161</v>
      </c>
    </row>
    <row r="3">
      <c r="A3" s="107" t="s">
        <v>0</v>
      </c>
      <c r="B3" s="109">
        <v>44272.0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163</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164</v>
      </c>
      <c r="F9" s="119">
        <v>0.0</v>
      </c>
      <c r="G9" s="119">
        <v>0.0</v>
      </c>
      <c r="H9" s="119">
        <v>0.0</v>
      </c>
      <c r="I9" s="119" t="s">
        <v>164</v>
      </c>
      <c r="J9" s="119">
        <v>0.0</v>
      </c>
      <c r="K9" s="119" t="s">
        <v>164</v>
      </c>
      <c r="L9" s="119">
        <v>0.0</v>
      </c>
      <c r="M9" s="119">
        <v>0.0</v>
      </c>
      <c r="N9" s="119" t="s">
        <v>164</v>
      </c>
    </row>
    <row r="10">
      <c r="A10" s="120" t="s">
        <v>107</v>
      </c>
      <c r="B10" s="75" t="s">
        <v>164</v>
      </c>
      <c r="C10" s="75" t="s">
        <v>164</v>
      </c>
      <c r="D10" s="75">
        <v>0.0</v>
      </c>
      <c r="E10" s="75" t="s">
        <v>164</v>
      </c>
      <c r="F10" s="75">
        <v>0.0</v>
      </c>
      <c r="G10" s="75" t="s">
        <v>164</v>
      </c>
      <c r="H10" s="75" t="s">
        <v>164</v>
      </c>
      <c r="I10" s="75" t="s">
        <v>164</v>
      </c>
      <c r="J10" s="75" t="s">
        <v>164</v>
      </c>
      <c r="K10" s="75" t="s">
        <v>164</v>
      </c>
      <c r="L10" s="75" t="s">
        <v>164</v>
      </c>
      <c r="M10" s="75">
        <v>0.0</v>
      </c>
      <c r="N10" s="75">
        <v>1.0</v>
      </c>
    </row>
    <row r="11">
      <c r="A11" s="120" t="s">
        <v>108</v>
      </c>
      <c r="B11" s="75">
        <v>0.0</v>
      </c>
      <c r="C11" s="75">
        <v>0.0</v>
      </c>
      <c r="D11" s="75" t="s">
        <v>164</v>
      </c>
      <c r="E11" s="75" t="s">
        <v>164</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164</v>
      </c>
      <c r="C13" s="75" t="s">
        <v>164</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164</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164</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164</v>
      </c>
      <c r="E26" s="75">
        <v>39.0</v>
      </c>
      <c r="F26" s="75">
        <v>35.0</v>
      </c>
      <c r="G26" s="75">
        <v>52.0</v>
      </c>
      <c r="H26" s="75">
        <v>27.0</v>
      </c>
      <c r="I26" s="75">
        <v>26.0</v>
      </c>
      <c r="J26" s="75">
        <v>27.0</v>
      </c>
      <c r="K26" s="75">
        <v>12.0</v>
      </c>
      <c r="L26" s="75">
        <v>17.0</v>
      </c>
      <c r="M26" s="75">
        <v>25.0</v>
      </c>
      <c r="N26" s="75">
        <v>26.0</v>
      </c>
    </row>
    <row r="27">
      <c r="A27" s="120" t="s">
        <v>124</v>
      </c>
      <c r="B27" s="75" t="s">
        <v>164</v>
      </c>
      <c r="C27" s="75" t="s">
        <v>164</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97.0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290.0</v>
      </c>
      <c r="G42" s="122">
        <v>352.0</v>
      </c>
      <c r="H42" s="122">
        <v>355.0</v>
      </c>
      <c r="I42" s="122">
        <v>305.0</v>
      </c>
      <c r="J42" s="122">
        <v>224.0</v>
      </c>
      <c r="K42" s="122">
        <v>181.0</v>
      </c>
      <c r="L42" s="122">
        <v>147.0</v>
      </c>
      <c r="M42" s="122">
        <v>131.0</v>
      </c>
      <c r="N42" s="122">
        <v>234.0</v>
      </c>
    </row>
    <row r="43">
      <c r="A43" s="120" t="s">
        <v>140</v>
      </c>
      <c r="B43" s="122">
        <v>112.0</v>
      </c>
      <c r="C43" s="122">
        <v>129.0</v>
      </c>
      <c r="D43" s="122">
        <v>210.0</v>
      </c>
      <c r="E43" s="122">
        <v>264.0</v>
      </c>
      <c r="F43" s="122">
        <v>331.0</v>
      </c>
      <c r="G43" s="122">
        <v>349.0</v>
      </c>
      <c r="H43" s="122">
        <v>343.0</v>
      </c>
      <c r="I43" s="122">
        <v>360.0</v>
      </c>
      <c r="J43" s="122">
        <v>279.0</v>
      </c>
      <c r="K43" s="122">
        <v>222.0</v>
      </c>
      <c r="L43" s="122">
        <v>204.0</v>
      </c>
      <c r="M43" s="122">
        <v>199.0</v>
      </c>
      <c r="N43" s="122">
        <v>270.0</v>
      </c>
    </row>
    <row r="44">
      <c r="A44" s="120" t="s">
        <v>141</v>
      </c>
      <c r="B44" s="122">
        <v>119.0</v>
      </c>
      <c r="C44" s="122">
        <v>209.0</v>
      </c>
      <c r="D44" s="122">
        <v>257.0</v>
      </c>
      <c r="E44" s="122">
        <v>372.0</v>
      </c>
      <c r="F44" s="122">
        <v>411.0</v>
      </c>
      <c r="G44" s="122">
        <v>453.0</v>
      </c>
      <c r="H44" s="122">
        <v>432.0</v>
      </c>
      <c r="I44" s="122">
        <v>394.0</v>
      </c>
      <c r="J44" s="122">
        <v>394.0</v>
      </c>
      <c r="K44" s="122">
        <v>305.0</v>
      </c>
      <c r="L44" s="122">
        <v>273.0</v>
      </c>
      <c r="M44" s="122">
        <v>394.0</v>
      </c>
      <c r="N44" s="122">
        <v>353.0</v>
      </c>
    </row>
    <row r="45">
      <c r="A45" s="120" t="s">
        <v>142</v>
      </c>
      <c r="B45" s="122">
        <v>210.0</v>
      </c>
      <c r="C45" s="122">
        <v>225.0</v>
      </c>
      <c r="D45" s="122">
        <v>351.0</v>
      </c>
      <c r="E45" s="122">
        <v>512.0</v>
      </c>
      <c r="F45" s="122">
        <v>644.0</v>
      </c>
      <c r="G45" s="122">
        <v>736.0</v>
      </c>
      <c r="H45" s="122">
        <v>677.0</v>
      </c>
      <c r="I45" s="122">
        <v>613.0</v>
      </c>
      <c r="J45" s="122">
        <v>591.0</v>
      </c>
      <c r="K45" s="122">
        <v>468.0</v>
      </c>
      <c r="L45" s="122">
        <v>355.0</v>
      </c>
      <c r="M45" s="122">
        <v>425.0</v>
      </c>
      <c r="N45" s="122">
        <v>525.0</v>
      </c>
    </row>
    <row r="46">
      <c r="A46" s="120" t="s">
        <v>143</v>
      </c>
      <c r="B46" s="122">
        <v>243.0</v>
      </c>
      <c r="C46" s="122">
        <v>274.0</v>
      </c>
      <c r="D46" s="122">
        <v>401.0</v>
      </c>
      <c r="E46" s="122">
        <v>566.0</v>
      </c>
      <c r="F46" s="122">
        <v>820.0</v>
      </c>
      <c r="G46" s="122">
        <v>798.0</v>
      </c>
      <c r="H46" s="122">
        <v>790.0</v>
      </c>
      <c r="I46" s="122">
        <v>710.0</v>
      </c>
      <c r="J46" s="122">
        <v>691.0</v>
      </c>
      <c r="K46" s="122">
        <v>532.0</v>
      </c>
      <c r="L46" s="122">
        <v>424.0</v>
      </c>
      <c r="M46" s="122">
        <v>487.0</v>
      </c>
      <c r="N46" s="122">
        <v>611.0</v>
      </c>
    </row>
    <row r="47">
      <c r="A47" s="120" t="s">
        <v>144</v>
      </c>
      <c r="B47" s="122">
        <v>234.0</v>
      </c>
      <c r="C47" s="122">
        <v>329.0</v>
      </c>
      <c r="D47" s="122">
        <v>346.0</v>
      </c>
      <c r="E47" s="122">
        <v>475.0</v>
      </c>
      <c r="F47" s="122">
        <v>590.0</v>
      </c>
      <c r="G47" s="122">
        <v>680.0</v>
      </c>
      <c r="H47" s="122">
        <v>714.0</v>
      </c>
      <c r="I47" s="122">
        <v>645.0</v>
      </c>
      <c r="J47" s="122">
        <v>622.0</v>
      </c>
      <c r="K47" s="122">
        <v>483.0</v>
      </c>
      <c r="L47" s="122">
        <v>439.0</v>
      </c>
      <c r="M47" s="122">
        <v>760.0</v>
      </c>
      <c r="N47" s="122">
        <v>557.0</v>
      </c>
    </row>
    <row r="48">
      <c r="A48" s="120" t="s">
        <v>145</v>
      </c>
      <c r="B48" s="122">
        <v>338.0</v>
      </c>
      <c r="C48" s="122">
        <v>447.0</v>
      </c>
      <c r="D48" s="122">
        <v>611.0</v>
      </c>
      <c r="E48" s="122">
        <v>770.0</v>
      </c>
      <c r="F48" s="122">
        <v>960.0</v>
      </c>
      <c r="G48" s="122">
        <v>989.0</v>
      </c>
      <c r="H48" s="122">
        <v>1021.0</v>
      </c>
      <c r="I48" s="122">
        <v>981.0</v>
      </c>
      <c r="J48" s="122">
        <v>906.0</v>
      </c>
      <c r="K48" s="122">
        <v>775.0</v>
      </c>
      <c r="L48" s="122">
        <v>641.0</v>
      </c>
      <c r="M48" s="122">
        <v>930.0</v>
      </c>
      <c r="N48" s="122">
        <v>831.0</v>
      </c>
    </row>
    <row r="49">
      <c r="A49" s="120" t="s">
        <v>146</v>
      </c>
      <c r="B49" s="122">
        <v>402.0</v>
      </c>
      <c r="C49" s="122">
        <v>474.0</v>
      </c>
      <c r="D49" s="122">
        <v>512.0</v>
      </c>
      <c r="E49" s="122">
        <v>678.0</v>
      </c>
      <c r="F49" s="122">
        <v>875.0</v>
      </c>
      <c r="G49" s="122">
        <v>933.0</v>
      </c>
      <c r="H49" s="122">
        <v>923.0</v>
      </c>
      <c r="I49" s="122">
        <v>894.0</v>
      </c>
      <c r="J49" s="122">
        <v>882.0</v>
      </c>
      <c r="K49" s="122">
        <v>695.0</v>
      </c>
      <c r="L49" s="122">
        <v>600.0</v>
      </c>
      <c r="M49" s="122">
        <v>784.0</v>
      </c>
      <c r="N49" s="122">
        <v>768.0</v>
      </c>
    </row>
    <row r="50">
      <c r="A50" s="120" t="s">
        <v>147</v>
      </c>
      <c r="B50" s="122">
        <v>298.0</v>
      </c>
      <c r="C50" s="122">
        <v>320.0</v>
      </c>
      <c r="D50" s="122">
        <v>410.0</v>
      </c>
      <c r="E50" s="122">
        <v>549.0</v>
      </c>
      <c r="F50" s="122">
        <v>592.0</v>
      </c>
      <c r="G50" s="122">
        <v>671.0</v>
      </c>
      <c r="H50" s="122">
        <v>684.0</v>
      </c>
      <c r="I50" s="122">
        <v>631.0</v>
      </c>
      <c r="J50" s="122">
        <v>620.0</v>
      </c>
      <c r="K50" s="122">
        <v>556.0</v>
      </c>
      <c r="L50" s="122">
        <v>477.0</v>
      </c>
      <c r="M50" s="122">
        <v>747.0</v>
      </c>
      <c r="N50" s="122">
        <v>572.0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742.0</v>
      </c>
      <c r="G52" s="122">
        <v>851.0</v>
      </c>
      <c r="H52" s="122">
        <v>783.0</v>
      </c>
      <c r="I52" s="122">
        <v>695.0</v>
      </c>
      <c r="J52" s="122">
        <v>635.0</v>
      </c>
      <c r="K52" s="122">
        <v>604.0</v>
      </c>
      <c r="L52" s="122">
        <v>541.0</v>
      </c>
      <c r="M52" s="122">
        <v>729.0</v>
      </c>
      <c r="N52" s="122">
        <v>638.0</v>
      </c>
    </row>
    <row r="53">
      <c r="A53" s="120" t="s">
        <v>150</v>
      </c>
      <c r="B53" s="122">
        <v>357.0</v>
      </c>
      <c r="C53" s="122">
        <v>407.0</v>
      </c>
      <c r="D53" s="122">
        <v>542.0</v>
      </c>
      <c r="E53" s="122">
        <v>787.0</v>
      </c>
      <c r="F53" s="122">
        <v>908.0</v>
      </c>
      <c r="G53" s="122">
        <v>953.0</v>
      </c>
      <c r="H53" s="122">
        <v>953.0</v>
      </c>
      <c r="I53" s="122">
        <v>781.0</v>
      </c>
      <c r="J53" s="122">
        <v>761.0</v>
      </c>
      <c r="K53" s="122">
        <v>617.0</v>
      </c>
      <c r="L53" s="122">
        <v>499.0</v>
      </c>
      <c r="M53" s="122">
        <v>608.0</v>
      </c>
      <c r="N53" s="122">
        <v>722.0</v>
      </c>
    </row>
    <row r="54">
      <c r="A54" s="120" t="s">
        <v>151</v>
      </c>
      <c r="B54" s="122">
        <v>282.0</v>
      </c>
      <c r="C54" s="122">
        <v>405.0</v>
      </c>
      <c r="D54" s="122">
        <v>471.0</v>
      </c>
      <c r="E54" s="122">
        <v>671.0</v>
      </c>
      <c r="F54" s="122">
        <v>678.0</v>
      </c>
      <c r="G54" s="122">
        <v>655.0</v>
      </c>
      <c r="H54" s="122">
        <v>595.0</v>
      </c>
      <c r="I54" s="122">
        <v>617.0</v>
      </c>
      <c r="J54" s="122">
        <v>569.0</v>
      </c>
      <c r="K54" s="122">
        <v>442.0</v>
      </c>
      <c r="L54" s="122">
        <v>423.0</v>
      </c>
      <c r="M54" s="122">
        <v>562.0</v>
      </c>
      <c r="N54" s="122">
        <v>545.0</v>
      </c>
    </row>
    <row r="55">
      <c r="A55" s="120" t="s">
        <v>152</v>
      </c>
      <c r="B55" s="122">
        <v>256.0</v>
      </c>
      <c r="C55" s="122">
        <v>360.0</v>
      </c>
      <c r="D55" s="122">
        <v>383.0</v>
      </c>
      <c r="E55" s="122">
        <v>484.0</v>
      </c>
      <c r="F55" s="122">
        <v>556.0</v>
      </c>
      <c r="G55" s="122">
        <v>500.0</v>
      </c>
      <c r="H55" s="122">
        <v>539.0</v>
      </c>
      <c r="I55" s="122">
        <v>482.0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438.0</v>
      </c>
      <c r="I56" s="122">
        <v>395.0</v>
      </c>
      <c r="J56" s="122">
        <v>349.0</v>
      </c>
      <c r="K56" s="122">
        <v>348.0</v>
      </c>
      <c r="L56" s="122">
        <v>309.0</v>
      </c>
      <c r="M56" s="122">
        <v>380.0</v>
      </c>
      <c r="N56" s="122">
        <v>376.0</v>
      </c>
    </row>
    <row r="57">
      <c r="A57" s="120" t="s">
        <v>154</v>
      </c>
      <c r="B57" s="122">
        <v>168.0</v>
      </c>
      <c r="C57" s="122">
        <v>236.0</v>
      </c>
      <c r="D57" s="122">
        <v>198.0</v>
      </c>
      <c r="E57" s="122">
        <v>321.0</v>
      </c>
      <c r="F57" s="122">
        <v>477.0</v>
      </c>
      <c r="G57" s="122">
        <v>300.0</v>
      </c>
      <c r="H57" s="122">
        <v>326.0</v>
      </c>
      <c r="I57" s="122">
        <v>287.0</v>
      </c>
      <c r="J57" s="122">
        <v>265.0</v>
      </c>
      <c r="K57" s="122">
        <v>245.0</v>
      </c>
      <c r="L57" s="122">
        <v>255.0</v>
      </c>
      <c r="M57" s="122">
        <v>271.0</v>
      </c>
      <c r="N57" s="122">
        <v>287.0</v>
      </c>
    </row>
    <row r="58">
      <c r="A58" s="120" t="s">
        <v>155</v>
      </c>
      <c r="B58" s="122">
        <v>128.0</v>
      </c>
      <c r="C58" s="122">
        <v>174.0</v>
      </c>
      <c r="D58" s="122">
        <v>198.0</v>
      </c>
      <c r="E58" s="122">
        <v>280.0</v>
      </c>
      <c r="F58" s="122">
        <v>472.0</v>
      </c>
      <c r="G58" s="122">
        <v>283.0</v>
      </c>
      <c r="H58" s="122">
        <v>264.0</v>
      </c>
      <c r="I58" s="122">
        <v>214.0</v>
      </c>
      <c r="J58" s="122">
        <v>199.0</v>
      </c>
      <c r="K58" s="122">
        <v>174.0</v>
      </c>
      <c r="L58" s="122">
        <v>174.0</v>
      </c>
      <c r="M58" s="122">
        <v>156.0</v>
      </c>
      <c r="N58" s="122">
        <v>232.0</v>
      </c>
    </row>
    <row r="59">
      <c r="A59" s="120" t="s">
        <v>156</v>
      </c>
      <c r="B59" s="122">
        <v>121.0</v>
      </c>
      <c r="C59" s="122">
        <v>143.0</v>
      </c>
      <c r="D59" s="122">
        <v>127.0</v>
      </c>
      <c r="E59" s="122">
        <v>228.0</v>
      </c>
      <c r="F59" s="122">
        <v>440.0</v>
      </c>
      <c r="G59" s="122">
        <v>211.0</v>
      </c>
      <c r="H59" s="122">
        <v>228.0</v>
      </c>
      <c r="I59" s="122">
        <v>211.0</v>
      </c>
      <c r="J59" s="122">
        <v>195.0</v>
      </c>
      <c r="K59" s="122">
        <v>159.0</v>
      </c>
      <c r="L59" s="122">
        <v>129.0</v>
      </c>
      <c r="M59" s="122">
        <v>88.0</v>
      </c>
      <c r="N59" s="122">
        <v>202.0</v>
      </c>
    </row>
    <row r="60">
      <c r="A60" s="120" t="s">
        <v>157</v>
      </c>
      <c r="B60" s="122">
        <v>141.0</v>
      </c>
      <c r="C60" s="122">
        <v>171.0</v>
      </c>
      <c r="D60" s="122">
        <v>152.0</v>
      </c>
      <c r="E60" s="122">
        <v>391.0</v>
      </c>
      <c r="F60" s="122">
        <v>536.0</v>
      </c>
      <c r="G60" s="122">
        <v>234.0</v>
      </c>
      <c r="H60" s="122">
        <v>253.0</v>
      </c>
      <c r="I60" s="122">
        <v>233.0</v>
      </c>
      <c r="J60" s="122">
        <v>186.0</v>
      </c>
      <c r="K60" s="122">
        <v>164.0</v>
      </c>
      <c r="L60" s="122">
        <v>123.0</v>
      </c>
      <c r="M60" s="122">
        <v>78.0</v>
      </c>
      <c r="N60" s="122">
        <v>229.0</v>
      </c>
    </row>
    <row r="61">
      <c r="A61" s="120" t="s">
        <v>158</v>
      </c>
      <c r="B61" s="122">
        <v>113.0</v>
      </c>
      <c r="C61" s="122">
        <v>173.0</v>
      </c>
      <c r="D61" s="122">
        <v>205.0</v>
      </c>
      <c r="E61" s="122">
        <v>269.0</v>
      </c>
      <c r="F61" s="122">
        <v>526.0</v>
      </c>
      <c r="G61" s="122">
        <v>213.0</v>
      </c>
      <c r="H61" s="122">
        <v>229.0</v>
      </c>
      <c r="I61" s="122">
        <v>212.0</v>
      </c>
      <c r="J61" s="122">
        <v>174.0</v>
      </c>
      <c r="K61" s="122">
        <v>135.0</v>
      </c>
      <c r="L61" s="122">
        <v>98.0</v>
      </c>
      <c r="M61" s="122">
        <v>72.0</v>
      </c>
      <c r="N61" s="122">
        <v>209.0</v>
      </c>
    </row>
    <row r="62">
      <c r="A62" s="120" t="s">
        <v>159</v>
      </c>
      <c r="B62" s="122">
        <v>150.0</v>
      </c>
      <c r="C62" s="122">
        <v>218.0</v>
      </c>
      <c r="D62" s="122">
        <v>220.0</v>
      </c>
      <c r="E62" s="122">
        <v>376.0</v>
      </c>
      <c r="F62" s="122">
        <v>400.0</v>
      </c>
      <c r="G62" s="122">
        <v>226.0</v>
      </c>
      <c r="H62" s="122">
        <v>239.0</v>
      </c>
      <c r="I62" s="122">
        <v>193.0</v>
      </c>
      <c r="J62" s="122">
        <v>190.0</v>
      </c>
      <c r="K62" s="122">
        <v>146.0</v>
      </c>
      <c r="L62" s="122">
        <v>90.0</v>
      </c>
      <c r="M62" s="122">
        <v>84.0</v>
      </c>
      <c r="N62" s="122">
        <v>211.0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165</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166</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167</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168</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169</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170</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171</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168</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163</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164</v>
      </c>
      <c r="I9" s="75">
        <v>0.0</v>
      </c>
      <c r="J9" s="75" t="s">
        <v>164</v>
      </c>
      <c r="K9" s="75" t="s">
        <v>164</v>
      </c>
      <c r="L9" s="75">
        <v>7.0</v>
      </c>
      <c r="M9" s="75" t="s">
        <v>164</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164</v>
      </c>
      <c r="H10" s="75" t="s">
        <v>164</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164</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164</v>
      </c>
      <c r="E12" s="75">
        <v>0.0</v>
      </c>
      <c r="F12" s="75">
        <v>0.0</v>
      </c>
      <c r="G12" s="75">
        <v>0.0</v>
      </c>
      <c r="H12" s="75">
        <v>0.0</v>
      </c>
      <c r="I12" s="75" t="s">
        <v>164</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164</v>
      </c>
      <c r="H13" s="75">
        <v>0.0</v>
      </c>
      <c r="I13" s="75" t="s">
        <v>164</v>
      </c>
      <c r="J13" s="75" t="s">
        <v>164</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164</v>
      </c>
      <c r="G14" s="75">
        <v>0.0</v>
      </c>
      <c r="H14" s="75">
        <v>0.0</v>
      </c>
      <c r="I14" s="75" t="s">
        <v>164</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164</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164</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164</v>
      </c>
      <c r="H17" s="75">
        <v>0.0</v>
      </c>
      <c r="I17" s="75" t="s">
        <v>164</v>
      </c>
      <c r="J17" s="75">
        <v>5.0</v>
      </c>
      <c r="K17" s="75">
        <v>22.0</v>
      </c>
      <c r="L17" s="75">
        <v>44.0</v>
      </c>
      <c r="M17" s="75">
        <v>261.0</v>
      </c>
      <c r="N17" s="75">
        <v>19.0</v>
      </c>
    </row>
    <row r="18">
      <c r="A18" s="128">
        <v>44166.0</v>
      </c>
      <c r="B18" s="75" t="s">
        <v>164</v>
      </c>
      <c r="C18" s="75">
        <v>0.0</v>
      </c>
      <c r="D18" s="75">
        <v>0.0</v>
      </c>
      <c r="E18" s="75">
        <v>0.0</v>
      </c>
      <c r="F18" s="75">
        <v>0.0</v>
      </c>
      <c r="G18" s="75" t="s">
        <v>164</v>
      </c>
      <c r="H18" s="75" t="s">
        <v>164</v>
      </c>
      <c r="I18" s="75">
        <v>6.0</v>
      </c>
      <c r="J18" s="75">
        <v>12.0</v>
      </c>
      <c r="K18" s="75">
        <v>47.0</v>
      </c>
      <c r="L18" s="75">
        <v>153.0</v>
      </c>
      <c r="M18" s="75">
        <v>632.0</v>
      </c>
      <c r="N18" s="75">
        <v>49.0</v>
      </c>
    </row>
    <row r="19">
      <c r="A19" s="128">
        <v>44197.0</v>
      </c>
      <c r="B19" s="75">
        <v>0.0</v>
      </c>
      <c r="C19" s="75">
        <v>0.0</v>
      </c>
      <c r="D19" s="75">
        <v>0.0</v>
      </c>
      <c r="E19" s="75">
        <v>0.0</v>
      </c>
      <c r="F19" s="75">
        <v>0.0</v>
      </c>
      <c r="G19" s="75">
        <v>0.0</v>
      </c>
      <c r="H19" s="75" t="s">
        <v>164</v>
      </c>
      <c r="I19" s="75" t="s">
        <v>164</v>
      </c>
      <c r="J19" s="75">
        <v>13.0</v>
      </c>
      <c r="K19" s="75">
        <v>46.0</v>
      </c>
      <c r="L19" s="75">
        <v>121.0</v>
      </c>
      <c r="M19" s="75">
        <v>509.0</v>
      </c>
      <c r="N19" s="75">
        <v>40.0</v>
      </c>
    </row>
    <row r="20">
      <c r="A20" s="128">
        <v>44228.0</v>
      </c>
      <c r="B20" s="75">
        <v>0.0</v>
      </c>
      <c r="C20" s="75">
        <v>0.0</v>
      </c>
      <c r="D20" s="75">
        <v>0.0</v>
      </c>
      <c r="E20" s="75">
        <v>0.0</v>
      </c>
      <c r="F20" s="75" t="s">
        <v>164</v>
      </c>
      <c r="G20" s="75">
        <v>0.0</v>
      </c>
      <c r="H20" s="75">
        <v>0.0</v>
      </c>
      <c r="I20" s="75" t="s">
        <v>164</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172</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173</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174</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175</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1396.0</v>
      </c>
      <c r="I9" s="140">
        <v>1172.0</v>
      </c>
      <c r="J9" s="140">
        <v>1531.0</v>
      </c>
      <c r="K9" s="140">
        <v>1085.0</v>
      </c>
      <c r="L9" s="122">
        <v>161.0</v>
      </c>
      <c r="M9" s="122">
        <v>23.0</v>
      </c>
      <c r="N9" s="140">
        <v>6293.0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1010.0</v>
      </c>
      <c r="H10" s="140">
        <v>2065.0</v>
      </c>
      <c r="I10" s="140">
        <v>2029.0</v>
      </c>
      <c r="J10" s="140">
        <v>2668.0</v>
      </c>
      <c r="K10" s="140">
        <v>2038.0</v>
      </c>
      <c r="L10" s="122">
        <v>661.0</v>
      </c>
      <c r="M10" s="122">
        <v>802.0</v>
      </c>
      <c r="N10" s="140">
        <v>11917.0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852.0</v>
      </c>
      <c r="H11" s="140">
        <v>1771.0</v>
      </c>
      <c r="I11" s="140">
        <v>1959.0</v>
      </c>
      <c r="J11" s="140">
        <v>2540.0</v>
      </c>
      <c r="K11" s="140">
        <v>2046.0</v>
      </c>
      <c r="L11" s="122">
        <v>923.0</v>
      </c>
      <c r="M11" s="140">
        <v>1246.0</v>
      </c>
      <c r="N11" s="140">
        <v>11957.0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626.0</v>
      </c>
      <c r="G12" s="122">
        <v>710.0</v>
      </c>
      <c r="H12" s="140">
        <v>1362.0</v>
      </c>
      <c r="I12" s="140">
        <v>1464.0</v>
      </c>
      <c r="J12" s="140">
        <v>2127.0</v>
      </c>
      <c r="K12" s="140">
        <v>1751.0</v>
      </c>
      <c r="L12" s="122">
        <v>806.0</v>
      </c>
      <c r="M12" s="140">
        <v>1122.0</v>
      </c>
      <c r="N12" s="140">
        <v>10030.0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724.0</v>
      </c>
      <c r="H13" s="140">
        <v>1513.0</v>
      </c>
      <c r="I13" s="140">
        <v>1591.0</v>
      </c>
      <c r="J13" s="140">
        <v>1996.0</v>
      </c>
      <c r="K13" s="140">
        <v>1947.0</v>
      </c>
      <c r="L13" s="140">
        <v>1089.0</v>
      </c>
      <c r="M13" s="140">
        <v>1383.0</v>
      </c>
      <c r="N13" s="140">
        <v>11184.0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638.0</v>
      </c>
      <c r="G14" s="122">
        <v>798.0</v>
      </c>
      <c r="H14" s="140">
        <v>1704.0</v>
      </c>
      <c r="I14" s="140">
        <v>1841.0</v>
      </c>
      <c r="J14" s="140">
        <v>2378.0</v>
      </c>
      <c r="K14" s="140">
        <v>2100.0</v>
      </c>
      <c r="L14" s="140">
        <v>1996.0</v>
      </c>
      <c r="M14" s="140">
        <v>2645.0</v>
      </c>
      <c r="N14" s="140">
        <v>14161.0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576.0</v>
      </c>
      <c r="H15" s="140">
        <v>1250.0</v>
      </c>
      <c r="I15" s="140">
        <v>1841.0</v>
      </c>
      <c r="J15" s="140">
        <v>2488.0</v>
      </c>
      <c r="K15" s="140">
        <v>2922.0</v>
      </c>
      <c r="L15" s="140">
        <v>3314.0</v>
      </c>
      <c r="M15" s="140">
        <v>3720.0</v>
      </c>
      <c r="N15" s="140">
        <v>16665.0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1738.0</v>
      </c>
      <c r="I16" s="140">
        <v>1351.0</v>
      </c>
      <c r="J16" s="140">
        <v>1716.0</v>
      </c>
      <c r="K16" s="140">
        <v>2048.0</v>
      </c>
      <c r="L16" s="140">
        <v>4301.0</v>
      </c>
      <c r="M16" s="140">
        <v>3817.0</v>
      </c>
      <c r="N16" s="140">
        <v>16418.0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684.0</v>
      </c>
      <c r="G17" s="122">
        <v>629.0</v>
      </c>
      <c r="H17" s="140">
        <v>1334.0</v>
      </c>
      <c r="I17" s="140">
        <v>1328.0</v>
      </c>
      <c r="J17" s="140">
        <v>1950.0</v>
      </c>
      <c r="K17" s="140">
        <v>4657.0</v>
      </c>
      <c r="L17" s="140">
        <v>11999.0</v>
      </c>
      <c r="M17" s="140">
        <v>9917.0</v>
      </c>
      <c r="N17" s="140">
        <v>32563.0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296.0</v>
      </c>
      <c r="G18" s="122">
        <v>286.0</v>
      </c>
      <c r="H18" s="122">
        <v>742.0</v>
      </c>
      <c r="I18" s="122">
        <v>954.0</v>
      </c>
      <c r="J18" s="140">
        <v>1496.0</v>
      </c>
      <c r="K18" s="140">
        <v>16772.0</v>
      </c>
      <c r="L18" s="140">
        <v>17917.0</v>
      </c>
      <c r="M18" s="140">
        <v>6008.0</v>
      </c>
      <c r="N18" s="140">
        <v>44522.0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70.0</v>
      </c>
      <c r="F19" s="122">
        <v>595.0</v>
      </c>
      <c r="G19" s="122">
        <v>739.0</v>
      </c>
      <c r="H19" s="140">
        <v>2033.0</v>
      </c>
      <c r="I19" s="140">
        <v>2519.0</v>
      </c>
      <c r="J19" s="140">
        <v>4053.0</v>
      </c>
      <c r="K19" s="140">
        <v>14798.0</v>
      </c>
      <c r="L19" s="140">
        <v>12153.0</v>
      </c>
      <c r="M19" s="140">
        <v>2734.0</v>
      </c>
      <c r="N19" s="140">
        <v>39694.0</v>
      </c>
    </row>
    <row r="20">
      <c r="A20" s="139" t="s">
        <v>159</v>
      </c>
      <c r="B20" s="122">
        <v>0.0</v>
      </c>
      <c r="C20" s="122">
        <v>0.0</v>
      </c>
      <c r="D20" s="122">
        <v>0.0</v>
      </c>
      <c r="E20" s="122">
        <v>139.0</v>
      </c>
      <c r="F20" s="140">
        <v>1145.0</v>
      </c>
      <c r="G20" s="140">
        <v>1204.0</v>
      </c>
      <c r="H20" s="140">
        <v>3248.0</v>
      </c>
      <c r="I20" s="140">
        <v>4191.0</v>
      </c>
      <c r="J20" s="140">
        <v>6247.0</v>
      </c>
      <c r="K20" s="140">
        <v>9502.0</v>
      </c>
      <c r="L20" s="140">
        <v>4837.0</v>
      </c>
      <c r="M20" s="140">
        <v>1336.0</v>
      </c>
      <c r="N20" s="140">
        <v>31850.0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177</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178</v>
      </c>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179</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175</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163</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164</v>
      </c>
      <c r="F9" s="137">
        <v>130.0</v>
      </c>
      <c r="G9" s="137">
        <v>534.0</v>
      </c>
      <c r="H9" s="137">
        <v>674.0</v>
      </c>
      <c r="I9" s="137">
        <v>567.0</v>
      </c>
      <c r="J9" s="137">
        <v>550.0</v>
      </c>
      <c r="K9" s="137">
        <v>422.0</v>
      </c>
      <c r="L9" s="137">
        <v>86.0</v>
      </c>
      <c r="M9" s="137" t="s">
        <v>164</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164</v>
      </c>
      <c r="F10" s="122">
        <v>284.0</v>
      </c>
      <c r="G10" s="122">
        <v>852.0</v>
      </c>
      <c r="H10" s="140">
        <v>1031.0</v>
      </c>
      <c r="I10" s="122">
        <v>939.0</v>
      </c>
      <c r="J10" s="140">
        <v>1019.0</v>
      </c>
      <c r="K10" s="122">
        <v>835.0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164</v>
      </c>
      <c r="E11" s="122">
        <v>75.0</v>
      </c>
      <c r="F11" s="122">
        <v>645.0</v>
      </c>
      <c r="G11" s="140">
        <v>1318.0</v>
      </c>
      <c r="H11" s="140">
        <v>1525.0</v>
      </c>
      <c r="I11" s="140">
        <v>1626.0</v>
      </c>
      <c r="J11" s="140">
        <v>1775.0</v>
      </c>
      <c r="K11" s="140">
        <v>1568.0</v>
      </c>
      <c r="L11" s="122">
        <v>877.0</v>
      </c>
      <c r="M11" s="140">
        <v>1646.0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1112.0</v>
      </c>
      <c r="H12" s="140">
        <v>1308.0</v>
      </c>
      <c r="I12" s="140">
        <v>1570.0</v>
      </c>
      <c r="J12" s="140">
        <v>1690.0</v>
      </c>
      <c r="K12" s="140">
        <v>1574.0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164</v>
      </c>
      <c r="E13" s="122">
        <v>148.0</v>
      </c>
      <c r="F13" s="122">
        <v>660.0</v>
      </c>
      <c r="G13" s="122">
        <v>927.0</v>
      </c>
      <c r="H13" s="140">
        <v>1006.0</v>
      </c>
      <c r="I13" s="140">
        <v>1173.0</v>
      </c>
      <c r="J13" s="140">
        <v>1415.0</v>
      </c>
      <c r="K13" s="140">
        <v>1347.0</v>
      </c>
      <c r="L13" s="140">
        <v>1069.0</v>
      </c>
      <c r="M13" s="140">
        <v>2303.0</v>
      </c>
      <c r="N13" s="122">
        <v>949.0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945.0</v>
      </c>
      <c r="H14" s="140">
        <v>1118.0</v>
      </c>
      <c r="I14" s="140">
        <v>1275.0</v>
      </c>
      <c r="J14" s="140">
        <v>1328.0</v>
      </c>
      <c r="K14" s="140">
        <v>1498.0</v>
      </c>
      <c r="L14" s="140">
        <v>1444.0</v>
      </c>
      <c r="M14" s="140">
        <v>2839.0</v>
      </c>
      <c r="N14" s="140">
        <v>1058.0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673.0</v>
      </c>
      <c r="G15" s="140">
        <v>1042.0</v>
      </c>
      <c r="H15" s="140">
        <v>1259.0</v>
      </c>
      <c r="I15" s="140">
        <v>1476.0</v>
      </c>
      <c r="J15" s="140">
        <v>1582.0</v>
      </c>
      <c r="K15" s="140">
        <v>1616.0</v>
      </c>
      <c r="L15" s="140">
        <v>2647.0</v>
      </c>
      <c r="M15" s="140">
        <v>5430.0</v>
      </c>
      <c r="N15" s="140">
        <v>1340.0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752.0</v>
      </c>
      <c r="H16" s="122">
        <v>923.0</v>
      </c>
      <c r="I16" s="140">
        <v>1476.0</v>
      </c>
      <c r="J16" s="140">
        <v>1655.0</v>
      </c>
      <c r="K16" s="140">
        <v>2248.0</v>
      </c>
      <c r="L16" s="140">
        <v>4396.0</v>
      </c>
      <c r="M16" s="140">
        <v>7637.0</v>
      </c>
      <c r="N16" s="140">
        <v>1577.0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1284.0</v>
      </c>
      <c r="I17" s="140">
        <v>1083.0</v>
      </c>
      <c r="J17" s="140">
        <v>1142.0</v>
      </c>
      <c r="K17" s="140">
        <v>1576.0</v>
      </c>
      <c r="L17" s="140">
        <v>5705.0</v>
      </c>
      <c r="M17" s="140">
        <v>7836.0</v>
      </c>
      <c r="N17" s="140">
        <v>1554.0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721.0</v>
      </c>
      <c r="G18" s="122">
        <v>821.0</v>
      </c>
      <c r="H18" s="122">
        <v>985.0</v>
      </c>
      <c r="I18" s="140">
        <v>1064.0</v>
      </c>
      <c r="J18" s="140">
        <v>1297.0</v>
      </c>
      <c r="K18" s="140">
        <v>3583.0</v>
      </c>
      <c r="L18" s="140">
        <v>15915.0</v>
      </c>
      <c r="M18" s="140">
        <v>20358.0</v>
      </c>
      <c r="N18" s="140">
        <v>3082.0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312.0</v>
      </c>
      <c r="G19" s="122">
        <v>373.0</v>
      </c>
      <c r="H19" s="122">
        <v>548.0</v>
      </c>
      <c r="I19" s="122">
        <v>765.0</v>
      </c>
      <c r="J19" s="122">
        <v>995.0</v>
      </c>
      <c r="K19" s="140">
        <v>12903.0</v>
      </c>
      <c r="L19" s="140">
        <v>23765.0</v>
      </c>
      <c r="M19" s="140">
        <v>12333.0</v>
      </c>
      <c r="N19" s="140">
        <v>4214.0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170.0</v>
      </c>
      <c r="F20" s="122">
        <v>627.0</v>
      </c>
      <c r="G20" s="122">
        <v>965.0</v>
      </c>
      <c r="H20" s="140">
        <v>1502.0</v>
      </c>
      <c r="I20" s="140">
        <v>2019.0</v>
      </c>
      <c r="J20" s="140">
        <v>2696.0</v>
      </c>
      <c r="K20" s="140">
        <v>11384.0</v>
      </c>
      <c r="L20" s="140">
        <v>16120.0</v>
      </c>
      <c r="M20" s="140">
        <v>5612.0</v>
      </c>
      <c r="N20" s="140">
        <v>3757.0</v>
      </c>
    </row>
    <row r="21">
      <c r="A21" s="139" t="s">
        <v>159</v>
      </c>
      <c r="B21" s="122">
        <v>0.0</v>
      </c>
      <c r="C21" s="122">
        <v>0.0</v>
      </c>
      <c r="D21" s="122">
        <v>0.0</v>
      </c>
      <c r="E21" s="122">
        <v>338.0</v>
      </c>
      <c r="F21" s="140">
        <v>1207.0</v>
      </c>
      <c r="G21" s="140">
        <v>1572.0</v>
      </c>
      <c r="H21" s="140">
        <v>2399.0</v>
      </c>
      <c r="I21" s="140">
        <v>3359.0</v>
      </c>
      <c r="J21" s="140">
        <v>4156.0</v>
      </c>
      <c r="K21" s="140">
        <v>7310.0</v>
      </c>
      <c r="L21" s="140">
        <v>6416.0</v>
      </c>
      <c r="M21" s="140">
        <v>2743.0</v>
      </c>
      <c r="N21" s="140">
        <v>3014.0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180</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173</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181</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182</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560.0</v>
      </c>
      <c r="L11" s="122">
        <v>71.0</v>
      </c>
      <c r="M11" s="122" t="s">
        <v>55</v>
      </c>
      <c r="N11" s="140">
        <v>3499.0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338.0</v>
      </c>
      <c r="H13" s="122">
        <v>498.0</v>
      </c>
      <c r="I13" s="122">
        <v>486.0</v>
      </c>
      <c r="J13" s="122">
        <v>692.0</v>
      </c>
      <c r="K13" s="122">
        <v>621.0</v>
      </c>
      <c r="L13" s="122">
        <v>272.0</v>
      </c>
      <c r="M13" s="122">
        <v>533.0</v>
      </c>
      <c r="N13" s="140">
        <v>3644.0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2031.0</v>
      </c>
      <c r="J14" s="140">
        <v>2744.0</v>
      </c>
      <c r="K14" s="140">
        <v>2144.0</v>
      </c>
      <c r="L14" s="122">
        <v>854.0</v>
      </c>
      <c r="M14" s="140">
        <v>1131.0</v>
      </c>
      <c r="N14" s="140">
        <v>12327.0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713.0</v>
      </c>
      <c r="H15" s="140">
        <v>1465.0</v>
      </c>
      <c r="I15" s="140">
        <v>1544.0</v>
      </c>
      <c r="J15" s="140">
        <v>2022.0</v>
      </c>
      <c r="K15" s="140">
        <v>1572.0</v>
      </c>
      <c r="L15" s="122">
        <v>603.0</v>
      </c>
      <c r="M15" s="122">
        <v>787.0</v>
      </c>
      <c r="N15" s="140">
        <v>9240.0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761.0</v>
      </c>
      <c r="H16" s="140">
        <v>1585.0</v>
      </c>
      <c r="I16" s="140">
        <v>1646.0</v>
      </c>
      <c r="J16" s="140">
        <v>2339.0</v>
      </c>
      <c r="K16" s="140">
        <v>2115.0</v>
      </c>
      <c r="L16" s="140">
        <v>1060.0</v>
      </c>
      <c r="M16" s="140">
        <v>1355.0</v>
      </c>
      <c r="N16" s="140">
        <v>11572.0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808.0</v>
      </c>
      <c r="G17" s="122">
        <v>645.0</v>
      </c>
      <c r="H17" s="140">
        <v>1374.0</v>
      </c>
      <c r="I17" s="140">
        <v>1421.0</v>
      </c>
      <c r="J17" s="140">
        <v>1836.0</v>
      </c>
      <c r="K17" s="140">
        <v>1866.0</v>
      </c>
      <c r="L17" s="140">
        <v>1319.0</v>
      </c>
      <c r="M17" s="140">
        <v>1315.0</v>
      </c>
      <c r="N17" s="140">
        <v>10639.0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536.0</v>
      </c>
      <c r="G18" s="122">
        <v>675.0</v>
      </c>
      <c r="H18" s="140">
        <v>1526.0</v>
      </c>
      <c r="I18" s="140">
        <v>1713.0</v>
      </c>
      <c r="J18" s="140">
        <v>2236.0</v>
      </c>
      <c r="K18" s="140">
        <v>2162.0</v>
      </c>
      <c r="L18" s="140">
        <v>2105.0</v>
      </c>
      <c r="M18" s="140">
        <v>2724.0</v>
      </c>
      <c r="N18" s="140">
        <v>13744.0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1257.0</v>
      </c>
      <c r="I19" s="140">
        <v>1631.0</v>
      </c>
      <c r="J19" s="140">
        <v>2156.0</v>
      </c>
      <c r="K19" s="140">
        <v>2405.0</v>
      </c>
      <c r="L19" s="140">
        <v>2982.0</v>
      </c>
      <c r="M19" s="140">
        <v>3212.0</v>
      </c>
      <c r="N19" s="140">
        <v>14800.0</v>
      </c>
    </row>
    <row r="20">
      <c r="A20" s="139" t="s">
        <v>159</v>
      </c>
      <c r="B20" s="122">
        <v>0.0</v>
      </c>
      <c r="C20" s="122">
        <v>0.0</v>
      </c>
      <c r="D20" s="122">
        <v>0.0</v>
      </c>
      <c r="E20" s="122">
        <v>53.0</v>
      </c>
      <c r="F20" s="122">
        <v>582.0</v>
      </c>
      <c r="G20" s="122">
        <v>682.0</v>
      </c>
      <c r="H20" s="140">
        <v>1733.0</v>
      </c>
      <c r="I20" s="140">
        <v>2018.0</v>
      </c>
      <c r="J20" s="140">
        <v>2889.0</v>
      </c>
      <c r="K20" s="140">
        <v>3918.0</v>
      </c>
      <c r="L20" s="140">
        <v>4940.0</v>
      </c>
      <c r="M20" s="140">
        <v>3051.0</v>
      </c>
      <c r="N20" s="140">
        <v>19866.0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183</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178</v>
      </c>
      <c r="Y2" s="105"/>
      <c r="Z2" s="105"/>
      <c r="AA2" s="105"/>
      <c r="AB2" s="105"/>
      <c r="AC2" s="105"/>
      <c r="AD2" s="105"/>
      <c r="AE2" s="105"/>
      <c r="AF2" s="105"/>
      <c r="AG2" s="105"/>
      <c r="AH2" s="105"/>
      <c r="AI2" s="105"/>
      <c r="AJ2" s="105"/>
    </row>
    <row r="3">
      <c r="A3" s="107" t="s">
        <v>0</v>
      </c>
      <c r="B3" s="109">
        <v>44272.0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179</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182</v>
      </c>
      <c r="B7" s="134" t="s">
        <v>54</v>
      </c>
      <c r="C7" s="135">
        <v>44325.0</v>
      </c>
      <c r="D7" s="135">
        <v>44484.0</v>
      </c>
      <c r="E7" s="134" t="s">
        <v>176</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163</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164</v>
      </c>
      <c r="H11" s="122">
        <v>4.0</v>
      </c>
      <c r="I11" s="122" t="s">
        <v>164</v>
      </c>
      <c r="J11" s="122" t="s">
        <v>164</v>
      </c>
      <c r="K11" s="122" t="s">
        <v>164</v>
      </c>
      <c r="L11" s="122" t="s">
        <v>164</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164</v>
      </c>
      <c r="F12" s="122">
        <v>118.0</v>
      </c>
      <c r="G12" s="122">
        <v>475.0</v>
      </c>
      <c r="H12" s="122">
        <v>646.0</v>
      </c>
      <c r="I12" s="122">
        <v>559.0</v>
      </c>
      <c r="J12" s="122">
        <v>542.0</v>
      </c>
      <c r="K12" s="122">
        <v>431.0</v>
      </c>
      <c r="L12" s="122">
        <v>94.0</v>
      </c>
      <c r="M12" s="122" t="s">
        <v>164</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164</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441.0</v>
      </c>
      <c r="H14" s="122">
        <v>368.0</v>
      </c>
      <c r="I14" s="122">
        <v>390.0</v>
      </c>
      <c r="J14" s="122">
        <v>460.0</v>
      </c>
      <c r="K14" s="122">
        <v>478.0</v>
      </c>
      <c r="L14" s="122">
        <v>361.0</v>
      </c>
      <c r="M14" s="140">
        <v>1094.0</v>
      </c>
      <c r="N14" s="122">
        <v>345.0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164</v>
      </c>
      <c r="E15" s="122">
        <v>104.0</v>
      </c>
      <c r="F15" s="122">
        <v>605.0</v>
      </c>
      <c r="G15" s="140">
        <v>1133.0</v>
      </c>
      <c r="H15" s="140">
        <v>1431.0</v>
      </c>
      <c r="I15" s="140">
        <v>1628.0</v>
      </c>
      <c r="J15" s="140">
        <v>1825.0</v>
      </c>
      <c r="K15" s="140">
        <v>1649.0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931.0</v>
      </c>
      <c r="H16" s="140">
        <v>1082.0</v>
      </c>
      <c r="I16" s="140">
        <v>1238.0</v>
      </c>
      <c r="J16" s="140">
        <v>1345.0</v>
      </c>
      <c r="K16" s="140">
        <v>1209.0</v>
      </c>
      <c r="L16" s="122">
        <v>800.0</v>
      </c>
      <c r="M16" s="140">
        <v>1616.0</v>
      </c>
      <c r="N16" s="122">
        <v>874.0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993.0</v>
      </c>
      <c r="H17" s="140">
        <v>1171.0</v>
      </c>
      <c r="I17" s="140">
        <v>1319.0</v>
      </c>
      <c r="J17" s="140">
        <v>1556.0</v>
      </c>
      <c r="K17" s="140">
        <v>1627.0</v>
      </c>
      <c r="L17" s="140">
        <v>1406.0</v>
      </c>
      <c r="M17" s="140">
        <v>2782.0</v>
      </c>
      <c r="N17" s="140">
        <v>1095.0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852.0</v>
      </c>
      <c r="G18" s="122">
        <v>842.0</v>
      </c>
      <c r="H18" s="140">
        <v>1015.0</v>
      </c>
      <c r="I18" s="140">
        <v>1139.0</v>
      </c>
      <c r="J18" s="140">
        <v>1221.0</v>
      </c>
      <c r="K18" s="140">
        <v>1435.0</v>
      </c>
      <c r="L18" s="140">
        <v>1749.0</v>
      </c>
      <c r="M18" s="140">
        <v>2699.0</v>
      </c>
      <c r="N18" s="140">
        <v>1007.0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565.0</v>
      </c>
      <c r="G19" s="122">
        <v>881.0</v>
      </c>
      <c r="H19" s="140">
        <v>1127.0</v>
      </c>
      <c r="I19" s="140">
        <v>1373.0</v>
      </c>
      <c r="J19" s="140">
        <v>1488.0</v>
      </c>
      <c r="K19" s="140">
        <v>1663.0</v>
      </c>
      <c r="L19" s="140">
        <v>2792.0</v>
      </c>
      <c r="M19" s="140">
        <v>5592.0</v>
      </c>
      <c r="N19" s="140">
        <v>1301.0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929.0</v>
      </c>
      <c r="I20" s="140">
        <v>1307.0</v>
      </c>
      <c r="J20" s="140">
        <v>1434.0</v>
      </c>
      <c r="K20" s="140">
        <v>1850.0</v>
      </c>
      <c r="L20" s="140">
        <v>3955.0</v>
      </c>
      <c r="M20" s="140">
        <v>6594.0</v>
      </c>
      <c r="N20" s="140">
        <v>1401.0</v>
      </c>
    </row>
    <row r="21">
      <c r="A21" s="139" t="s">
        <v>159</v>
      </c>
      <c r="B21" s="122">
        <v>0.0</v>
      </c>
      <c r="C21" s="122">
        <v>0.0</v>
      </c>
      <c r="D21" s="122">
        <v>0.0</v>
      </c>
      <c r="E21" s="122">
        <v>129.0</v>
      </c>
      <c r="F21" s="122">
        <v>614.0</v>
      </c>
      <c r="G21" s="122">
        <v>890.0</v>
      </c>
      <c r="H21" s="140">
        <v>1280.0</v>
      </c>
      <c r="I21" s="140">
        <v>1617.0</v>
      </c>
      <c r="J21" s="140">
        <v>1922.0</v>
      </c>
      <c r="K21" s="140">
        <v>3014.0</v>
      </c>
      <c r="L21" s="140">
        <v>6552.0</v>
      </c>
      <c r="M21" s="140">
        <v>6263.0</v>
      </c>
      <c r="N21" s="140">
        <v>1880.0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184</v>
      </c>
      <c r="H1" s="103"/>
      <c r="I1" s="103"/>
      <c r="J1" s="103"/>
      <c r="K1" s="103"/>
      <c r="L1" s="104"/>
    </row>
    <row r="2">
      <c r="A2" s="107" t="s">
        <v>101</v>
      </c>
      <c r="F2" s="105"/>
      <c r="G2" s="105"/>
      <c r="H2" s="105"/>
      <c r="I2" s="105"/>
      <c r="J2" s="105"/>
      <c r="K2" s="105"/>
      <c r="L2" s="108"/>
    </row>
    <row r="3">
      <c r="A3" s="107" t="s">
        <v>0</v>
      </c>
      <c r="B3" s="109">
        <v>44272.0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185</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186</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746.0</v>
      </c>
      <c r="C14" s="75">
        <v>11.0</v>
      </c>
      <c r="D14" s="75">
        <v>24.0</v>
      </c>
      <c r="E14" s="75">
        <v>212.0</v>
      </c>
      <c r="F14" s="75">
        <v>0.0</v>
      </c>
      <c r="G14" s="75">
        <v>614.0</v>
      </c>
      <c r="H14" s="75">
        <v>12.0</v>
      </c>
      <c r="I14" s="75">
        <v>11.0</v>
      </c>
      <c r="J14" s="75">
        <v>26.0</v>
      </c>
      <c r="K14" s="75">
        <v>278.0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120.0</v>
      </c>
      <c r="F19" s="75">
        <v>0.0</v>
      </c>
      <c r="G19" s="75">
        <v>301.0</v>
      </c>
      <c r="H19" s="75">
        <v>22.0</v>
      </c>
      <c r="I19" s="75">
        <v>5.0</v>
      </c>
      <c r="J19" s="75">
        <v>8.0</v>
      </c>
      <c r="K19" s="75">
        <v>113.0</v>
      </c>
      <c r="L19" s="121">
        <v>1090.0</v>
      </c>
    </row>
    <row r="20">
      <c r="A20" s="120" t="s">
        <v>118</v>
      </c>
      <c r="B20" s="75">
        <v>417.0</v>
      </c>
      <c r="C20" s="75" t="s">
        <v>55</v>
      </c>
      <c r="D20" s="75">
        <v>13.0</v>
      </c>
      <c r="E20" s="75">
        <v>98.0</v>
      </c>
      <c r="F20" s="75">
        <v>0.0</v>
      </c>
      <c r="G20" s="75">
        <v>189.0</v>
      </c>
      <c r="H20" s="75">
        <v>10.0</v>
      </c>
      <c r="I20" s="75">
        <v>6.0</v>
      </c>
      <c r="J20" s="75" t="s">
        <v>55</v>
      </c>
      <c r="K20" s="75">
        <v>96.0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168.0</v>
      </c>
      <c r="H27" s="75">
        <v>8.0</v>
      </c>
      <c r="I27" s="75">
        <v>11.0</v>
      </c>
      <c r="J27" s="75">
        <v>9.0</v>
      </c>
      <c r="K27" s="75">
        <v>32.0</v>
      </c>
      <c r="L27" s="75">
        <v>436.0</v>
      </c>
    </row>
    <row r="28">
      <c r="A28" s="120" t="s">
        <v>126</v>
      </c>
      <c r="B28" s="75">
        <v>241.0</v>
      </c>
      <c r="C28" s="75" t="s">
        <v>55</v>
      </c>
      <c r="D28" s="75">
        <v>13.0</v>
      </c>
      <c r="E28" s="75">
        <v>89.0</v>
      </c>
      <c r="F28" s="75">
        <v>0.0</v>
      </c>
      <c r="G28" s="75">
        <v>209.0</v>
      </c>
      <c r="H28" s="75">
        <v>22.0</v>
      </c>
      <c r="I28" s="75">
        <v>13.0</v>
      </c>
      <c r="J28" s="75">
        <v>10.0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81.0</v>
      </c>
      <c r="F30" s="75">
        <v>0.0</v>
      </c>
      <c r="G30" s="75">
        <v>203.0</v>
      </c>
      <c r="H30" s="75">
        <v>6.0</v>
      </c>
      <c r="I30" s="75">
        <v>8.0</v>
      </c>
      <c r="J30" s="75">
        <v>5.0</v>
      </c>
      <c r="K30" s="75">
        <v>53.0</v>
      </c>
      <c r="L30" s="75">
        <v>697.0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233.0</v>
      </c>
      <c r="H32" s="75">
        <v>9.0</v>
      </c>
      <c r="I32" s="75">
        <v>12.0</v>
      </c>
      <c r="J32" s="75">
        <v>5.0</v>
      </c>
      <c r="K32" s="75">
        <v>54.0</v>
      </c>
      <c r="L32" s="75">
        <v>670.0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103.0</v>
      </c>
      <c r="F39" s="151">
        <v>0.0</v>
      </c>
      <c r="G39" s="151">
        <v>616.0</v>
      </c>
      <c r="H39" s="151">
        <v>19.0</v>
      </c>
      <c r="I39" s="151">
        <v>12.0</v>
      </c>
      <c r="J39" s="151">
        <v>15.0</v>
      </c>
      <c r="K39" s="151">
        <v>89.0</v>
      </c>
      <c r="L39" s="151">
        <v>1223.0</v>
      </c>
    </row>
    <row r="40">
      <c r="A40" s="120" t="s">
        <v>138</v>
      </c>
      <c r="B40" s="151">
        <v>470.0</v>
      </c>
      <c r="C40" s="151">
        <v>5.0</v>
      </c>
      <c r="D40" s="151">
        <v>13.0</v>
      </c>
      <c r="E40" s="151">
        <v>100.0</v>
      </c>
      <c r="F40" s="151">
        <v>0.0</v>
      </c>
      <c r="G40" s="151">
        <v>698.0</v>
      </c>
      <c r="H40" s="151">
        <v>26.0</v>
      </c>
      <c r="I40" s="151">
        <v>11.0</v>
      </c>
      <c r="J40" s="151">
        <v>18.0</v>
      </c>
      <c r="K40" s="151">
        <v>197.0</v>
      </c>
      <c r="L40" s="151">
        <v>1538.0</v>
      </c>
    </row>
    <row r="41">
      <c r="A41" s="120" t="s">
        <v>139</v>
      </c>
      <c r="B41" s="151">
        <v>761.0</v>
      </c>
      <c r="C41" s="151" t="s">
        <v>55</v>
      </c>
      <c r="D41" s="151">
        <v>37.0</v>
      </c>
      <c r="E41" s="151">
        <v>156.0</v>
      </c>
      <c r="F41" s="151">
        <v>0.0</v>
      </c>
      <c r="G41" s="151">
        <v>1049.0</v>
      </c>
      <c r="H41" s="151">
        <v>56.0</v>
      </c>
      <c r="I41" s="151">
        <v>19.0</v>
      </c>
      <c r="J41" s="151">
        <v>42.0</v>
      </c>
      <c r="K41" s="151">
        <v>346.0</v>
      </c>
      <c r="L41" s="151">
        <v>2468.0</v>
      </c>
    </row>
    <row r="42">
      <c r="A42" s="120" t="s">
        <v>140</v>
      </c>
      <c r="B42" s="151">
        <v>847.0</v>
      </c>
      <c r="C42" s="151" t="s">
        <v>55</v>
      </c>
      <c r="D42" s="151">
        <v>45.0</v>
      </c>
      <c r="E42" s="151">
        <v>171.0</v>
      </c>
      <c r="F42" s="151">
        <v>0.0</v>
      </c>
      <c r="G42" s="151">
        <v>1224.0</v>
      </c>
      <c r="H42" s="151">
        <v>54.0</v>
      </c>
      <c r="I42" s="151">
        <v>19.0</v>
      </c>
      <c r="J42" s="151">
        <v>36.0</v>
      </c>
      <c r="K42" s="151">
        <v>451.0</v>
      </c>
      <c r="L42" s="151">
        <v>2851.0</v>
      </c>
    </row>
    <row r="43">
      <c r="A43" s="120" t="s">
        <v>141</v>
      </c>
      <c r="B43" s="151">
        <v>1024.0</v>
      </c>
      <c r="C43" s="151">
        <v>5.0</v>
      </c>
      <c r="D43" s="151">
        <v>79.0</v>
      </c>
      <c r="E43" s="151">
        <v>222.0</v>
      </c>
      <c r="F43" s="151">
        <v>0.0</v>
      </c>
      <c r="G43" s="151">
        <v>1714.0</v>
      </c>
      <c r="H43" s="151">
        <v>91.0</v>
      </c>
      <c r="I43" s="151">
        <v>27.0</v>
      </c>
      <c r="J43" s="151">
        <v>67.0</v>
      </c>
      <c r="K43" s="151">
        <v>503.0</v>
      </c>
      <c r="L43" s="151">
        <v>3732.0</v>
      </c>
    </row>
    <row r="44">
      <c r="A44" s="120" t="s">
        <v>142</v>
      </c>
      <c r="B44" s="151">
        <v>1526.0</v>
      </c>
      <c r="C44" s="151">
        <v>6.0</v>
      </c>
      <c r="D44" s="151">
        <v>89.0</v>
      </c>
      <c r="E44" s="151">
        <v>346.0</v>
      </c>
      <c r="F44" s="151">
        <v>0.0</v>
      </c>
      <c r="G44" s="151">
        <v>2741.0</v>
      </c>
      <c r="H44" s="151">
        <v>100.0</v>
      </c>
      <c r="I44" s="151">
        <v>57.0</v>
      </c>
      <c r="J44" s="151">
        <v>104.0</v>
      </c>
      <c r="K44" s="151">
        <v>579.0</v>
      </c>
      <c r="L44" s="151">
        <v>5548.0</v>
      </c>
    </row>
    <row r="45">
      <c r="A45" s="120" t="s">
        <v>143</v>
      </c>
      <c r="B45" s="151">
        <v>1626.0</v>
      </c>
      <c r="C45" s="151">
        <v>13.0</v>
      </c>
      <c r="D45" s="151">
        <v>126.0</v>
      </c>
      <c r="E45" s="151">
        <v>359.0</v>
      </c>
      <c r="F45" s="151">
        <v>0.0</v>
      </c>
      <c r="G45" s="151">
        <v>3253.0</v>
      </c>
      <c r="H45" s="151">
        <v>127.0</v>
      </c>
      <c r="I45" s="151">
        <v>52.0</v>
      </c>
      <c r="J45" s="151">
        <v>145.0</v>
      </c>
      <c r="K45" s="151">
        <v>755.0</v>
      </c>
      <c r="L45" s="151">
        <v>6456.0</v>
      </c>
    </row>
    <row r="46">
      <c r="A46" s="120" t="s">
        <v>144</v>
      </c>
      <c r="B46" s="151">
        <v>1366.0</v>
      </c>
      <c r="C46" s="151">
        <v>12.0</v>
      </c>
      <c r="D46" s="151">
        <v>89.0</v>
      </c>
      <c r="E46" s="151">
        <v>289.0</v>
      </c>
      <c r="F46" s="151">
        <v>0.0</v>
      </c>
      <c r="G46" s="151">
        <v>2936.0</v>
      </c>
      <c r="H46" s="151">
        <v>126.0</v>
      </c>
      <c r="I46" s="151">
        <v>48.0</v>
      </c>
      <c r="J46" s="151">
        <v>141.0</v>
      </c>
      <c r="K46" s="151">
        <v>876.0</v>
      </c>
      <c r="L46" s="151">
        <v>5883.0</v>
      </c>
    </row>
    <row r="47">
      <c r="A47" s="120" t="s">
        <v>145</v>
      </c>
      <c r="B47" s="151">
        <v>2118.0</v>
      </c>
      <c r="C47" s="151">
        <v>13.0</v>
      </c>
      <c r="D47" s="151">
        <v>168.0</v>
      </c>
      <c r="E47" s="151">
        <v>462.0</v>
      </c>
      <c r="F47" s="151">
        <v>0.0</v>
      </c>
      <c r="G47" s="151">
        <v>4502.0</v>
      </c>
      <c r="H47" s="151">
        <v>177.0</v>
      </c>
      <c r="I47" s="151">
        <v>77.0</v>
      </c>
      <c r="J47" s="151">
        <v>191.0</v>
      </c>
      <c r="K47" s="151">
        <v>1075.0</v>
      </c>
      <c r="L47" s="151">
        <v>8783.0</v>
      </c>
    </row>
    <row r="48">
      <c r="A48" s="120" t="s">
        <v>146</v>
      </c>
      <c r="B48" s="151">
        <v>1858.0</v>
      </c>
      <c r="C48" s="151">
        <v>15.0</v>
      </c>
      <c r="D48" s="151">
        <v>166.0</v>
      </c>
      <c r="E48" s="151">
        <v>469.0</v>
      </c>
      <c r="F48" s="151">
        <v>0.0</v>
      </c>
      <c r="G48" s="151">
        <v>4238.0</v>
      </c>
      <c r="H48" s="151">
        <v>169.0</v>
      </c>
      <c r="I48" s="151">
        <v>80.0</v>
      </c>
      <c r="J48" s="151">
        <v>204.0</v>
      </c>
      <c r="K48" s="151">
        <v>920.0</v>
      </c>
      <c r="L48" s="151">
        <v>8119.0</v>
      </c>
    </row>
    <row r="49">
      <c r="A49" s="120" t="s">
        <v>147</v>
      </c>
      <c r="B49" s="151">
        <v>1334.0</v>
      </c>
      <c r="C49" s="151">
        <v>10.0</v>
      </c>
      <c r="D49" s="151">
        <v>125.0</v>
      </c>
      <c r="E49" s="151">
        <v>310.0</v>
      </c>
      <c r="F49" s="151">
        <v>0.0</v>
      </c>
      <c r="G49" s="151">
        <v>3348.0</v>
      </c>
      <c r="H49" s="151">
        <v>109.0</v>
      </c>
      <c r="I49" s="151">
        <v>65.0</v>
      </c>
      <c r="J49" s="151">
        <v>140.0</v>
      </c>
      <c r="K49" s="151">
        <v>602.0</v>
      </c>
      <c r="L49" s="151">
        <v>6043.0</v>
      </c>
    </row>
    <row r="50">
      <c r="A50" s="120" t="s">
        <v>148</v>
      </c>
      <c r="B50" s="151">
        <v>912.0</v>
      </c>
      <c r="C50" s="151">
        <v>11.0</v>
      </c>
      <c r="D50" s="151">
        <v>126.0</v>
      </c>
      <c r="E50" s="151">
        <v>218.0</v>
      </c>
      <c r="F50" s="151">
        <v>0.0</v>
      </c>
      <c r="G50" s="151">
        <v>2812.0</v>
      </c>
      <c r="H50" s="151">
        <v>133.0</v>
      </c>
      <c r="I50" s="151">
        <v>58.0</v>
      </c>
      <c r="J50" s="151">
        <v>123.0</v>
      </c>
      <c r="K50" s="151">
        <v>522.0</v>
      </c>
      <c r="L50" s="151">
        <v>4915.0</v>
      </c>
    </row>
    <row r="51">
      <c r="A51" s="120" t="s">
        <v>149</v>
      </c>
      <c r="B51" s="151">
        <v>1255.0</v>
      </c>
      <c r="C51" s="151" t="s">
        <v>55</v>
      </c>
      <c r="D51" s="151">
        <v>165.0</v>
      </c>
      <c r="E51" s="151">
        <v>272.0</v>
      </c>
      <c r="F51" s="151">
        <v>0.0</v>
      </c>
      <c r="G51" s="151">
        <v>4028.0</v>
      </c>
      <c r="H51" s="151">
        <v>129.0</v>
      </c>
      <c r="I51" s="151">
        <v>79.0</v>
      </c>
      <c r="J51" s="151">
        <v>185.0</v>
      </c>
      <c r="K51" s="151">
        <v>624.0</v>
      </c>
      <c r="L51" s="151">
        <v>6741.0</v>
      </c>
    </row>
    <row r="52">
      <c r="A52" s="120" t="s">
        <v>150</v>
      </c>
      <c r="B52" s="151">
        <v>1589.0</v>
      </c>
      <c r="C52" s="151">
        <v>24.0</v>
      </c>
      <c r="D52" s="151">
        <v>182.0</v>
      </c>
      <c r="E52" s="151">
        <v>390.0</v>
      </c>
      <c r="F52" s="151">
        <v>0.0</v>
      </c>
      <c r="G52" s="151">
        <v>4355.0</v>
      </c>
      <c r="H52" s="151">
        <v>179.0</v>
      </c>
      <c r="I52" s="151">
        <v>83.0</v>
      </c>
      <c r="J52" s="151">
        <v>236.0</v>
      </c>
      <c r="K52" s="151">
        <v>596.0</v>
      </c>
      <c r="L52" s="151">
        <v>7634.0</v>
      </c>
    </row>
    <row r="53">
      <c r="A53" s="120" t="s">
        <v>151</v>
      </c>
      <c r="B53" s="151">
        <v>1228.0</v>
      </c>
      <c r="C53" s="151">
        <v>14.0</v>
      </c>
      <c r="D53" s="151">
        <v>148.0</v>
      </c>
      <c r="E53" s="151">
        <v>359.0</v>
      </c>
      <c r="F53" s="151">
        <v>0.0</v>
      </c>
      <c r="G53" s="151">
        <v>3240.0</v>
      </c>
      <c r="H53" s="151">
        <v>147.0</v>
      </c>
      <c r="I53" s="151">
        <v>79.0</v>
      </c>
      <c r="J53" s="151">
        <v>162.0</v>
      </c>
      <c r="K53" s="151">
        <v>381.0</v>
      </c>
      <c r="L53" s="151">
        <v>5758.0</v>
      </c>
    </row>
    <row r="54">
      <c r="A54" s="120" t="s">
        <v>152</v>
      </c>
      <c r="B54" s="151">
        <v>893.0</v>
      </c>
      <c r="C54" s="151">
        <v>18.0</v>
      </c>
      <c r="D54" s="151">
        <v>83.0</v>
      </c>
      <c r="E54" s="151">
        <v>269.0</v>
      </c>
      <c r="F54" s="151">
        <v>0.0</v>
      </c>
      <c r="G54" s="151">
        <v>2978.0</v>
      </c>
      <c r="H54" s="151">
        <v>110.0</v>
      </c>
      <c r="I54" s="151">
        <v>71.0</v>
      </c>
      <c r="J54" s="151">
        <v>121.0</v>
      </c>
      <c r="K54" s="151">
        <v>391.0</v>
      </c>
      <c r="L54" s="151">
        <v>4934.0</v>
      </c>
    </row>
    <row r="55">
      <c r="A55" s="120" t="s">
        <v>153</v>
      </c>
      <c r="B55" s="151">
        <v>719.0</v>
      </c>
      <c r="C55" s="151">
        <v>17.0</v>
      </c>
      <c r="D55" s="151">
        <v>64.0</v>
      </c>
      <c r="E55" s="151">
        <v>247.0</v>
      </c>
      <c r="F55" s="151">
        <v>0.0</v>
      </c>
      <c r="G55" s="151">
        <v>2314.0</v>
      </c>
      <c r="H55" s="151">
        <v>63.0</v>
      </c>
      <c r="I55" s="151">
        <v>61.0</v>
      </c>
      <c r="J55" s="151">
        <v>93.0</v>
      </c>
      <c r="K55" s="151">
        <v>391.0</v>
      </c>
      <c r="L55" s="151">
        <v>3969.0</v>
      </c>
    </row>
    <row r="56">
      <c r="A56" s="120" t="s">
        <v>154</v>
      </c>
      <c r="B56" s="151">
        <v>547.0</v>
      </c>
      <c r="C56" s="151">
        <v>10.0</v>
      </c>
      <c r="D56" s="151">
        <v>85.0</v>
      </c>
      <c r="E56" s="151">
        <v>167.0</v>
      </c>
      <c r="F56" s="151">
        <v>0.0</v>
      </c>
      <c r="G56" s="151">
        <v>1742.0</v>
      </c>
      <c r="H56" s="151">
        <v>66.0</v>
      </c>
      <c r="I56" s="151">
        <v>34.0</v>
      </c>
      <c r="J56" s="151">
        <v>68.0</v>
      </c>
      <c r="K56" s="151">
        <v>316.0</v>
      </c>
      <c r="L56" s="151">
        <v>3035.0</v>
      </c>
    </row>
    <row r="57">
      <c r="A57" s="120" t="s">
        <v>155</v>
      </c>
      <c r="B57" s="151">
        <v>511.0</v>
      </c>
      <c r="C57" s="151">
        <v>16.0</v>
      </c>
      <c r="D57" s="151">
        <v>60.0</v>
      </c>
      <c r="E57" s="151">
        <v>127.0</v>
      </c>
      <c r="F57" s="151">
        <v>0.0</v>
      </c>
      <c r="G57" s="151">
        <v>1333.0</v>
      </c>
      <c r="H57" s="151">
        <v>46.0</v>
      </c>
      <c r="I57" s="151">
        <v>33.0</v>
      </c>
      <c r="J57" s="151">
        <v>51.0</v>
      </c>
      <c r="K57" s="151">
        <v>279.0</v>
      </c>
      <c r="L57" s="151">
        <v>2456.0</v>
      </c>
    </row>
    <row r="58">
      <c r="A58" s="120" t="s">
        <v>156</v>
      </c>
      <c r="B58" s="151">
        <v>429.0</v>
      </c>
      <c r="C58" s="151">
        <v>8.0</v>
      </c>
      <c r="D58" s="151">
        <v>49.0</v>
      </c>
      <c r="E58" s="151">
        <v>112.0</v>
      </c>
      <c r="F58" s="151">
        <v>0.0</v>
      </c>
      <c r="G58" s="151">
        <v>1148.0</v>
      </c>
      <c r="H58" s="151">
        <v>49.0</v>
      </c>
      <c r="I58" s="151">
        <v>26.0</v>
      </c>
      <c r="J58" s="151">
        <v>44.0</v>
      </c>
      <c r="K58" s="151">
        <v>268.0</v>
      </c>
      <c r="L58" s="151">
        <v>2133.0</v>
      </c>
    </row>
    <row r="59">
      <c r="A59" s="120" t="s">
        <v>157</v>
      </c>
      <c r="B59" s="151">
        <v>440.0</v>
      </c>
      <c r="C59" s="151">
        <v>20.0</v>
      </c>
      <c r="D59" s="151">
        <v>54.0</v>
      </c>
      <c r="E59" s="151">
        <v>106.0</v>
      </c>
      <c r="F59" s="151">
        <v>0.0</v>
      </c>
      <c r="G59" s="151">
        <v>1321.0</v>
      </c>
      <c r="H59" s="151">
        <v>45.0</v>
      </c>
      <c r="I59" s="151">
        <v>39.0</v>
      </c>
      <c r="J59" s="151">
        <v>40.0</v>
      </c>
      <c r="K59" s="151">
        <v>350.0</v>
      </c>
      <c r="L59" s="151">
        <v>2415.0</v>
      </c>
    </row>
    <row r="60">
      <c r="A60" s="120" t="s">
        <v>158</v>
      </c>
      <c r="B60" s="151">
        <v>419.0</v>
      </c>
      <c r="C60" s="151">
        <v>15.0</v>
      </c>
      <c r="D60" s="151">
        <v>38.0</v>
      </c>
      <c r="E60" s="151">
        <v>100.0</v>
      </c>
      <c r="F60" s="151">
        <v>0.0</v>
      </c>
      <c r="G60" s="151">
        <v>1232.0</v>
      </c>
      <c r="H60" s="151">
        <v>36.0</v>
      </c>
      <c r="I60" s="151">
        <v>28.0</v>
      </c>
      <c r="J60" s="151">
        <v>42.0</v>
      </c>
      <c r="K60" s="151">
        <v>294.0</v>
      </c>
      <c r="L60" s="151">
        <v>2204.0</v>
      </c>
    </row>
    <row r="61">
      <c r="A61" s="120" t="s">
        <v>159</v>
      </c>
      <c r="B61" s="151">
        <v>428.0</v>
      </c>
      <c r="C61" s="151">
        <v>7.0</v>
      </c>
      <c r="D61" s="151">
        <v>26.0</v>
      </c>
      <c r="E61" s="151">
        <v>84.0</v>
      </c>
      <c r="F61" s="151">
        <v>0.0</v>
      </c>
      <c r="G61" s="151">
        <v>1149.0</v>
      </c>
      <c r="H61" s="151">
        <v>41.0</v>
      </c>
      <c r="I61" s="151">
        <v>34.0</v>
      </c>
      <c r="J61" s="151">
        <v>45.0</v>
      </c>
      <c r="K61" s="151">
        <v>420.0</v>
      </c>
      <c r="L61" s="151">
        <v>2234.0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187</v>
      </c>
      <c r="I1" s="103"/>
      <c r="J1" s="104"/>
    </row>
    <row r="2">
      <c r="A2" s="107" t="s">
        <v>188</v>
      </c>
    </row>
    <row r="3">
      <c r="A3" s="107" t="s">
        <v>0</v>
      </c>
      <c r="B3" s="109">
        <v>44272.0</v>
      </c>
      <c r="C3" s="105"/>
      <c r="D3" s="105"/>
      <c r="E3" s="105"/>
      <c r="F3" s="105"/>
      <c r="G3" s="105"/>
      <c r="H3" s="105"/>
      <c r="I3" s="105"/>
      <c r="J3" s="105"/>
    </row>
    <row r="4">
      <c r="A4" s="110"/>
      <c r="B4" s="148"/>
      <c r="C4" s="105"/>
      <c r="D4" s="105"/>
      <c r="E4" s="105"/>
      <c r="F4" s="105"/>
      <c r="G4" s="105"/>
      <c r="H4" s="105"/>
      <c r="I4" s="105"/>
      <c r="J4" s="105"/>
    </row>
    <row r="5" ht="45.75" customHeight="1">
      <c r="A5" s="111" t="s">
        <v>189</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186</v>
      </c>
      <c r="G7" s="150" t="s">
        <v>74</v>
      </c>
      <c r="H7" s="150" t="s">
        <v>75</v>
      </c>
      <c r="I7" s="150" t="s">
        <v>76</v>
      </c>
      <c r="J7" s="150" t="s">
        <v>105</v>
      </c>
    </row>
    <row r="8">
      <c r="A8" s="123" t="s">
        <v>163</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164</v>
      </c>
      <c r="H9" s="119" t="s">
        <v>164</v>
      </c>
      <c r="I9" s="119">
        <v>0.0</v>
      </c>
      <c r="J9" s="119" t="s">
        <v>164</v>
      </c>
    </row>
    <row r="10">
      <c r="A10" s="120" t="s">
        <v>107</v>
      </c>
      <c r="B10" s="75">
        <v>0.0</v>
      </c>
      <c r="C10" s="75">
        <v>0.0</v>
      </c>
      <c r="D10" s="75" t="s">
        <v>164</v>
      </c>
      <c r="E10" s="75">
        <v>0.0</v>
      </c>
      <c r="F10" s="75">
        <v>0.0</v>
      </c>
      <c r="G10" s="75">
        <v>1.0</v>
      </c>
      <c r="H10" s="75" t="s">
        <v>164</v>
      </c>
      <c r="I10" s="75">
        <v>0.0</v>
      </c>
      <c r="J10" s="75">
        <v>1.0</v>
      </c>
    </row>
    <row r="11">
      <c r="A11" s="120" t="s">
        <v>108</v>
      </c>
      <c r="B11" s="75">
        <v>4.0</v>
      </c>
      <c r="C11" s="75">
        <v>0.0</v>
      </c>
      <c r="D11" s="75" t="s">
        <v>164</v>
      </c>
      <c r="E11" s="75" t="s">
        <v>164</v>
      </c>
      <c r="F11" s="75">
        <v>0.0</v>
      </c>
      <c r="G11" s="75">
        <v>4.0</v>
      </c>
      <c r="H11" s="75">
        <v>0.0</v>
      </c>
      <c r="I11" s="75">
        <v>0.0</v>
      </c>
      <c r="J11" s="75">
        <v>6.0</v>
      </c>
    </row>
    <row r="12">
      <c r="A12" s="120" t="s">
        <v>109</v>
      </c>
      <c r="B12" s="75">
        <v>17.0</v>
      </c>
      <c r="C12" s="75" t="s">
        <v>164</v>
      </c>
      <c r="D12" s="75" t="s">
        <v>164</v>
      </c>
      <c r="E12" s="75">
        <v>29.0</v>
      </c>
      <c r="F12" s="75">
        <v>0.0</v>
      </c>
      <c r="G12" s="75">
        <v>11.0</v>
      </c>
      <c r="H12" s="75" t="s">
        <v>164</v>
      </c>
      <c r="I12" s="75">
        <v>0.0</v>
      </c>
      <c r="J12" s="75">
        <v>20.0</v>
      </c>
    </row>
    <row r="13">
      <c r="A13" s="120" t="s">
        <v>110</v>
      </c>
      <c r="B13" s="75">
        <v>55.0</v>
      </c>
      <c r="C13" s="75" t="s">
        <v>164</v>
      </c>
      <c r="D13" s="75" t="s">
        <v>164</v>
      </c>
      <c r="E13" s="75">
        <v>93.0</v>
      </c>
      <c r="F13" s="75">
        <v>0.0</v>
      </c>
      <c r="G13" s="75">
        <v>33.0</v>
      </c>
      <c r="H13" s="75">
        <v>85.0</v>
      </c>
      <c r="I13" s="75" t="s">
        <v>164</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470.0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164</v>
      </c>
      <c r="J18" s="75">
        <v>175.0</v>
      </c>
    </row>
    <row r="19">
      <c r="A19" s="120" t="s">
        <v>116</v>
      </c>
      <c r="B19" s="75">
        <v>392.0</v>
      </c>
      <c r="C19" s="75" t="s">
        <v>164</v>
      </c>
      <c r="D19" s="75">
        <v>105.0</v>
      </c>
      <c r="E19" s="75">
        <v>273.0</v>
      </c>
      <c r="F19" s="75">
        <v>0.0</v>
      </c>
      <c r="G19" s="75">
        <v>53.0</v>
      </c>
      <c r="H19" s="75">
        <v>367.0</v>
      </c>
      <c r="I19" s="75">
        <v>20.0</v>
      </c>
      <c r="J19" s="75">
        <v>138.0</v>
      </c>
    </row>
    <row r="20">
      <c r="A20" s="120" t="s">
        <v>117</v>
      </c>
      <c r="B20" s="75">
        <v>311.0</v>
      </c>
      <c r="C20" s="75" t="s">
        <v>164</v>
      </c>
      <c r="D20" s="75">
        <v>74.0</v>
      </c>
      <c r="E20" s="75">
        <v>203.0</v>
      </c>
      <c r="F20" s="75">
        <v>0.0</v>
      </c>
      <c r="G20" s="75">
        <v>39.0</v>
      </c>
      <c r="H20" s="75">
        <v>310.0</v>
      </c>
      <c r="I20" s="75">
        <v>20.0</v>
      </c>
      <c r="J20" s="75">
        <v>103.0</v>
      </c>
    </row>
    <row r="21">
      <c r="A21" s="120" t="s">
        <v>118</v>
      </c>
      <c r="B21" s="75">
        <v>262.0</v>
      </c>
      <c r="C21" s="75" t="s">
        <v>164</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164</v>
      </c>
      <c r="I22" s="75" t="s">
        <v>164</v>
      </c>
      <c r="J22" s="75">
        <v>58.0</v>
      </c>
    </row>
    <row r="23">
      <c r="A23" s="120" t="s">
        <v>120</v>
      </c>
      <c r="B23" s="75">
        <v>122.0</v>
      </c>
      <c r="C23" s="75" t="s">
        <v>164</v>
      </c>
      <c r="D23" s="75">
        <v>37.0</v>
      </c>
      <c r="E23" s="75">
        <v>81.0</v>
      </c>
      <c r="F23" s="75">
        <v>0.0</v>
      </c>
      <c r="G23" s="75">
        <v>18.0</v>
      </c>
      <c r="H23" s="75">
        <v>99.0</v>
      </c>
      <c r="I23" s="75" t="s">
        <v>164</v>
      </c>
      <c r="J23" s="75">
        <v>43.0</v>
      </c>
    </row>
    <row r="24">
      <c r="A24" s="120" t="s">
        <v>121</v>
      </c>
      <c r="B24" s="75">
        <v>99.0</v>
      </c>
      <c r="C24" s="75" t="s">
        <v>164</v>
      </c>
      <c r="D24" s="75" t="s">
        <v>164</v>
      </c>
      <c r="E24" s="75">
        <v>56.0</v>
      </c>
      <c r="F24" s="75">
        <v>0.0</v>
      </c>
      <c r="G24" s="75">
        <v>14.0</v>
      </c>
      <c r="H24" s="75">
        <v>71.0</v>
      </c>
      <c r="I24" s="75">
        <v>0.0</v>
      </c>
      <c r="J24" s="75">
        <v>34.0</v>
      </c>
    </row>
    <row r="25">
      <c r="A25" s="120" t="s">
        <v>122</v>
      </c>
      <c r="B25" s="75">
        <v>89.0</v>
      </c>
      <c r="C25" s="75" t="s">
        <v>164</v>
      </c>
      <c r="D25" s="75" t="s">
        <v>164</v>
      </c>
      <c r="E25" s="75">
        <v>78.0</v>
      </c>
      <c r="F25" s="75">
        <v>0.0</v>
      </c>
      <c r="G25" s="75">
        <v>16.0</v>
      </c>
      <c r="H25" s="75" t="s">
        <v>164</v>
      </c>
      <c r="I25" s="75">
        <v>25.0</v>
      </c>
      <c r="J25" s="75">
        <v>34.0</v>
      </c>
    </row>
    <row r="26">
      <c r="A26" s="120" t="s">
        <v>123</v>
      </c>
      <c r="B26" s="75">
        <v>69.0</v>
      </c>
      <c r="C26" s="75" t="s">
        <v>164</v>
      </c>
      <c r="D26" s="75">
        <v>31.0</v>
      </c>
      <c r="E26" s="75">
        <v>46.0</v>
      </c>
      <c r="F26" s="75">
        <v>0.0</v>
      </c>
      <c r="G26" s="75">
        <v>13.0</v>
      </c>
      <c r="H26" s="75" t="s">
        <v>164</v>
      </c>
      <c r="I26" s="75">
        <v>20.0</v>
      </c>
      <c r="J26" s="75">
        <v>26.0</v>
      </c>
    </row>
    <row r="27">
      <c r="A27" s="120" t="s">
        <v>124</v>
      </c>
      <c r="B27" s="75">
        <v>75.0</v>
      </c>
      <c r="C27" s="75" t="s">
        <v>164</v>
      </c>
      <c r="D27" s="75">
        <v>26.0</v>
      </c>
      <c r="E27" s="75">
        <v>51.0</v>
      </c>
      <c r="F27" s="75">
        <v>0.0</v>
      </c>
      <c r="G27" s="75">
        <v>20.0</v>
      </c>
      <c r="H27" s="75">
        <v>85.0</v>
      </c>
      <c r="I27" s="75" t="s">
        <v>164</v>
      </c>
      <c r="J27" s="75">
        <v>32.0</v>
      </c>
    </row>
    <row r="28">
      <c r="A28" s="120" t="s">
        <v>125</v>
      </c>
      <c r="B28" s="75">
        <v>88.0</v>
      </c>
      <c r="C28" s="75" t="s">
        <v>164</v>
      </c>
      <c r="D28" s="75">
        <v>14.0</v>
      </c>
      <c r="E28" s="75">
        <v>103.0</v>
      </c>
      <c r="F28" s="75">
        <v>0.0</v>
      </c>
      <c r="G28" s="75">
        <v>22.0</v>
      </c>
      <c r="H28" s="75">
        <v>113.0</v>
      </c>
      <c r="I28" s="75">
        <v>45.0</v>
      </c>
      <c r="J28" s="75">
        <v>41.0</v>
      </c>
    </row>
    <row r="29">
      <c r="A29" s="120" t="s">
        <v>126</v>
      </c>
      <c r="B29" s="75">
        <v>152.0</v>
      </c>
      <c r="C29" s="75" t="s">
        <v>164</v>
      </c>
      <c r="D29" s="75">
        <v>37.0</v>
      </c>
      <c r="E29" s="75">
        <v>151.0</v>
      </c>
      <c r="F29" s="75">
        <v>0.0</v>
      </c>
      <c r="G29" s="75">
        <v>27.0</v>
      </c>
      <c r="H29" s="75">
        <v>310.0</v>
      </c>
      <c r="I29" s="75">
        <v>53.0</v>
      </c>
      <c r="J29" s="75">
        <v>61.0</v>
      </c>
    </row>
    <row r="30">
      <c r="A30" s="120" t="s">
        <v>127</v>
      </c>
      <c r="B30" s="75">
        <v>195.0</v>
      </c>
      <c r="C30" s="75" t="s">
        <v>164</v>
      </c>
      <c r="D30" s="75">
        <v>57.0</v>
      </c>
      <c r="E30" s="75">
        <v>125.0</v>
      </c>
      <c r="F30" s="75">
        <v>0.0</v>
      </c>
      <c r="G30" s="75">
        <v>26.0</v>
      </c>
      <c r="H30" s="75">
        <v>197.0</v>
      </c>
      <c r="I30" s="75">
        <v>33.0</v>
      </c>
      <c r="J30" s="75">
        <v>65.0</v>
      </c>
    </row>
    <row r="31">
      <c r="A31" s="120" t="s">
        <v>128</v>
      </c>
      <c r="B31" s="75">
        <v>204.0</v>
      </c>
      <c r="C31" s="75" t="s">
        <v>164</v>
      </c>
      <c r="D31" s="75">
        <v>43.0</v>
      </c>
      <c r="E31" s="75">
        <v>137.0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164</v>
      </c>
      <c r="D33" s="75">
        <v>31.0</v>
      </c>
      <c r="E33" s="75">
        <v>76.0</v>
      </c>
      <c r="F33" s="75">
        <v>0.0</v>
      </c>
      <c r="G33" s="75">
        <v>30.0</v>
      </c>
      <c r="H33" s="75">
        <v>127.0</v>
      </c>
      <c r="I33" s="75">
        <v>49.0</v>
      </c>
      <c r="J33" s="75">
        <v>63.0</v>
      </c>
    </row>
    <row r="34">
      <c r="A34" s="120" t="s">
        <v>131</v>
      </c>
      <c r="B34" s="75">
        <v>146.0</v>
      </c>
      <c r="C34" s="75" t="s">
        <v>164</v>
      </c>
      <c r="D34" s="75">
        <v>26.0</v>
      </c>
      <c r="E34" s="75">
        <v>58.0</v>
      </c>
      <c r="F34" s="75">
        <v>0.0</v>
      </c>
      <c r="G34" s="75">
        <v>23.0</v>
      </c>
      <c r="H34" s="75">
        <v>99.0</v>
      </c>
      <c r="I34" s="75">
        <v>41.0</v>
      </c>
      <c r="J34" s="75">
        <v>51.0</v>
      </c>
    </row>
    <row r="35">
      <c r="A35" s="120" t="s">
        <v>132</v>
      </c>
      <c r="B35" s="122">
        <v>132.0</v>
      </c>
      <c r="C35" s="122" t="s">
        <v>164</v>
      </c>
      <c r="D35" s="122">
        <v>48.0</v>
      </c>
      <c r="E35" s="122">
        <v>88.0</v>
      </c>
      <c r="F35" s="122">
        <v>0.0</v>
      </c>
      <c r="G35" s="122">
        <v>19.0</v>
      </c>
      <c r="H35" s="122">
        <v>99.0</v>
      </c>
      <c r="I35" s="122" t="s">
        <v>164</v>
      </c>
      <c r="J35" s="122">
        <v>46.0</v>
      </c>
    </row>
    <row r="36">
      <c r="A36" s="120" t="s">
        <v>133</v>
      </c>
      <c r="B36" s="122">
        <v>108.0</v>
      </c>
      <c r="C36" s="122">
        <v>0.0</v>
      </c>
      <c r="D36" s="122">
        <v>14.0</v>
      </c>
      <c r="E36" s="122">
        <v>107.0</v>
      </c>
      <c r="F36" s="122">
        <v>0.0</v>
      </c>
      <c r="G36" s="122">
        <v>29.0</v>
      </c>
      <c r="H36" s="122">
        <v>141.0</v>
      </c>
      <c r="I36" s="122" t="s">
        <v>164</v>
      </c>
      <c r="J36" s="122">
        <v>51.0</v>
      </c>
    </row>
    <row r="37">
      <c r="A37" s="120" t="s">
        <v>134</v>
      </c>
      <c r="B37" s="122">
        <v>145.0</v>
      </c>
      <c r="C37" s="122" t="s">
        <v>164</v>
      </c>
      <c r="D37" s="122">
        <v>26.0</v>
      </c>
      <c r="E37" s="122">
        <v>75.0</v>
      </c>
      <c r="F37" s="122">
        <v>0.0</v>
      </c>
      <c r="G37" s="122">
        <v>46.0</v>
      </c>
      <c r="H37" s="122">
        <v>226.0</v>
      </c>
      <c r="I37" s="122">
        <v>29.0</v>
      </c>
      <c r="J37" s="122">
        <v>68.0</v>
      </c>
    </row>
    <row r="38">
      <c r="A38" s="120" t="s">
        <v>135</v>
      </c>
      <c r="B38" s="151">
        <v>142.0</v>
      </c>
      <c r="C38" s="151" t="s">
        <v>164</v>
      </c>
      <c r="D38" s="151">
        <v>23.0</v>
      </c>
      <c r="E38" s="151">
        <v>117.0</v>
      </c>
      <c r="F38" s="151">
        <v>0.0</v>
      </c>
      <c r="G38" s="151">
        <v>43.0</v>
      </c>
      <c r="H38" s="151">
        <v>155.0</v>
      </c>
      <c r="I38" s="151">
        <v>45.0</v>
      </c>
      <c r="J38" s="151">
        <v>67.0</v>
      </c>
    </row>
    <row r="39">
      <c r="A39" s="120" t="s">
        <v>136</v>
      </c>
      <c r="B39" s="151">
        <v>175.0</v>
      </c>
      <c r="C39" s="151" t="s">
        <v>164</v>
      </c>
      <c r="D39" s="151">
        <v>23.0</v>
      </c>
      <c r="E39" s="151">
        <v>154.0</v>
      </c>
      <c r="F39" s="151">
        <v>0.0</v>
      </c>
      <c r="G39" s="151">
        <v>60.0</v>
      </c>
      <c r="H39" s="151">
        <v>324.0</v>
      </c>
      <c r="I39" s="151">
        <v>57.0</v>
      </c>
      <c r="J39" s="151">
        <v>91.0</v>
      </c>
    </row>
    <row r="40">
      <c r="A40" s="120" t="s">
        <v>137</v>
      </c>
      <c r="B40" s="151">
        <v>222.0</v>
      </c>
      <c r="C40" s="151">
        <v>216.0</v>
      </c>
      <c r="D40" s="151">
        <v>26.0</v>
      </c>
      <c r="E40" s="151">
        <v>175.0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164</v>
      </c>
      <c r="D42" s="151">
        <v>105.0</v>
      </c>
      <c r="E42" s="151">
        <v>264.0</v>
      </c>
      <c r="F42" s="151">
        <v>0.0</v>
      </c>
      <c r="G42" s="151">
        <v>137.0</v>
      </c>
      <c r="H42" s="151">
        <v>790.0</v>
      </c>
      <c r="I42" s="151">
        <v>78.0</v>
      </c>
      <c r="J42" s="151">
        <v>234.0</v>
      </c>
    </row>
    <row r="43">
      <c r="A43" s="120" t="s">
        <v>140</v>
      </c>
      <c r="B43" s="151">
        <v>533.0</v>
      </c>
      <c r="C43" s="151" t="s">
        <v>164</v>
      </c>
      <c r="D43" s="151">
        <v>128.0</v>
      </c>
      <c r="E43" s="151">
        <v>290.0</v>
      </c>
      <c r="F43" s="151">
        <v>0.0</v>
      </c>
      <c r="G43" s="151">
        <v>159.0</v>
      </c>
      <c r="H43" s="151">
        <v>762.0</v>
      </c>
      <c r="I43" s="151">
        <v>78.0</v>
      </c>
      <c r="J43" s="151">
        <v>270.0</v>
      </c>
    </row>
    <row r="44">
      <c r="A44" s="120" t="s">
        <v>141</v>
      </c>
      <c r="B44" s="151">
        <v>645.0</v>
      </c>
      <c r="C44" s="151">
        <v>135.0</v>
      </c>
      <c r="D44" s="151">
        <v>225.0</v>
      </c>
      <c r="E44" s="151">
        <v>376.0</v>
      </c>
      <c r="F44" s="151">
        <v>0.0</v>
      </c>
      <c r="G44" s="151">
        <v>223.0</v>
      </c>
      <c r="H44" s="151">
        <v>1283.0</v>
      </c>
      <c r="I44" s="151">
        <v>111.0</v>
      </c>
      <c r="J44" s="151">
        <v>353.0</v>
      </c>
    </row>
    <row r="45">
      <c r="A45" s="120" t="s">
        <v>142</v>
      </c>
      <c r="B45" s="151">
        <v>961.0</v>
      </c>
      <c r="C45" s="151">
        <v>162.0</v>
      </c>
      <c r="D45" s="151">
        <v>253.0</v>
      </c>
      <c r="E45" s="151">
        <v>586.0</v>
      </c>
      <c r="F45" s="151">
        <v>0.0</v>
      </c>
      <c r="G45" s="151">
        <v>357.0</v>
      </c>
      <c r="H45" s="151">
        <v>1410.0</v>
      </c>
      <c r="I45" s="151">
        <v>233.0</v>
      </c>
      <c r="J45" s="151">
        <v>525.0</v>
      </c>
    </row>
    <row r="46">
      <c r="A46" s="120" t="s">
        <v>143</v>
      </c>
      <c r="B46" s="151">
        <v>1024.0</v>
      </c>
      <c r="C46" s="151">
        <v>351.0</v>
      </c>
      <c r="D46" s="151">
        <v>359.0</v>
      </c>
      <c r="E46" s="151">
        <v>608.0</v>
      </c>
      <c r="F46" s="151">
        <v>0.0</v>
      </c>
      <c r="G46" s="151">
        <v>424.0</v>
      </c>
      <c r="H46" s="151">
        <v>1791.0</v>
      </c>
      <c r="I46" s="151">
        <v>213.0</v>
      </c>
      <c r="J46" s="151">
        <v>611.0</v>
      </c>
    </row>
    <row r="47">
      <c r="A47" s="120" t="s">
        <v>144</v>
      </c>
      <c r="B47" s="151">
        <v>860.0</v>
      </c>
      <c r="C47" s="151">
        <v>324.0</v>
      </c>
      <c r="D47" s="151">
        <v>253.0</v>
      </c>
      <c r="E47" s="151">
        <v>490.0</v>
      </c>
      <c r="F47" s="151">
        <v>0.0</v>
      </c>
      <c r="G47" s="151">
        <v>382.0</v>
      </c>
      <c r="H47" s="151">
        <v>1777.0</v>
      </c>
      <c r="I47" s="151">
        <v>197.0</v>
      </c>
      <c r="J47" s="151">
        <v>557.0</v>
      </c>
    </row>
    <row r="48">
      <c r="A48" s="120" t="s">
        <v>145</v>
      </c>
      <c r="B48" s="151">
        <v>1333.0</v>
      </c>
      <c r="C48" s="151">
        <v>351.0</v>
      </c>
      <c r="D48" s="151">
        <v>478.0</v>
      </c>
      <c r="E48" s="151">
        <v>783.0</v>
      </c>
      <c r="F48" s="151">
        <v>0.0</v>
      </c>
      <c r="G48" s="151">
        <v>586.0</v>
      </c>
      <c r="H48" s="151">
        <v>2496.0</v>
      </c>
      <c r="I48" s="151">
        <v>315.0</v>
      </c>
      <c r="J48" s="151">
        <v>831.0</v>
      </c>
    </row>
    <row r="49">
      <c r="A49" s="120" t="s">
        <v>146</v>
      </c>
      <c r="B49" s="151">
        <v>1170.0</v>
      </c>
      <c r="C49" s="151">
        <v>405.0</v>
      </c>
      <c r="D49" s="151">
        <v>473.0</v>
      </c>
      <c r="E49" s="151">
        <v>795.0</v>
      </c>
      <c r="F49" s="151">
        <v>0.0</v>
      </c>
      <c r="G49" s="151">
        <v>552.0</v>
      </c>
      <c r="H49" s="151">
        <v>2384.0</v>
      </c>
      <c r="I49" s="151">
        <v>328.0</v>
      </c>
      <c r="J49" s="151">
        <v>768.0</v>
      </c>
    </row>
    <row r="50">
      <c r="A50" s="120" t="s">
        <v>147</v>
      </c>
      <c r="B50" s="151">
        <v>840.0</v>
      </c>
      <c r="C50" s="151">
        <v>270.0</v>
      </c>
      <c r="D50" s="151">
        <v>356.0</v>
      </c>
      <c r="E50" s="151">
        <v>525.0</v>
      </c>
      <c r="F50" s="151">
        <v>0.0</v>
      </c>
      <c r="G50" s="151">
        <v>436.0</v>
      </c>
      <c r="H50" s="151">
        <v>1537.0</v>
      </c>
      <c r="I50" s="151">
        <v>266.0</v>
      </c>
      <c r="J50" s="151">
        <v>572.0</v>
      </c>
    </row>
    <row r="51">
      <c r="A51" s="120" t="s">
        <v>148</v>
      </c>
      <c r="B51" s="151">
        <v>574.0</v>
      </c>
      <c r="C51" s="151">
        <v>297.0</v>
      </c>
      <c r="D51" s="151">
        <v>359.0</v>
      </c>
      <c r="E51" s="151">
        <v>369.0</v>
      </c>
      <c r="F51" s="151">
        <v>0.0</v>
      </c>
      <c r="G51" s="151">
        <v>366.0</v>
      </c>
      <c r="H51" s="151">
        <v>1876.0</v>
      </c>
      <c r="I51" s="151">
        <v>238.0</v>
      </c>
      <c r="J51" s="151">
        <v>465.0</v>
      </c>
    </row>
    <row r="52">
      <c r="A52" s="120" t="s">
        <v>149</v>
      </c>
      <c r="B52" s="151">
        <v>790.0</v>
      </c>
      <c r="C52" s="151" t="s">
        <v>164</v>
      </c>
      <c r="D52" s="151">
        <v>470.0</v>
      </c>
      <c r="E52" s="151">
        <v>461.0</v>
      </c>
      <c r="F52" s="151">
        <v>0.0</v>
      </c>
      <c r="G52" s="151">
        <v>525.0</v>
      </c>
      <c r="H52" s="151">
        <v>1819.0</v>
      </c>
      <c r="I52" s="151">
        <v>324.0</v>
      </c>
      <c r="J52" s="151">
        <v>638.0</v>
      </c>
    </row>
    <row r="53">
      <c r="A53" s="120" t="s">
        <v>150</v>
      </c>
      <c r="B53" s="151">
        <v>1000.0</v>
      </c>
      <c r="C53" s="151">
        <v>647.0</v>
      </c>
      <c r="D53" s="151">
        <v>518.0</v>
      </c>
      <c r="E53" s="151">
        <v>661.0</v>
      </c>
      <c r="F53" s="151">
        <v>0.0</v>
      </c>
      <c r="G53" s="151">
        <v>567.0</v>
      </c>
      <c r="H53" s="151">
        <v>2525.0</v>
      </c>
      <c r="I53" s="151">
        <v>340.0</v>
      </c>
      <c r="J53" s="151">
        <v>722.0</v>
      </c>
    </row>
    <row r="54">
      <c r="A54" s="120" t="s">
        <v>151</v>
      </c>
      <c r="B54" s="151">
        <v>773.0</v>
      </c>
      <c r="C54" s="151">
        <v>378.0</v>
      </c>
      <c r="D54" s="151">
        <v>421.0</v>
      </c>
      <c r="E54" s="151">
        <v>608.0</v>
      </c>
      <c r="F54" s="151">
        <v>0.0</v>
      </c>
      <c r="G54" s="151">
        <v>422.0</v>
      </c>
      <c r="H54" s="151">
        <v>2073.0</v>
      </c>
      <c r="I54" s="151">
        <v>324.0</v>
      </c>
      <c r="J54" s="151">
        <v>545.0</v>
      </c>
    </row>
    <row r="55">
      <c r="A55" s="120" t="s">
        <v>152</v>
      </c>
      <c r="B55" s="151">
        <v>562.0</v>
      </c>
      <c r="C55" s="151">
        <v>485.0</v>
      </c>
      <c r="D55" s="151">
        <v>236.0</v>
      </c>
      <c r="E55" s="151">
        <v>456.0</v>
      </c>
      <c r="F55" s="151">
        <v>0.0</v>
      </c>
      <c r="G55" s="151">
        <v>388.0</v>
      </c>
      <c r="H55" s="151">
        <v>1551.0</v>
      </c>
      <c r="I55" s="151">
        <v>291.0</v>
      </c>
      <c r="J55" s="151">
        <v>467.0</v>
      </c>
    </row>
    <row r="56">
      <c r="A56" s="120" t="s">
        <v>153</v>
      </c>
      <c r="B56" s="151">
        <v>453.0</v>
      </c>
      <c r="C56" s="151">
        <v>458.0</v>
      </c>
      <c r="D56" s="151">
        <v>182.0</v>
      </c>
      <c r="E56" s="151">
        <v>419.0</v>
      </c>
      <c r="F56" s="151">
        <v>0.0</v>
      </c>
      <c r="G56" s="151">
        <v>301.0</v>
      </c>
      <c r="H56" s="151">
        <v>889.0</v>
      </c>
      <c r="I56" s="151">
        <v>250.0</v>
      </c>
      <c r="J56" s="151">
        <v>376.0</v>
      </c>
    </row>
    <row r="57">
      <c r="A57" s="120" t="s">
        <v>154</v>
      </c>
      <c r="B57" s="151">
        <v>344.0</v>
      </c>
      <c r="C57" s="151">
        <v>270.0</v>
      </c>
      <c r="D57" s="151">
        <v>242.0</v>
      </c>
      <c r="E57" s="151">
        <v>283.0</v>
      </c>
      <c r="F57" s="151">
        <v>0.0</v>
      </c>
      <c r="G57" s="151">
        <v>227.0</v>
      </c>
      <c r="H57" s="151">
        <v>931.0</v>
      </c>
      <c r="I57" s="151">
        <v>139.0</v>
      </c>
      <c r="J57" s="151">
        <v>287.0</v>
      </c>
    </row>
    <row r="58">
      <c r="A58" s="120" t="s">
        <v>155</v>
      </c>
      <c r="B58" s="151">
        <v>322.0</v>
      </c>
      <c r="C58" s="151">
        <v>431.0</v>
      </c>
      <c r="D58" s="151">
        <v>171.0</v>
      </c>
      <c r="E58" s="151">
        <v>215.0</v>
      </c>
      <c r="F58" s="151">
        <v>0.0</v>
      </c>
      <c r="G58" s="151">
        <v>174.0</v>
      </c>
      <c r="H58" s="151">
        <v>649.0</v>
      </c>
      <c r="I58" s="151">
        <v>135.0</v>
      </c>
      <c r="J58" s="151">
        <v>232.0</v>
      </c>
    </row>
    <row r="59">
      <c r="A59" s="120" t="s">
        <v>156</v>
      </c>
      <c r="B59" s="151">
        <v>270.0</v>
      </c>
      <c r="C59" s="151">
        <v>216.0</v>
      </c>
      <c r="D59" s="151">
        <v>139.0</v>
      </c>
      <c r="E59" s="151">
        <v>190.0</v>
      </c>
      <c r="F59" s="151">
        <v>0.0</v>
      </c>
      <c r="G59" s="151">
        <v>150.0</v>
      </c>
      <c r="H59" s="151">
        <v>691.0</v>
      </c>
      <c r="I59" s="151">
        <v>106.0</v>
      </c>
      <c r="J59" s="151">
        <v>202.0</v>
      </c>
    </row>
    <row r="60">
      <c r="A60" s="120" t="s">
        <v>157</v>
      </c>
      <c r="B60" s="151">
        <v>277.0</v>
      </c>
      <c r="C60" s="151">
        <v>539.0</v>
      </c>
      <c r="D60" s="151">
        <v>154.0</v>
      </c>
      <c r="E60" s="151">
        <v>180.0</v>
      </c>
      <c r="F60" s="151">
        <v>0.0</v>
      </c>
      <c r="G60" s="151">
        <v>172.0</v>
      </c>
      <c r="H60" s="151">
        <v>635.0</v>
      </c>
      <c r="I60" s="151">
        <v>160.0</v>
      </c>
      <c r="J60" s="151">
        <v>229.0</v>
      </c>
    </row>
    <row r="61">
      <c r="A61" s="120" t="s">
        <v>158</v>
      </c>
      <c r="B61" s="151">
        <v>264.0</v>
      </c>
      <c r="C61" s="151">
        <v>405.0</v>
      </c>
      <c r="D61" s="151">
        <v>108.0</v>
      </c>
      <c r="E61" s="151">
        <v>169.0</v>
      </c>
      <c r="F61" s="151">
        <v>0.0</v>
      </c>
      <c r="G61" s="151">
        <v>160.0</v>
      </c>
      <c r="H61" s="151">
        <v>508.0</v>
      </c>
      <c r="I61" s="151">
        <v>115.0</v>
      </c>
      <c r="J61" s="151">
        <v>209.0</v>
      </c>
    </row>
    <row r="62">
      <c r="A62" s="120" t="s">
        <v>159</v>
      </c>
      <c r="B62" s="151">
        <v>269.0</v>
      </c>
      <c r="C62" s="151">
        <v>189.0</v>
      </c>
      <c r="D62" s="151">
        <v>74.0</v>
      </c>
      <c r="E62" s="151">
        <v>142.0</v>
      </c>
      <c r="F62" s="151">
        <v>0.0</v>
      </c>
      <c r="G62" s="151">
        <v>150.0</v>
      </c>
      <c r="H62" s="151">
        <v>578.0</v>
      </c>
      <c r="I62" s="151">
        <v>139.0</v>
      </c>
      <c r="J62" s="151">
        <v>211.0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190</v>
      </c>
      <c r="G1" s="103"/>
      <c r="H1" s="103"/>
      <c r="I1" s="103"/>
      <c r="J1" s="104"/>
      <c r="K1" s="105"/>
      <c r="L1" s="106"/>
      <c r="M1" s="105"/>
      <c r="N1" s="106"/>
      <c r="O1" s="105"/>
      <c r="P1" s="126"/>
    </row>
    <row r="2">
      <c r="A2" s="107" t="s">
        <v>173</v>
      </c>
      <c r="G2" s="105"/>
      <c r="H2" s="105"/>
      <c r="I2" s="105"/>
      <c r="J2" s="108"/>
      <c r="K2" s="105"/>
      <c r="L2" s="105"/>
      <c r="M2" s="105"/>
      <c r="N2" s="105"/>
      <c r="O2" s="105"/>
      <c r="P2" s="105"/>
    </row>
    <row r="3">
      <c r="A3" s="107" t="s">
        <v>0</v>
      </c>
      <c r="B3" s="109">
        <v>44272.0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191</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175</v>
      </c>
      <c r="B7" s="158" t="s">
        <v>69</v>
      </c>
      <c r="C7" s="158" t="s">
        <v>70</v>
      </c>
      <c r="D7" s="159" t="s">
        <v>71</v>
      </c>
      <c r="E7" s="158" t="s">
        <v>72</v>
      </c>
      <c r="F7" s="158" t="s">
        <v>186</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124.0</v>
      </c>
      <c r="E9" s="122">
        <v>221.0</v>
      </c>
      <c r="F9" s="122">
        <v>8.0</v>
      </c>
      <c r="G9" s="140">
        <v>4463.0</v>
      </c>
      <c r="H9" s="122">
        <v>655.0</v>
      </c>
      <c r="I9" s="122">
        <v>505.0</v>
      </c>
      <c r="J9" s="140">
        <v>6293.0</v>
      </c>
      <c r="K9" s="105"/>
      <c r="L9" s="105"/>
      <c r="M9" s="105"/>
      <c r="N9" s="105"/>
      <c r="O9" s="105"/>
      <c r="P9" s="105"/>
    </row>
    <row r="10">
      <c r="A10" s="139" t="s">
        <v>149</v>
      </c>
      <c r="B10" s="122">
        <v>923.0</v>
      </c>
      <c r="C10" s="122">
        <v>14.0</v>
      </c>
      <c r="D10" s="122">
        <v>154.0</v>
      </c>
      <c r="E10" s="122">
        <v>294.0</v>
      </c>
      <c r="F10" s="122">
        <v>11.0</v>
      </c>
      <c r="G10" s="140">
        <v>7105.0</v>
      </c>
      <c r="H10" s="122">
        <v>725.0</v>
      </c>
      <c r="I10" s="140">
        <v>2691.0</v>
      </c>
      <c r="J10" s="140">
        <v>11917.0</v>
      </c>
      <c r="K10" s="105"/>
      <c r="L10" s="105"/>
      <c r="M10" s="105"/>
      <c r="N10" s="105"/>
      <c r="O10" s="105"/>
      <c r="P10" s="105"/>
    </row>
    <row r="11">
      <c r="A11" s="139" t="s">
        <v>150</v>
      </c>
      <c r="B11" s="122">
        <v>892.0</v>
      </c>
      <c r="C11" s="122">
        <v>10.0</v>
      </c>
      <c r="D11" s="122">
        <v>181.0</v>
      </c>
      <c r="E11" s="122">
        <v>365.0</v>
      </c>
      <c r="F11" s="122">
        <v>13.0</v>
      </c>
      <c r="G11" s="140">
        <v>6108.0</v>
      </c>
      <c r="H11" s="122">
        <v>541.0</v>
      </c>
      <c r="I11" s="140">
        <v>3847.0</v>
      </c>
      <c r="J11" s="140">
        <v>11957.0</v>
      </c>
      <c r="K11" s="105"/>
      <c r="L11" s="105"/>
      <c r="M11" s="105"/>
      <c r="N11" s="105"/>
      <c r="O11" s="105"/>
      <c r="P11" s="105"/>
    </row>
    <row r="12">
      <c r="A12" s="139" t="s">
        <v>151</v>
      </c>
      <c r="B12" s="122">
        <v>812.0</v>
      </c>
      <c r="C12" s="122">
        <v>27.0</v>
      </c>
      <c r="D12" s="122">
        <v>146.0</v>
      </c>
      <c r="E12" s="122">
        <v>393.0</v>
      </c>
      <c r="F12" s="122">
        <v>10.0</v>
      </c>
      <c r="G12" s="140">
        <v>4963.0</v>
      </c>
      <c r="H12" s="122">
        <v>517.0</v>
      </c>
      <c r="I12" s="140">
        <v>3162.0</v>
      </c>
      <c r="J12" s="140">
        <v>10030.0</v>
      </c>
      <c r="K12" s="105"/>
      <c r="L12" s="105"/>
      <c r="M12" s="105"/>
      <c r="N12" s="105"/>
      <c r="O12" s="105"/>
      <c r="P12" s="105"/>
    </row>
    <row r="13">
      <c r="A13" s="139" t="s">
        <v>152</v>
      </c>
      <c r="B13" s="140">
        <v>1223.0</v>
      </c>
      <c r="C13" s="122">
        <v>22.0</v>
      </c>
      <c r="D13" s="122">
        <v>163.0</v>
      </c>
      <c r="E13" s="122">
        <v>475.0</v>
      </c>
      <c r="F13" s="122">
        <v>8.0</v>
      </c>
      <c r="G13" s="140">
        <v>6315.0</v>
      </c>
      <c r="H13" s="122">
        <v>416.0</v>
      </c>
      <c r="I13" s="140">
        <v>2562.0</v>
      </c>
      <c r="J13" s="140">
        <v>11184.0</v>
      </c>
      <c r="K13" s="105"/>
      <c r="L13" s="105"/>
      <c r="M13" s="105"/>
      <c r="N13" s="105"/>
      <c r="O13" s="105"/>
      <c r="P13" s="105"/>
    </row>
    <row r="14">
      <c r="A14" s="139" t="s">
        <v>153</v>
      </c>
      <c r="B14" s="140">
        <v>1069.0</v>
      </c>
      <c r="C14" s="122">
        <v>42.0</v>
      </c>
      <c r="D14" s="122">
        <v>213.0</v>
      </c>
      <c r="E14" s="122">
        <v>617.0</v>
      </c>
      <c r="F14" s="122">
        <v>17.0</v>
      </c>
      <c r="G14" s="140">
        <v>8631.0</v>
      </c>
      <c r="H14" s="122">
        <v>457.0</v>
      </c>
      <c r="I14" s="140">
        <v>3115.0</v>
      </c>
      <c r="J14" s="140">
        <v>14161.0</v>
      </c>
      <c r="K14" s="105"/>
      <c r="L14" s="105"/>
      <c r="M14" s="105"/>
      <c r="N14" s="105"/>
      <c r="O14" s="105"/>
      <c r="P14" s="105"/>
    </row>
    <row r="15">
      <c r="A15" s="139" t="s">
        <v>154</v>
      </c>
      <c r="B15" s="140">
        <v>1324.0</v>
      </c>
      <c r="C15" s="122">
        <v>37.0</v>
      </c>
      <c r="D15" s="122">
        <v>156.0</v>
      </c>
      <c r="E15" s="122">
        <v>646.0</v>
      </c>
      <c r="F15" s="122">
        <v>19.0</v>
      </c>
      <c r="G15" s="140">
        <v>10914.0</v>
      </c>
      <c r="H15" s="122">
        <v>910.0</v>
      </c>
      <c r="I15" s="140">
        <v>2659.0</v>
      </c>
      <c r="J15" s="140">
        <v>16665.0</v>
      </c>
      <c r="K15" s="105"/>
      <c r="L15" s="105"/>
      <c r="M15" s="105"/>
      <c r="N15" s="105"/>
      <c r="O15" s="105"/>
      <c r="P15" s="105"/>
    </row>
    <row r="16">
      <c r="A16" s="139" t="s">
        <v>155</v>
      </c>
      <c r="B16" s="140">
        <v>1345.0</v>
      </c>
      <c r="C16" s="122">
        <v>37.0</v>
      </c>
      <c r="D16" s="122">
        <v>242.0</v>
      </c>
      <c r="E16" s="122">
        <v>537.0</v>
      </c>
      <c r="F16" s="122">
        <v>23.0</v>
      </c>
      <c r="G16" s="140">
        <v>11367.0</v>
      </c>
      <c r="H16" s="122">
        <v>817.0</v>
      </c>
      <c r="I16" s="140">
        <v>2050.0</v>
      </c>
      <c r="J16" s="140">
        <v>16418.0</v>
      </c>
      <c r="K16" s="105"/>
      <c r="L16" s="105"/>
      <c r="M16" s="105"/>
      <c r="N16" s="105"/>
      <c r="O16" s="105"/>
      <c r="P16" s="105"/>
    </row>
    <row r="17">
      <c r="A17" s="139" t="s">
        <v>156</v>
      </c>
      <c r="B17" s="140">
        <v>1886.0</v>
      </c>
      <c r="C17" s="122">
        <v>84.0</v>
      </c>
      <c r="D17" s="122">
        <v>518.0</v>
      </c>
      <c r="E17" s="122">
        <v>873.0</v>
      </c>
      <c r="F17" s="122">
        <v>39.0</v>
      </c>
      <c r="G17" s="140">
        <v>25024.0</v>
      </c>
      <c r="H17" s="140">
        <v>1279.0</v>
      </c>
      <c r="I17" s="140">
        <v>2860.0</v>
      </c>
      <c r="J17" s="140">
        <v>32563.0</v>
      </c>
      <c r="K17" s="105"/>
      <c r="L17" s="105"/>
      <c r="M17" s="105"/>
      <c r="N17" s="105"/>
      <c r="O17" s="105"/>
      <c r="P17" s="105"/>
    </row>
    <row r="18">
      <c r="A18" s="139" t="s">
        <v>157</v>
      </c>
      <c r="B18" s="140">
        <v>1874.0</v>
      </c>
      <c r="C18" s="122">
        <v>85.0</v>
      </c>
      <c r="D18" s="122">
        <v>599.0</v>
      </c>
      <c r="E18" s="122">
        <v>930.0</v>
      </c>
      <c r="F18" s="122">
        <v>83.0</v>
      </c>
      <c r="G18" s="140">
        <v>35285.0</v>
      </c>
      <c r="H18" s="140">
        <v>1394.0</v>
      </c>
      <c r="I18" s="140">
        <v>4272.0</v>
      </c>
      <c r="J18" s="140">
        <v>44522.0</v>
      </c>
      <c r="K18" s="105"/>
      <c r="L18" s="105"/>
      <c r="M18" s="105"/>
      <c r="N18" s="105"/>
      <c r="O18" s="105"/>
      <c r="P18" s="105"/>
    </row>
    <row r="19">
      <c r="A19" s="139" t="s">
        <v>158</v>
      </c>
      <c r="B19" s="140">
        <v>3416.0</v>
      </c>
      <c r="C19" s="140">
        <v>103.0</v>
      </c>
      <c r="D19" s="140">
        <v>652.0</v>
      </c>
      <c r="E19" s="140">
        <v>1098.0</v>
      </c>
      <c r="F19" s="140">
        <v>71.0</v>
      </c>
      <c r="G19" s="140">
        <v>29187.0</v>
      </c>
      <c r="H19" s="140">
        <v>1539.0</v>
      </c>
      <c r="I19" s="140">
        <v>3628.0</v>
      </c>
      <c r="J19" s="140">
        <v>39694.0</v>
      </c>
    </row>
    <row r="20">
      <c r="A20" s="139" t="s">
        <v>159</v>
      </c>
      <c r="B20" s="140">
        <v>3177.0</v>
      </c>
      <c r="C20" s="122">
        <v>88.0</v>
      </c>
      <c r="D20" s="122">
        <v>599.0</v>
      </c>
      <c r="E20" s="122">
        <v>990.0</v>
      </c>
      <c r="F20" s="122">
        <v>50.0</v>
      </c>
      <c r="G20" s="140">
        <v>24242.0</v>
      </c>
      <c r="H20" s="140">
        <v>1523.0</v>
      </c>
      <c r="I20" s="140">
        <v>1181.0</v>
      </c>
      <c r="J20" s="140">
        <v>31850.0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192</v>
      </c>
      <c r="H1" s="102"/>
      <c r="I1" s="104"/>
      <c r="J1" s="105"/>
      <c r="K1" s="106"/>
      <c r="L1" s="105"/>
      <c r="M1" s="106"/>
      <c r="N1" s="105"/>
      <c r="O1" s="126"/>
    </row>
    <row r="2">
      <c r="A2" s="107" t="s">
        <v>193</v>
      </c>
      <c r="N2" s="105"/>
      <c r="O2" s="105"/>
    </row>
    <row r="3">
      <c r="A3" s="107" t="s">
        <v>0</v>
      </c>
      <c r="B3" s="109">
        <v>44272.0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194</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175</v>
      </c>
      <c r="B7" s="158" t="s">
        <v>69</v>
      </c>
      <c r="C7" s="158" t="s">
        <v>70</v>
      </c>
      <c r="D7" s="159" t="s">
        <v>71</v>
      </c>
      <c r="E7" s="158" t="s">
        <v>72</v>
      </c>
      <c r="F7" s="158" t="s">
        <v>186</v>
      </c>
      <c r="G7" s="159" t="s">
        <v>74</v>
      </c>
      <c r="H7" s="159" t="s">
        <v>75</v>
      </c>
      <c r="I7" s="159" t="s">
        <v>105</v>
      </c>
      <c r="J7" s="105"/>
      <c r="K7" s="105"/>
      <c r="L7" s="105"/>
      <c r="M7" s="105"/>
      <c r="N7" s="105"/>
      <c r="O7" s="105"/>
    </row>
    <row r="8">
      <c r="A8" s="123" t="s">
        <v>163</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164</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353.0</v>
      </c>
      <c r="E10" s="122">
        <v>375.0</v>
      </c>
      <c r="F10" s="140">
        <v>1170.0</v>
      </c>
      <c r="G10" s="122">
        <v>581.0</v>
      </c>
      <c r="H10" s="140">
        <v>9238.0</v>
      </c>
      <c r="I10" s="122">
        <v>596.0</v>
      </c>
      <c r="J10" s="105"/>
      <c r="K10" s="105"/>
      <c r="L10" s="105"/>
      <c r="M10" s="105"/>
      <c r="N10" s="105"/>
      <c r="O10" s="105"/>
    </row>
    <row r="11">
      <c r="A11" s="139" t="s">
        <v>149</v>
      </c>
      <c r="B11" s="122">
        <v>581.0</v>
      </c>
      <c r="C11" s="122">
        <v>378.0</v>
      </c>
      <c r="D11" s="122">
        <v>438.0</v>
      </c>
      <c r="E11" s="122">
        <v>498.0</v>
      </c>
      <c r="F11" s="140">
        <v>1608.0</v>
      </c>
      <c r="G11" s="122">
        <v>925.0</v>
      </c>
      <c r="H11" s="140">
        <v>10226.0</v>
      </c>
      <c r="I11" s="140">
        <v>1128.0</v>
      </c>
      <c r="J11" s="105"/>
      <c r="K11" s="105"/>
      <c r="L11" s="105"/>
      <c r="M11" s="105"/>
      <c r="N11" s="105"/>
      <c r="O11" s="105"/>
    </row>
    <row r="12">
      <c r="A12" s="139" t="s">
        <v>150</v>
      </c>
      <c r="B12" s="122">
        <v>562.0</v>
      </c>
      <c r="C12" s="122">
        <v>270.0</v>
      </c>
      <c r="D12" s="122">
        <v>515.0</v>
      </c>
      <c r="E12" s="122">
        <v>619.0</v>
      </c>
      <c r="F12" s="140">
        <v>1901.0</v>
      </c>
      <c r="G12" s="122">
        <v>796.0</v>
      </c>
      <c r="H12" s="140">
        <v>7630.0</v>
      </c>
      <c r="I12" s="140">
        <v>1132.0</v>
      </c>
      <c r="J12" s="105"/>
      <c r="K12" s="105"/>
      <c r="L12" s="105"/>
      <c r="M12" s="105"/>
      <c r="N12" s="105"/>
      <c r="O12" s="105"/>
    </row>
    <row r="13">
      <c r="A13" s="139" t="s">
        <v>151</v>
      </c>
      <c r="B13" s="122">
        <v>511.0</v>
      </c>
      <c r="C13" s="122">
        <v>728.0</v>
      </c>
      <c r="D13" s="122">
        <v>416.0</v>
      </c>
      <c r="E13" s="122">
        <v>666.0</v>
      </c>
      <c r="F13" s="140">
        <v>1462.0</v>
      </c>
      <c r="G13" s="122">
        <v>646.0</v>
      </c>
      <c r="H13" s="140">
        <v>7292.0</v>
      </c>
      <c r="I13" s="122">
        <v>949.0</v>
      </c>
      <c r="J13" s="105"/>
      <c r="K13" s="105"/>
      <c r="L13" s="105"/>
      <c r="M13" s="105"/>
      <c r="N13" s="105"/>
      <c r="O13" s="105"/>
    </row>
    <row r="14">
      <c r="A14" s="139" t="s">
        <v>152</v>
      </c>
      <c r="B14" s="122">
        <v>770.0</v>
      </c>
      <c r="C14" s="122">
        <v>593.0</v>
      </c>
      <c r="D14" s="122">
        <v>464.0</v>
      </c>
      <c r="E14" s="122">
        <v>805.0</v>
      </c>
      <c r="F14" s="140">
        <v>1170.0</v>
      </c>
      <c r="G14" s="122">
        <v>823.0</v>
      </c>
      <c r="H14" s="140">
        <v>5867.0</v>
      </c>
      <c r="I14" s="140">
        <v>1058.0</v>
      </c>
      <c r="J14" s="105"/>
      <c r="K14" s="105"/>
      <c r="L14" s="105"/>
      <c r="M14" s="105"/>
      <c r="N14" s="105"/>
      <c r="O14" s="105"/>
    </row>
    <row r="15">
      <c r="A15" s="139" t="s">
        <v>153</v>
      </c>
      <c r="B15" s="122">
        <v>673.0</v>
      </c>
      <c r="C15" s="140">
        <v>1133.0</v>
      </c>
      <c r="D15" s="122">
        <v>606.0</v>
      </c>
      <c r="E15" s="140">
        <v>1046.0</v>
      </c>
      <c r="F15" s="140">
        <v>2485.0</v>
      </c>
      <c r="G15" s="140">
        <v>1124.0</v>
      </c>
      <c r="H15" s="140">
        <v>6446.0</v>
      </c>
      <c r="I15" s="140">
        <v>1340.0</v>
      </c>
      <c r="J15" s="105"/>
      <c r="K15" s="105"/>
      <c r="L15" s="105"/>
      <c r="M15" s="105"/>
      <c r="N15" s="105"/>
      <c r="O15" s="105"/>
    </row>
    <row r="16">
      <c r="A16" s="139" t="s">
        <v>154</v>
      </c>
      <c r="B16" s="122">
        <v>833.0</v>
      </c>
      <c r="C16" s="122">
        <v>998.0</v>
      </c>
      <c r="D16" s="122">
        <v>444.0</v>
      </c>
      <c r="E16" s="140">
        <v>1095.0</v>
      </c>
      <c r="F16" s="140">
        <v>2778.0</v>
      </c>
      <c r="G16" s="140">
        <v>1422.0</v>
      </c>
      <c r="H16" s="140">
        <v>12835.0</v>
      </c>
      <c r="I16" s="140">
        <v>1577.0</v>
      </c>
      <c r="J16" s="105"/>
      <c r="K16" s="105"/>
      <c r="L16" s="105"/>
      <c r="M16" s="105"/>
      <c r="N16" s="105"/>
      <c r="O16" s="105"/>
    </row>
    <row r="17">
      <c r="A17" s="139" t="s">
        <v>155</v>
      </c>
      <c r="B17" s="122">
        <v>847.0</v>
      </c>
      <c r="C17" s="122">
        <v>998.0</v>
      </c>
      <c r="D17" s="122">
        <v>689.0</v>
      </c>
      <c r="E17" s="122">
        <v>910.0</v>
      </c>
      <c r="F17" s="140">
        <v>3363.0</v>
      </c>
      <c r="G17" s="140">
        <v>1481.0</v>
      </c>
      <c r="H17" s="140">
        <v>11523.0</v>
      </c>
      <c r="I17" s="140">
        <v>1554.0</v>
      </c>
      <c r="J17" s="105"/>
      <c r="K17" s="105"/>
      <c r="L17" s="105"/>
      <c r="M17" s="105"/>
      <c r="N17" s="105"/>
      <c r="O17" s="105"/>
    </row>
    <row r="18">
      <c r="A18" s="139" t="s">
        <v>156</v>
      </c>
      <c r="B18" s="140">
        <v>1187.0</v>
      </c>
      <c r="C18" s="140">
        <v>2265.0</v>
      </c>
      <c r="D18" s="140">
        <v>1475.0</v>
      </c>
      <c r="E18" s="140">
        <v>1480.0</v>
      </c>
      <c r="F18" s="140">
        <v>5702.0</v>
      </c>
      <c r="G18" s="140">
        <v>3259.0</v>
      </c>
      <c r="H18" s="140">
        <v>18039.0</v>
      </c>
      <c r="I18" s="140">
        <v>3082.0</v>
      </c>
      <c r="J18" s="105"/>
      <c r="K18" s="105"/>
      <c r="L18" s="105"/>
      <c r="M18" s="105"/>
      <c r="N18" s="105"/>
      <c r="O18" s="105"/>
    </row>
    <row r="19">
      <c r="A19" s="139" t="s">
        <v>157</v>
      </c>
      <c r="B19" s="140">
        <v>1180.0</v>
      </c>
      <c r="C19" s="140">
        <v>2292.0</v>
      </c>
      <c r="D19" s="140">
        <v>1705.0</v>
      </c>
      <c r="E19" s="140">
        <v>1576.0</v>
      </c>
      <c r="F19" s="140">
        <v>12135.0</v>
      </c>
      <c r="G19" s="140">
        <v>4596.0</v>
      </c>
      <c r="H19" s="140">
        <v>19661.0</v>
      </c>
      <c r="I19" s="140">
        <v>4214.0</v>
      </c>
      <c r="J19" s="105"/>
      <c r="K19" s="105"/>
      <c r="L19" s="105"/>
      <c r="M19" s="105"/>
      <c r="N19" s="105"/>
      <c r="O19" s="105"/>
    </row>
    <row r="20">
      <c r="A20" s="139" t="s">
        <v>158</v>
      </c>
      <c r="B20" s="140">
        <v>2150.0</v>
      </c>
      <c r="C20" s="140">
        <v>2778.0</v>
      </c>
      <c r="D20" s="140">
        <v>1856.0</v>
      </c>
      <c r="E20" s="140">
        <v>1861.0</v>
      </c>
      <c r="F20" s="140">
        <v>10380.0</v>
      </c>
      <c r="G20" s="140">
        <v>3802.0</v>
      </c>
      <c r="H20" s="140">
        <v>21707.0</v>
      </c>
      <c r="I20" s="140">
        <v>3757.0</v>
      </c>
    </row>
    <row r="21">
      <c r="A21" s="139" t="s">
        <v>159</v>
      </c>
      <c r="B21" s="140">
        <v>2000.0</v>
      </c>
      <c r="C21" s="140">
        <v>2373.0</v>
      </c>
      <c r="D21" s="140">
        <v>1705.0</v>
      </c>
      <c r="E21" s="140">
        <v>1678.0</v>
      </c>
      <c r="F21" s="140">
        <v>7310.0</v>
      </c>
      <c r="G21" s="140">
        <v>3158.0</v>
      </c>
      <c r="H21" s="140">
        <v>21481.0</v>
      </c>
      <c r="I21" s="140">
        <v>3014.0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195</v>
      </c>
      <c r="G1" s="103"/>
      <c r="H1" s="103"/>
      <c r="I1" s="103"/>
      <c r="J1" s="104"/>
      <c r="K1" s="105"/>
      <c r="L1" s="106"/>
      <c r="M1" s="105"/>
      <c r="N1" s="106"/>
      <c r="O1" s="105"/>
      <c r="P1" s="126"/>
    </row>
    <row r="2">
      <c r="A2" s="107" t="s">
        <v>173</v>
      </c>
      <c r="G2" s="105"/>
      <c r="H2" s="105"/>
      <c r="I2" s="105"/>
      <c r="J2" s="108"/>
      <c r="K2" s="105"/>
      <c r="L2" s="105"/>
      <c r="M2" s="105"/>
      <c r="N2" s="105"/>
      <c r="O2" s="105"/>
      <c r="P2" s="105"/>
    </row>
    <row r="3">
      <c r="A3" s="107" t="s">
        <v>0</v>
      </c>
      <c r="B3" s="109">
        <v>44272.0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196</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182</v>
      </c>
      <c r="B7" s="158" t="s">
        <v>69</v>
      </c>
      <c r="C7" s="158" t="s">
        <v>70</v>
      </c>
      <c r="D7" s="159" t="s">
        <v>71</v>
      </c>
      <c r="E7" s="158" t="s">
        <v>72</v>
      </c>
      <c r="F7" s="158" t="s">
        <v>186</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2521.0</v>
      </c>
      <c r="H11" s="122">
        <v>298.0</v>
      </c>
      <c r="I11" s="122">
        <v>351.0</v>
      </c>
      <c r="J11" s="140">
        <v>3499.0</v>
      </c>
      <c r="K11" s="105"/>
      <c r="L11" s="105"/>
      <c r="M11" s="105"/>
      <c r="N11" s="105"/>
      <c r="O11" s="105"/>
      <c r="P11" s="105"/>
    </row>
    <row r="12">
      <c r="A12" s="139" t="s">
        <v>151</v>
      </c>
      <c r="B12" s="122">
        <v>272.0</v>
      </c>
      <c r="C12" s="122">
        <v>7.0</v>
      </c>
      <c r="D12" s="122">
        <v>128.0</v>
      </c>
      <c r="E12" s="122">
        <v>187.0</v>
      </c>
      <c r="F12" s="122">
        <v>7.0</v>
      </c>
      <c r="G12" s="140">
        <v>4056.0</v>
      </c>
      <c r="H12" s="122">
        <v>594.0</v>
      </c>
      <c r="I12" s="122">
        <v>437.0</v>
      </c>
      <c r="J12" s="140">
        <v>5688.0</v>
      </c>
      <c r="K12" s="105"/>
      <c r="L12" s="105"/>
      <c r="M12" s="105"/>
      <c r="N12" s="105"/>
      <c r="O12" s="105"/>
      <c r="P12" s="105"/>
    </row>
    <row r="13">
      <c r="A13" s="139" t="s">
        <v>152</v>
      </c>
      <c r="B13" s="122">
        <v>117.0</v>
      </c>
      <c r="C13" s="122" t="s">
        <v>55</v>
      </c>
      <c r="D13" s="122">
        <v>33.0</v>
      </c>
      <c r="E13" s="122">
        <v>78.0</v>
      </c>
      <c r="F13" s="122" t="s">
        <v>55</v>
      </c>
      <c r="G13" s="140">
        <v>1290.0</v>
      </c>
      <c r="H13" s="122">
        <v>185.0</v>
      </c>
      <c r="I13" s="140">
        <v>1936.0</v>
      </c>
      <c r="J13" s="140">
        <v>3644.0</v>
      </c>
      <c r="K13" s="105"/>
      <c r="L13" s="105"/>
      <c r="M13" s="105"/>
      <c r="N13" s="105"/>
      <c r="O13" s="105"/>
      <c r="P13" s="105"/>
    </row>
    <row r="14">
      <c r="A14" s="139" t="s">
        <v>153</v>
      </c>
      <c r="B14" s="122">
        <v>812.0</v>
      </c>
      <c r="C14" s="122">
        <v>14.0</v>
      </c>
      <c r="D14" s="122">
        <v>127.0</v>
      </c>
      <c r="E14" s="122">
        <v>259.0</v>
      </c>
      <c r="F14" s="122">
        <v>12.0</v>
      </c>
      <c r="G14" s="140">
        <v>6717.0</v>
      </c>
      <c r="H14" s="122">
        <v>641.0</v>
      </c>
      <c r="I14" s="140">
        <v>3745.0</v>
      </c>
      <c r="J14" s="140">
        <v>12327.0</v>
      </c>
      <c r="K14" s="105"/>
      <c r="L14" s="105"/>
      <c r="M14" s="105"/>
      <c r="N14" s="105"/>
      <c r="O14" s="105"/>
      <c r="P14" s="105"/>
    </row>
    <row r="15">
      <c r="A15" s="139" t="s">
        <v>154</v>
      </c>
      <c r="B15" s="122">
        <v>840.0</v>
      </c>
      <c r="C15" s="122">
        <v>11.0</v>
      </c>
      <c r="D15" s="122">
        <v>170.0</v>
      </c>
      <c r="E15" s="122">
        <v>314.0</v>
      </c>
      <c r="F15" s="122">
        <v>8.0</v>
      </c>
      <c r="G15" s="140">
        <v>5101.0</v>
      </c>
      <c r="H15" s="122">
        <v>482.0</v>
      </c>
      <c r="I15" s="140">
        <v>2314.0</v>
      </c>
      <c r="J15" s="140">
        <v>9240.0</v>
      </c>
      <c r="K15" s="105"/>
      <c r="L15" s="105"/>
      <c r="M15" s="105"/>
      <c r="N15" s="105"/>
      <c r="O15" s="105"/>
      <c r="P15" s="105"/>
    </row>
    <row r="16">
      <c r="A16" s="139" t="s">
        <v>155</v>
      </c>
      <c r="B16" s="122">
        <v>854.0</v>
      </c>
      <c r="C16" s="122">
        <v>25.0</v>
      </c>
      <c r="D16" s="122">
        <v>159.0</v>
      </c>
      <c r="E16" s="122">
        <v>450.0</v>
      </c>
      <c r="F16" s="122">
        <v>12.0</v>
      </c>
      <c r="G16" s="140">
        <v>7043.0</v>
      </c>
      <c r="H16" s="122">
        <v>575.0</v>
      </c>
      <c r="I16" s="140">
        <v>2454.0</v>
      </c>
      <c r="J16" s="140">
        <v>11572.0</v>
      </c>
      <c r="K16" s="105"/>
      <c r="L16" s="105"/>
      <c r="M16" s="105"/>
      <c r="N16" s="105"/>
      <c r="O16" s="105"/>
      <c r="P16" s="105"/>
    </row>
    <row r="17">
      <c r="A17" s="139" t="s">
        <v>156</v>
      </c>
      <c r="B17" s="140">
        <v>1129.0</v>
      </c>
      <c r="C17" s="122">
        <v>31.0</v>
      </c>
      <c r="D17" s="122">
        <v>162.0</v>
      </c>
      <c r="E17" s="122">
        <v>438.0</v>
      </c>
      <c r="F17" s="122">
        <v>7.0</v>
      </c>
      <c r="G17" s="140">
        <v>5575.0</v>
      </c>
      <c r="H17" s="122">
        <v>353.0</v>
      </c>
      <c r="I17" s="140">
        <v>2944.0</v>
      </c>
      <c r="J17" s="140">
        <v>10639.0</v>
      </c>
      <c r="K17" s="105"/>
      <c r="L17" s="105"/>
      <c r="M17" s="105"/>
      <c r="N17" s="105"/>
      <c r="O17" s="105"/>
      <c r="P17" s="105"/>
    </row>
    <row r="18">
      <c r="A18" s="139" t="s">
        <v>157</v>
      </c>
      <c r="B18" s="140">
        <v>1189.0</v>
      </c>
      <c r="C18" s="122">
        <v>37.0</v>
      </c>
      <c r="D18" s="122">
        <v>190.0</v>
      </c>
      <c r="E18" s="122">
        <v>602.0</v>
      </c>
      <c r="F18" s="122">
        <v>22.0</v>
      </c>
      <c r="G18" s="140">
        <v>8715.0</v>
      </c>
      <c r="H18" s="122">
        <v>645.0</v>
      </c>
      <c r="I18" s="140">
        <v>2344.0</v>
      </c>
      <c r="J18" s="140">
        <v>13744.0</v>
      </c>
      <c r="K18" s="105"/>
      <c r="L18" s="105"/>
      <c r="M18" s="105"/>
      <c r="N18" s="105"/>
      <c r="O18" s="105"/>
      <c r="P18" s="105"/>
    </row>
    <row r="19">
      <c r="A19" s="139" t="s">
        <v>158</v>
      </c>
      <c r="B19" s="140">
        <v>1128.0</v>
      </c>
      <c r="C19" s="140">
        <v>28.0</v>
      </c>
      <c r="D19" s="140">
        <v>163.0</v>
      </c>
      <c r="E19" s="140">
        <v>572.0</v>
      </c>
      <c r="F19" s="140">
        <v>18.0</v>
      </c>
      <c r="G19" s="140">
        <v>10393.0</v>
      </c>
      <c r="H19" s="140">
        <v>1032.0</v>
      </c>
      <c r="I19" s="140">
        <v>1466.0</v>
      </c>
      <c r="J19" s="140">
        <v>14800.0</v>
      </c>
    </row>
    <row r="20">
      <c r="A20" s="139" t="s">
        <v>159</v>
      </c>
      <c r="B20" s="140">
        <v>1569.0</v>
      </c>
      <c r="C20" s="122">
        <v>52.0</v>
      </c>
      <c r="D20" s="122">
        <v>322.0</v>
      </c>
      <c r="E20" s="122">
        <v>629.0</v>
      </c>
      <c r="F20" s="122">
        <v>23.0</v>
      </c>
      <c r="G20" s="140">
        <v>15088.0</v>
      </c>
      <c r="H20" s="122">
        <v>956.0</v>
      </c>
      <c r="I20" s="140">
        <v>1227.0</v>
      </c>
      <c r="J20" s="140">
        <v>19866.0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197</v>
      </c>
      <c r="H1" s="103"/>
      <c r="I1" s="104"/>
      <c r="J1" s="105"/>
      <c r="K1" s="106"/>
      <c r="L1" s="105"/>
      <c r="M1" s="106"/>
      <c r="N1" s="105"/>
      <c r="O1" s="126"/>
    </row>
    <row r="2">
      <c r="A2" s="107" t="s">
        <v>193</v>
      </c>
      <c r="N2" s="105"/>
      <c r="O2" s="105"/>
    </row>
    <row r="3">
      <c r="A3" s="107" t="s">
        <v>0</v>
      </c>
      <c r="B3" s="109">
        <v>44272.0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198</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182</v>
      </c>
      <c r="B7" s="158" t="s">
        <v>69</v>
      </c>
      <c r="C7" s="158" t="s">
        <v>70</v>
      </c>
      <c r="D7" s="159" t="s">
        <v>71</v>
      </c>
      <c r="E7" s="158" t="s">
        <v>72</v>
      </c>
      <c r="F7" s="158" t="s">
        <v>186</v>
      </c>
      <c r="G7" s="159" t="s">
        <v>74</v>
      </c>
      <c r="H7" s="159" t="s">
        <v>75</v>
      </c>
      <c r="I7" s="159" t="s">
        <v>105</v>
      </c>
      <c r="J7" s="105"/>
      <c r="K7" s="105"/>
      <c r="L7" s="105"/>
      <c r="M7" s="105"/>
      <c r="N7" s="105"/>
      <c r="O7" s="105"/>
    </row>
    <row r="8">
      <c r="A8" s="123" t="s">
        <v>163</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164</v>
      </c>
      <c r="C11" s="122">
        <v>0.0</v>
      </c>
      <c r="D11" s="122" t="s">
        <v>164</v>
      </c>
      <c r="E11" s="122" t="s">
        <v>164</v>
      </c>
      <c r="F11" s="122">
        <v>0.0</v>
      </c>
      <c r="G11" s="122">
        <v>1.0</v>
      </c>
      <c r="H11" s="122" t="s">
        <v>164</v>
      </c>
      <c r="I11" s="122">
        <v>2.0</v>
      </c>
      <c r="J11" s="105"/>
      <c r="K11" s="105"/>
      <c r="L11" s="105"/>
      <c r="M11" s="105"/>
      <c r="N11" s="105"/>
      <c r="O11" s="105"/>
    </row>
    <row r="12">
      <c r="A12" s="139" t="s">
        <v>150</v>
      </c>
      <c r="B12" s="122">
        <v>76.0</v>
      </c>
      <c r="C12" s="122" t="s">
        <v>164</v>
      </c>
      <c r="D12" s="122">
        <v>302.0</v>
      </c>
      <c r="E12" s="122">
        <v>161.0</v>
      </c>
      <c r="F12" s="122">
        <v>731.0</v>
      </c>
      <c r="G12" s="122">
        <v>328.0</v>
      </c>
      <c r="H12" s="140">
        <v>4203.0</v>
      </c>
      <c r="I12" s="122">
        <v>331.0</v>
      </c>
      <c r="J12" s="105"/>
      <c r="K12" s="105"/>
      <c r="L12" s="105"/>
      <c r="M12" s="105"/>
      <c r="N12" s="105"/>
      <c r="O12" s="105"/>
    </row>
    <row r="13">
      <c r="A13" s="139" t="s">
        <v>151</v>
      </c>
      <c r="B13" s="122">
        <v>171.0</v>
      </c>
      <c r="C13" s="122">
        <v>189.0</v>
      </c>
      <c r="D13" s="122">
        <v>364.0</v>
      </c>
      <c r="E13" s="122">
        <v>317.0</v>
      </c>
      <c r="F13" s="140">
        <v>1023.0</v>
      </c>
      <c r="G13" s="122">
        <v>528.0</v>
      </c>
      <c r="H13" s="140">
        <v>8378.0</v>
      </c>
      <c r="I13" s="122">
        <v>538.0</v>
      </c>
      <c r="J13" s="105"/>
      <c r="K13" s="105"/>
      <c r="L13" s="105"/>
      <c r="M13" s="105"/>
      <c r="N13" s="105"/>
      <c r="O13" s="105"/>
    </row>
    <row r="14">
      <c r="A14" s="139" t="s">
        <v>152</v>
      </c>
      <c r="B14" s="122">
        <v>74.0</v>
      </c>
      <c r="C14" s="122" t="s">
        <v>164</v>
      </c>
      <c r="D14" s="122">
        <v>94.0</v>
      </c>
      <c r="E14" s="122">
        <v>132.0</v>
      </c>
      <c r="F14" s="122" t="s">
        <v>164</v>
      </c>
      <c r="G14" s="122">
        <v>168.0</v>
      </c>
      <c r="H14" s="140">
        <v>2609.0</v>
      </c>
      <c r="I14" s="122">
        <v>345.0</v>
      </c>
      <c r="J14" s="105"/>
      <c r="K14" s="105"/>
      <c r="L14" s="105"/>
      <c r="M14" s="105"/>
      <c r="N14" s="105"/>
      <c r="O14" s="105"/>
    </row>
    <row r="15">
      <c r="A15" s="139" t="s">
        <v>153</v>
      </c>
      <c r="B15" s="122">
        <v>511.0</v>
      </c>
      <c r="C15" s="122">
        <v>378.0</v>
      </c>
      <c r="D15" s="122">
        <v>362.0</v>
      </c>
      <c r="E15" s="122">
        <v>439.0</v>
      </c>
      <c r="F15" s="140">
        <v>1754.0</v>
      </c>
      <c r="G15" s="122">
        <v>875.0</v>
      </c>
      <c r="H15" s="140">
        <v>9041.0</v>
      </c>
      <c r="I15" s="140">
        <v>1167.0</v>
      </c>
      <c r="J15" s="105"/>
      <c r="K15" s="105"/>
      <c r="L15" s="105"/>
      <c r="M15" s="105"/>
      <c r="N15" s="105"/>
      <c r="O15" s="105"/>
    </row>
    <row r="16">
      <c r="A16" s="139" t="s">
        <v>154</v>
      </c>
      <c r="B16" s="122">
        <v>529.0</v>
      </c>
      <c r="C16" s="122">
        <v>297.0</v>
      </c>
      <c r="D16" s="122">
        <v>484.0</v>
      </c>
      <c r="E16" s="122">
        <v>532.0</v>
      </c>
      <c r="F16" s="140">
        <v>1170.0</v>
      </c>
      <c r="G16" s="122">
        <v>664.0</v>
      </c>
      <c r="H16" s="140">
        <v>6798.0</v>
      </c>
      <c r="I16" s="122">
        <v>874.0</v>
      </c>
      <c r="J16" s="105"/>
      <c r="K16" s="105"/>
      <c r="L16" s="105"/>
      <c r="M16" s="105"/>
      <c r="N16" s="105"/>
      <c r="O16" s="105"/>
    </row>
    <row r="17">
      <c r="A17" s="139" t="s">
        <v>155</v>
      </c>
      <c r="B17" s="122">
        <v>538.0</v>
      </c>
      <c r="C17" s="122">
        <v>674.0</v>
      </c>
      <c r="D17" s="122">
        <v>453.0</v>
      </c>
      <c r="E17" s="122">
        <v>763.0</v>
      </c>
      <c r="F17" s="140">
        <v>1754.0</v>
      </c>
      <c r="G17" s="122">
        <v>917.0</v>
      </c>
      <c r="H17" s="140">
        <v>8110.0</v>
      </c>
      <c r="I17" s="140">
        <v>1095.0</v>
      </c>
      <c r="J17" s="105"/>
      <c r="K17" s="105"/>
      <c r="L17" s="105"/>
      <c r="M17" s="105"/>
      <c r="N17" s="105"/>
      <c r="O17" s="105"/>
    </row>
    <row r="18">
      <c r="A18" s="139" t="s">
        <v>156</v>
      </c>
      <c r="B18" s="122">
        <v>711.0</v>
      </c>
      <c r="C18" s="122">
        <v>836.0</v>
      </c>
      <c r="D18" s="122">
        <v>461.0</v>
      </c>
      <c r="E18" s="122">
        <v>742.0</v>
      </c>
      <c r="F18" s="140">
        <v>1023.0</v>
      </c>
      <c r="G18" s="122">
        <v>726.0</v>
      </c>
      <c r="H18" s="140">
        <v>4979.0</v>
      </c>
      <c r="I18" s="140">
        <v>1007.0</v>
      </c>
      <c r="J18" s="105"/>
      <c r="K18" s="105"/>
      <c r="L18" s="105"/>
      <c r="M18" s="105"/>
      <c r="N18" s="105"/>
      <c r="O18" s="105"/>
    </row>
    <row r="19">
      <c r="A19" s="139" t="s">
        <v>157</v>
      </c>
      <c r="B19" s="122">
        <v>748.0</v>
      </c>
      <c r="C19" s="122">
        <v>998.0</v>
      </c>
      <c r="D19" s="122">
        <v>541.0</v>
      </c>
      <c r="E19" s="140">
        <v>1020.0</v>
      </c>
      <c r="F19" s="140">
        <v>3216.0</v>
      </c>
      <c r="G19" s="140">
        <v>1135.0</v>
      </c>
      <c r="H19" s="140">
        <v>9097.0</v>
      </c>
      <c r="I19" s="140">
        <v>1301.0</v>
      </c>
      <c r="J19" s="105"/>
      <c r="K19" s="105"/>
      <c r="L19" s="105"/>
      <c r="M19" s="105"/>
      <c r="N19" s="105"/>
      <c r="O19" s="105"/>
    </row>
    <row r="20">
      <c r="A20" s="139" t="s">
        <v>158</v>
      </c>
      <c r="B20" s="122">
        <v>710.0</v>
      </c>
      <c r="C20" s="122">
        <v>755.0</v>
      </c>
      <c r="D20" s="122">
        <v>464.0</v>
      </c>
      <c r="E20" s="122">
        <v>969.0</v>
      </c>
      <c r="F20" s="140">
        <v>2632.0</v>
      </c>
      <c r="G20" s="140">
        <v>1354.0</v>
      </c>
      <c r="H20" s="140">
        <v>14556.0</v>
      </c>
      <c r="I20" s="140">
        <v>1401.0</v>
      </c>
    </row>
    <row r="21">
      <c r="A21" s="139" t="s">
        <v>159</v>
      </c>
      <c r="B21" s="122">
        <v>988.0</v>
      </c>
      <c r="C21" s="140">
        <v>1402.0</v>
      </c>
      <c r="D21" s="122">
        <v>917.0</v>
      </c>
      <c r="E21" s="140">
        <v>1066.0</v>
      </c>
      <c r="F21" s="140">
        <v>3363.0</v>
      </c>
      <c r="G21" s="140">
        <v>1965.0</v>
      </c>
      <c r="H21" s="140">
        <v>13484.0</v>
      </c>
      <c r="I21" s="140">
        <v>1880.0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199</v>
      </c>
      <c r="H1" s="105"/>
      <c r="I1" s="105"/>
      <c r="J1" s="105"/>
      <c r="K1" s="105"/>
      <c r="L1" s="105"/>
      <c r="M1" s="105"/>
      <c r="N1" s="105"/>
      <c r="O1" s="105"/>
      <c r="P1" s="105"/>
      <c r="Q1" s="105"/>
      <c r="R1" s="105"/>
      <c r="S1" s="105"/>
      <c r="T1" s="105"/>
      <c r="U1" s="105"/>
    </row>
    <row r="2">
      <c r="A2" s="167" t="s">
        <v>200</v>
      </c>
      <c r="M2" s="105"/>
      <c r="N2" s="105"/>
      <c r="O2" s="105"/>
      <c r="P2" s="105"/>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202</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203</v>
      </c>
      <c r="C7" s="43"/>
      <c r="D7" s="172" t="s">
        <v>204</v>
      </c>
      <c r="E7" s="43"/>
      <c r="F7" s="173" t="s">
        <v>205</v>
      </c>
      <c r="G7" s="43"/>
      <c r="H7" s="172"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v>31.0</v>
      </c>
      <c r="C9" s="122">
        <v>38.0</v>
      </c>
      <c r="D9" s="122" t="s">
        <v>55</v>
      </c>
      <c r="E9" s="122">
        <v>37.0</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v>49.0</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v>79.0</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214</v>
      </c>
      <c r="J1" s="105"/>
      <c r="K1" s="105"/>
      <c r="L1" s="105"/>
      <c r="M1" s="105"/>
      <c r="N1" s="105"/>
      <c r="O1" s="105"/>
      <c r="P1" s="105"/>
      <c r="Q1" s="105"/>
      <c r="R1" s="105"/>
      <c r="S1" s="105"/>
      <c r="T1" s="105"/>
      <c r="U1" s="105"/>
    </row>
    <row r="2">
      <c r="A2" s="181" t="s">
        <v>215</v>
      </c>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216</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203</v>
      </c>
      <c r="C7" s="43"/>
      <c r="D7" s="172" t="s">
        <v>204</v>
      </c>
      <c r="E7" s="43"/>
      <c r="F7" s="173" t="s">
        <v>205</v>
      </c>
      <c r="G7" s="43"/>
      <c r="H7" s="173"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v>21.0</v>
      </c>
      <c r="F10" s="122">
        <v>25.0</v>
      </c>
      <c r="G10" s="122">
        <v>35.0</v>
      </c>
      <c r="H10" s="122">
        <v>136.0</v>
      </c>
      <c r="I10" s="122">
        <v>170.0</v>
      </c>
      <c r="J10" s="122">
        <v>0.0</v>
      </c>
      <c r="K10" s="122">
        <v>0.0</v>
      </c>
      <c r="L10" s="122">
        <v>45.0</v>
      </c>
      <c r="M10" s="122">
        <v>30.0</v>
      </c>
      <c r="N10" s="122">
        <v>15.0</v>
      </c>
      <c r="O10" s="122">
        <v>26.0</v>
      </c>
      <c r="P10" s="122" t="s">
        <v>55</v>
      </c>
      <c r="Q10" s="122">
        <v>2.0</v>
      </c>
      <c r="R10" s="105"/>
      <c r="S10" s="105"/>
      <c r="T10" s="105"/>
      <c r="U10" s="105"/>
    </row>
    <row r="11">
      <c r="A11" s="176">
        <v>43952.0</v>
      </c>
      <c r="B11" s="122">
        <v>106.0</v>
      </c>
      <c r="C11" s="122">
        <v>169.0</v>
      </c>
      <c r="D11" s="122" t="s">
        <v>55</v>
      </c>
      <c r="E11" s="122">
        <v>21.0</v>
      </c>
      <c r="F11" s="122">
        <v>34.0</v>
      </c>
      <c r="G11" s="122">
        <v>41.0</v>
      </c>
      <c r="H11" s="122">
        <v>94.0</v>
      </c>
      <c r="I11" s="122">
        <v>111.0</v>
      </c>
      <c r="J11" s="122">
        <v>0.0</v>
      </c>
      <c r="K11" s="122">
        <v>0.0</v>
      </c>
      <c r="L11" s="122">
        <v>33.0</v>
      </c>
      <c r="M11" s="122">
        <v>23.0</v>
      </c>
      <c r="N11" s="122">
        <v>15.0</v>
      </c>
      <c r="O11" s="122">
        <v>27.0</v>
      </c>
      <c r="P11" s="122" t="s">
        <v>55</v>
      </c>
      <c r="Q11" s="122">
        <v>5.0</v>
      </c>
      <c r="R11" s="105"/>
      <c r="S11" s="105"/>
      <c r="T11" s="105"/>
      <c r="U11" s="105"/>
    </row>
    <row r="12">
      <c r="A12" s="176">
        <v>43983.0</v>
      </c>
      <c r="B12" s="122">
        <v>54.0</v>
      </c>
      <c r="C12" s="122">
        <v>73.0</v>
      </c>
      <c r="D12" s="122">
        <v>0.0</v>
      </c>
      <c r="E12" s="122">
        <v>0.0</v>
      </c>
      <c r="F12" s="122" t="s">
        <v>55</v>
      </c>
      <c r="G12" s="122">
        <v>6.0</v>
      </c>
      <c r="H12" s="122">
        <v>32.0</v>
      </c>
      <c r="I12" s="122">
        <v>36.0</v>
      </c>
      <c r="J12" s="122">
        <v>0.0</v>
      </c>
      <c r="K12" s="122">
        <v>0.0</v>
      </c>
      <c r="L12" s="122">
        <v>8.0</v>
      </c>
      <c r="M12" s="122">
        <v>6.0</v>
      </c>
      <c r="N12" s="122" t="s">
        <v>55</v>
      </c>
      <c r="O12" s="122">
        <v>10.0</v>
      </c>
      <c r="P12" s="122">
        <v>0.0</v>
      </c>
      <c r="Q12" s="122">
        <v>0.0</v>
      </c>
      <c r="R12" s="105"/>
      <c r="S12" s="105"/>
      <c r="T12" s="105"/>
      <c r="U12" s="105"/>
    </row>
    <row r="13">
      <c r="A13" s="176">
        <v>44013.0</v>
      </c>
      <c r="B13" s="122">
        <v>38.0</v>
      </c>
      <c r="C13" s="122">
        <v>49.0</v>
      </c>
      <c r="D13" s="122" t="s">
        <v>55</v>
      </c>
      <c r="E13" s="122">
        <v>15.0</v>
      </c>
      <c r="F13" s="122">
        <v>22.0</v>
      </c>
      <c r="G13" s="122">
        <v>25.0</v>
      </c>
      <c r="H13" s="122">
        <v>27.0</v>
      </c>
      <c r="I13" s="122">
        <v>32.0</v>
      </c>
      <c r="J13" s="122">
        <v>0.0</v>
      </c>
      <c r="K13" s="122">
        <v>0.0</v>
      </c>
      <c r="L13" s="122">
        <v>9.0</v>
      </c>
      <c r="M13" s="122">
        <v>6.0</v>
      </c>
      <c r="N13" s="122" t="s">
        <v>55</v>
      </c>
      <c r="O13" s="122">
        <v>7.0</v>
      </c>
      <c r="P13" s="122" t="s">
        <v>55</v>
      </c>
      <c r="Q13" s="122">
        <v>19.0</v>
      </c>
      <c r="R13" s="105"/>
      <c r="S13" s="105"/>
      <c r="T13" s="105"/>
      <c r="U13" s="105"/>
    </row>
    <row r="14">
      <c r="A14" s="176">
        <v>44044.0</v>
      </c>
      <c r="B14" s="122">
        <v>64.0</v>
      </c>
      <c r="C14" s="122">
        <v>79.0</v>
      </c>
      <c r="D14" s="122" t="s">
        <v>55</v>
      </c>
      <c r="E14" s="122">
        <v>10.0</v>
      </c>
      <c r="F14" s="122" t="s">
        <v>55</v>
      </c>
      <c r="G14" s="122">
        <v>16.0</v>
      </c>
      <c r="H14" s="122">
        <v>26.0</v>
      </c>
      <c r="I14" s="122">
        <v>29.0</v>
      </c>
      <c r="J14" s="122">
        <v>0.0</v>
      </c>
      <c r="K14" s="122">
        <v>0.0</v>
      </c>
      <c r="L14" s="122">
        <v>11.0</v>
      </c>
      <c r="M14" s="122">
        <v>9.0</v>
      </c>
      <c r="N14" s="122">
        <v>9.0</v>
      </c>
      <c r="O14" s="122">
        <v>16.0</v>
      </c>
      <c r="P14" s="122" t="s">
        <v>55</v>
      </c>
      <c r="Q14" s="122">
        <v>11.0</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v>14.0</v>
      </c>
      <c r="F16" s="122">
        <v>25.0</v>
      </c>
      <c r="G16" s="122">
        <v>28.0</v>
      </c>
      <c r="H16" s="122">
        <v>64.0</v>
      </c>
      <c r="I16" s="122">
        <v>78.0</v>
      </c>
      <c r="J16" s="122">
        <v>0.0</v>
      </c>
      <c r="K16" s="122">
        <v>0.0</v>
      </c>
      <c r="L16" s="122">
        <v>30.0</v>
      </c>
      <c r="M16" s="122">
        <v>21.0</v>
      </c>
      <c r="N16" s="122">
        <v>31.0</v>
      </c>
      <c r="O16" s="122">
        <v>50.0</v>
      </c>
      <c r="P16" s="122" t="s">
        <v>55</v>
      </c>
      <c r="Q16" s="122">
        <v>15.0</v>
      </c>
      <c r="R16" s="105"/>
      <c r="S16" s="105"/>
      <c r="T16" s="105"/>
      <c r="U16" s="105"/>
    </row>
    <row r="17">
      <c r="A17" s="176">
        <v>44136.0</v>
      </c>
      <c r="B17" s="122">
        <v>141.0</v>
      </c>
      <c r="C17" s="122">
        <v>222.0</v>
      </c>
      <c r="D17" s="122" t="s">
        <v>55</v>
      </c>
      <c r="E17" s="122">
        <v>33.0</v>
      </c>
      <c r="F17" s="122">
        <v>67.0</v>
      </c>
      <c r="G17" s="122">
        <v>83.0</v>
      </c>
      <c r="H17" s="122">
        <v>114.0</v>
      </c>
      <c r="I17" s="122">
        <v>145.0</v>
      </c>
      <c r="J17" s="122">
        <v>0.0</v>
      </c>
      <c r="K17" s="122">
        <v>0.0</v>
      </c>
      <c r="L17" s="122">
        <v>81.0</v>
      </c>
      <c r="M17" s="122">
        <v>56.0</v>
      </c>
      <c r="N17" s="122">
        <v>53.0</v>
      </c>
      <c r="O17" s="122">
        <v>95.0</v>
      </c>
      <c r="P17" s="122" t="s">
        <v>55</v>
      </c>
      <c r="Q17" s="122">
        <v>20.0</v>
      </c>
      <c r="R17" s="105"/>
      <c r="S17" s="105"/>
      <c r="T17" s="105"/>
      <c r="U17" s="105"/>
    </row>
    <row r="18">
      <c r="A18" s="184">
        <v>44166.0</v>
      </c>
      <c r="B18" s="122">
        <v>178.0</v>
      </c>
      <c r="C18" s="140">
        <v>273.0</v>
      </c>
      <c r="D18" s="122" t="s">
        <v>55</v>
      </c>
      <c r="E18" s="122">
        <v>54.0</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v>57.0</v>
      </c>
      <c r="F19" s="122">
        <v>87.0</v>
      </c>
      <c r="G19" s="122">
        <v>115.0</v>
      </c>
      <c r="H19" s="122">
        <v>95.0</v>
      </c>
      <c r="I19" s="122">
        <v>119.0</v>
      </c>
      <c r="J19" s="122">
        <v>0.0</v>
      </c>
      <c r="K19" s="122">
        <v>0.0</v>
      </c>
      <c r="L19" s="122">
        <v>105.0</v>
      </c>
      <c r="M19" s="122">
        <v>74.0</v>
      </c>
      <c r="N19" s="122">
        <v>62.0</v>
      </c>
      <c r="O19" s="122">
        <v>103.0</v>
      </c>
      <c r="P19" s="122" t="s">
        <v>55</v>
      </c>
      <c r="Q19" s="122">
        <v>24.0</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217</v>
      </c>
      <c r="J1" s="105"/>
      <c r="K1" s="105"/>
      <c r="L1" s="105"/>
      <c r="M1" s="105"/>
      <c r="N1" s="105"/>
      <c r="O1" s="105"/>
      <c r="P1" s="105"/>
      <c r="Q1" s="105"/>
      <c r="R1" s="105"/>
      <c r="S1" s="105"/>
      <c r="T1" s="105"/>
      <c r="U1" s="105"/>
    </row>
    <row r="2">
      <c r="A2" s="167" t="s">
        <v>218</v>
      </c>
      <c r="N2" s="105"/>
      <c r="O2" s="105"/>
      <c r="P2" s="105"/>
      <c r="Q2" s="105"/>
      <c r="R2" s="105"/>
      <c r="S2" s="105"/>
      <c r="T2" s="105"/>
      <c r="U2" s="105"/>
    </row>
    <row r="3">
      <c r="A3" s="167" t="s">
        <v>201</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219</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203</v>
      </c>
      <c r="C7" s="43"/>
      <c r="D7" s="172" t="s">
        <v>204</v>
      </c>
      <c r="E7" s="43"/>
      <c r="F7" s="173" t="s">
        <v>205</v>
      </c>
      <c r="G7" s="43"/>
      <c r="H7" s="173" t="s">
        <v>206</v>
      </c>
      <c r="I7" s="43"/>
      <c r="J7" s="172" t="s">
        <v>207</v>
      </c>
      <c r="K7" s="43"/>
      <c r="L7" s="173" t="s">
        <v>208</v>
      </c>
      <c r="M7" s="43"/>
      <c r="N7" s="173" t="s">
        <v>209</v>
      </c>
      <c r="O7" s="43"/>
      <c r="P7" s="173" t="s">
        <v>210</v>
      </c>
      <c r="Q7" s="43"/>
    </row>
    <row r="8">
      <c r="A8" s="174" t="s">
        <v>211</v>
      </c>
      <c r="B8" s="175" t="s">
        <v>212</v>
      </c>
      <c r="C8" s="175" t="s">
        <v>213</v>
      </c>
      <c r="D8" s="175" t="s">
        <v>212</v>
      </c>
      <c r="E8" s="175" t="s">
        <v>213</v>
      </c>
      <c r="F8" s="175" t="s">
        <v>212</v>
      </c>
      <c r="G8" s="175" t="s">
        <v>213</v>
      </c>
      <c r="H8" s="175" t="s">
        <v>212</v>
      </c>
      <c r="I8" s="175" t="s">
        <v>213</v>
      </c>
      <c r="J8" s="175" t="s">
        <v>212</v>
      </c>
      <c r="K8" s="175" t="s">
        <v>213</v>
      </c>
      <c r="L8" s="175" t="s">
        <v>212</v>
      </c>
      <c r="M8" s="175" t="s">
        <v>213</v>
      </c>
      <c r="N8" s="175" t="s">
        <v>212</v>
      </c>
      <c r="O8" s="175" t="s">
        <v>213</v>
      </c>
      <c r="P8" s="175" t="s">
        <v>212</v>
      </c>
      <c r="Q8" s="175" t="s">
        <v>213</v>
      </c>
      <c r="R8" s="114"/>
      <c r="S8" s="114"/>
      <c r="T8" s="114"/>
      <c r="U8" s="114"/>
    </row>
    <row r="9">
      <c r="A9" s="176">
        <v>43891.0</v>
      </c>
      <c r="B9" s="122" t="s">
        <v>55</v>
      </c>
      <c r="C9" s="122">
        <v>1.0</v>
      </c>
      <c r="D9" s="122">
        <v>0.0</v>
      </c>
      <c r="E9" s="122">
        <v>0.0</v>
      </c>
      <c r="F9" s="122">
        <v>0.0</v>
      </c>
      <c r="G9" s="122">
        <v>0.0</v>
      </c>
      <c r="H9" s="122" t="s">
        <v>55</v>
      </c>
      <c r="I9" s="122">
        <v>2.0</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v>21.0</v>
      </c>
      <c r="F10" s="122" t="s">
        <v>55</v>
      </c>
      <c r="G10" s="122">
        <v>17.0</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v>9.0</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v>2.0</v>
      </c>
      <c r="H13" s="122" t="s">
        <v>55</v>
      </c>
      <c r="I13" s="122">
        <v>6.0</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v>5.0</v>
      </c>
      <c r="J14" s="122">
        <v>0.0</v>
      </c>
      <c r="K14" s="122">
        <v>0.0</v>
      </c>
      <c r="L14" s="122">
        <v>4.0</v>
      </c>
      <c r="M14" s="122">
        <v>2.0</v>
      </c>
      <c r="N14" s="122">
        <v>0.0</v>
      </c>
      <c r="O14" s="122">
        <v>0.0</v>
      </c>
      <c r="P14" s="122">
        <v>0.0</v>
      </c>
      <c r="Q14" s="122">
        <v>0.0</v>
      </c>
      <c r="R14" s="105"/>
      <c r="S14" s="105"/>
      <c r="T14" s="105"/>
      <c r="U14" s="105"/>
    </row>
    <row r="15">
      <c r="A15" s="176">
        <v>44075.0</v>
      </c>
      <c r="B15" s="122" t="s">
        <v>55</v>
      </c>
      <c r="C15" s="122">
        <v>6.0</v>
      </c>
      <c r="D15" s="122">
        <v>0.0</v>
      </c>
      <c r="E15" s="122">
        <v>0.0</v>
      </c>
      <c r="F15" s="122" t="s">
        <v>55</v>
      </c>
      <c r="G15" s="122">
        <v>4.0</v>
      </c>
      <c r="H15" s="122" t="s">
        <v>55</v>
      </c>
      <c r="I15" s="122">
        <v>5.0</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v>6.0</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v>8.0</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v>22.0</v>
      </c>
      <c r="F18" s="122">
        <v>25.0</v>
      </c>
      <c r="G18" s="122">
        <v>41.0</v>
      </c>
      <c r="H18" s="122">
        <v>22.0</v>
      </c>
      <c r="I18" s="122">
        <v>38.0</v>
      </c>
      <c r="J18" s="122">
        <v>0.0</v>
      </c>
      <c r="K18" s="122">
        <v>0.0</v>
      </c>
      <c r="L18" s="122">
        <v>52.0</v>
      </c>
      <c r="M18" s="122">
        <v>30.0</v>
      </c>
      <c r="N18" s="122" t="s">
        <v>55</v>
      </c>
      <c r="O18" s="122">
        <v>7.0</v>
      </c>
      <c r="P18" s="122" t="s">
        <v>55</v>
      </c>
      <c r="Q18" s="122">
        <v>12.0</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v>14.0</v>
      </c>
      <c r="F20" s="122" t="s">
        <v>55</v>
      </c>
      <c r="G20" s="122">
        <v>8.0</v>
      </c>
      <c r="H20" s="122" t="s">
        <v>55</v>
      </c>
      <c r="I20" s="122">
        <v>6.0</v>
      </c>
      <c r="J20" s="122">
        <v>0.0</v>
      </c>
      <c r="K20" s="122">
        <v>0.0</v>
      </c>
      <c r="L20" s="122">
        <v>18.0</v>
      </c>
      <c r="M20" s="122">
        <v>11.0</v>
      </c>
      <c r="N20" s="122" t="s">
        <v>55</v>
      </c>
      <c r="O20" s="122">
        <v>2.0</v>
      </c>
      <c r="P20" s="122">
        <v>0.0</v>
      </c>
      <c r="Q20" s="122">
        <v>0.0</v>
      </c>
      <c r="R20" s="105"/>
      <c r="S20" s="105"/>
      <c r="T20" s="105"/>
      <c r="U20" s="105"/>
    </row>
    <row r="21">
      <c r="A21" s="178" t="s">
        <v>105</v>
      </c>
      <c r="B21" s="180">
        <v>130.0</v>
      </c>
      <c r="C21" s="180">
        <v>293.0</v>
      </c>
      <c r="D21" s="180" t="s">
        <v>55</v>
      </c>
      <c r="E21" s="180">
        <v>58.0</v>
      </c>
      <c r="F21" s="180">
        <v>107.0</v>
      </c>
      <c r="G21" s="180">
        <v>167.0</v>
      </c>
      <c r="H21" s="180">
        <v>152.0</v>
      </c>
      <c r="I21" s="180">
        <v>234.0</v>
      </c>
      <c r="J21" s="180">
        <v>0.0</v>
      </c>
      <c r="K21" s="180">
        <v>0.0</v>
      </c>
      <c r="L21" s="180">
        <v>237.0</v>
      </c>
      <c r="M21" s="180">
        <v>140.0</v>
      </c>
      <c r="N21" s="180" t="s">
        <v>55</v>
      </c>
      <c r="O21" s="180">
        <v>9.0</v>
      </c>
      <c r="P21" s="180" t="s">
        <v>55</v>
      </c>
      <c r="Q21" s="180">
        <v>12.0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220</v>
      </c>
      <c r="B1" s="187" t="s">
        <v>221</v>
      </c>
      <c r="C1" s="187" t="s">
        <v>222</v>
      </c>
      <c r="D1" s="187" t="s">
        <v>223</v>
      </c>
      <c r="E1" s="187" t="s">
        <v>224</v>
      </c>
      <c r="F1" s="187" t="s">
        <v>25</v>
      </c>
      <c r="G1" s="187" t="s">
        <v>225</v>
      </c>
      <c r="H1" s="187" t="s">
        <v>226</v>
      </c>
      <c r="I1" s="187" t="s">
        <v>227</v>
      </c>
    </row>
    <row r="2" ht="14.25" customHeight="1">
      <c r="A2" s="188" t="s">
        <v>228</v>
      </c>
      <c r="B2" s="189">
        <v>1170.0</v>
      </c>
      <c r="C2" s="190">
        <v>7232.0</v>
      </c>
      <c r="D2" s="191">
        <v>68.0</v>
      </c>
      <c r="E2" s="190">
        <v>420.0</v>
      </c>
      <c r="F2" s="190">
        <v>16.0</v>
      </c>
      <c r="G2" s="190">
        <v>99.0</v>
      </c>
      <c r="H2" s="190">
        <v>1923.0</v>
      </c>
      <c r="I2" s="190">
        <v>11887.0</v>
      </c>
    </row>
    <row r="3" ht="14.25" customHeight="1">
      <c r="A3" s="188" t="s">
        <v>229</v>
      </c>
      <c r="B3" s="189">
        <v>2153.0</v>
      </c>
      <c r="C3" s="190">
        <v>9683.0</v>
      </c>
      <c r="D3" s="191">
        <v>122.0</v>
      </c>
      <c r="E3" s="190">
        <v>549.0</v>
      </c>
      <c r="F3" s="190">
        <v>72.0</v>
      </c>
      <c r="G3" s="190">
        <v>324.0</v>
      </c>
      <c r="H3" s="190">
        <v>2259.0</v>
      </c>
      <c r="I3" s="190">
        <v>10160.0</v>
      </c>
    </row>
    <row r="4" ht="14.25" customHeight="1">
      <c r="A4" s="188" t="s">
        <v>230</v>
      </c>
      <c r="B4" s="189">
        <v>1742.0</v>
      </c>
      <c r="C4" s="190">
        <v>10588.0</v>
      </c>
      <c r="D4" s="191">
        <v>64.0</v>
      </c>
      <c r="E4" s="190">
        <v>389.0</v>
      </c>
      <c r="F4" s="190">
        <v>64.0</v>
      </c>
      <c r="G4" s="190">
        <v>389.0</v>
      </c>
      <c r="H4" s="190">
        <v>1426.0</v>
      </c>
      <c r="I4" s="190">
        <v>8667.0</v>
      </c>
    </row>
    <row r="5" ht="14.25" customHeight="1">
      <c r="A5" s="188" t="s">
        <v>231</v>
      </c>
      <c r="B5" s="189">
        <v>4112.0</v>
      </c>
      <c r="C5" s="190">
        <v>21216.0</v>
      </c>
      <c r="D5" s="191">
        <v>222.0</v>
      </c>
      <c r="E5" s="190">
        <v>1145.0</v>
      </c>
      <c r="F5" s="190">
        <v>25.0</v>
      </c>
      <c r="G5" s="190">
        <v>129.0</v>
      </c>
      <c r="H5" s="190">
        <v>3879.0</v>
      </c>
      <c r="I5" s="190">
        <v>20013.0</v>
      </c>
    </row>
    <row r="6" ht="14.25" customHeight="1">
      <c r="A6" s="188" t="s">
        <v>232</v>
      </c>
      <c r="B6" s="189">
        <v>509.0</v>
      </c>
      <c r="C6" s="190">
        <v>6542.0</v>
      </c>
      <c r="D6" s="191">
        <v>24.0</v>
      </c>
      <c r="E6" s="190">
        <v>308.0</v>
      </c>
      <c r="F6" s="190" t="s">
        <v>55</v>
      </c>
      <c r="G6" s="190" t="s">
        <v>38</v>
      </c>
      <c r="H6" s="190">
        <v>732.0</v>
      </c>
      <c r="I6" s="190">
        <v>9409.0</v>
      </c>
    </row>
    <row r="7" ht="14.25" customHeight="1">
      <c r="A7" s="188" t="s">
        <v>233</v>
      </c>
      <c r="B7" s="189">
        <v>3520.0</v>
      </c>
      <c r="C7" s="190">
        <v>10181.0</v>
      </c>
      <c r="D7" s="191">
        <v>215.0</v>
      </c>
      <c r="E7" s="190">
        <v>622.0</v>
      </c>
      <c r="F7" s="190">
        <v>93.0</v>
      </c>
      <c r="G7" s="190">
        <v>269.0</v>
      </c>
      <c r="H7" s="190">
        <v>3852.0</v>
      </c>
      <c r="I7" s="190">
        <v>11141.0</v>
      </c>
    </row>
    <row r="8" ht="14.25" customHeight="1">
      <c r="A8" s="188" t="s">
        <v>234</v>
      </c>
      <c r="B8" s="189">
        <v>11417.0</v>
      </c>
      <c r="C8" s="190">
        <v>14061.0</v>
      </c>
      <c r="D8" s="191">
        <v>689.0</v>
      </c>
      <c r="E8" s="190">
        <v>849.0</v>
      </c>
      <c r="F8" s="190">
        <v>134.0</v>
      </c>
      <c r="G8" s="190">
        <v>165.0</v>
      </c>
      <c r="H8" s="190">
        <v>8247.0</v>
      </c>
      <c r="I8" s="190">
        <v>10157.0</v>
      </c>
    </row>
    <row r="9" ht="14.25" customHeight="1">
      <c r="A9" s="188" t="s">
        <v>235</v>
      </c>
      <c r="B9" s="189">
        <v>3664.0</v>
      </c>
      <c r="C9" s="190">
        <v>10574.0</v>
      </c>
      <c r="D9" s="191">
        <v>216.0</v>
      </c>
      <c r="E9" s="190">
        <v>623.0</v>
      </c>
      <c r="F9" s="190">
        <v>78.0</v>
      </c>
      <c r="G9" s="190">
        <v>225.0</v>
      </c>
      <c r="H9" s="190">
        <v>3659.0</v>
      </c>
      <c r="I9" s="190">
        <v>10559.0</v>
      </c>
    </row>
    <row r="10" ht="14.25" customHeight="1">
      <c r="A10" s="188" t="s">
        <v>236</v>
      </c>
      <c r="B10" s="189">
        <v>1537.0</v>
      </c>
      <c r="C10" s="190">
        <v>11757.0</v>
      </c>
      <c r="D10" s="191">
        <v>77.0</v>
      </c>
      <c r="E10" s="190">
        <v>589.0</v>
      </c>
      <c r="F10" s="190">
        <v>26.0</v>
      </c>
      <c r="G10" s="190">
        <v>199.0</v>
      </c>
      <c r="H10" s="190">
        <v>1967.0</v>
      </c>
      <c r="I10" s="190">
        <v>15046.0</v>
      </c>
    </row>
    <row r="11" ht="14.25" customHeight="1">
      <c r="A11" s="188" t="s">
        <v>237</v>
      </c>
      <c r="B11" s="189">
        <v>5045.0</v>
      </c>
      <c r="C11" s="190">
        <v>10632.0</v>
      </c>
      <c r="D11" s="191">
        <v>383.0</v>
      </c>
      <c r="E11" s="190">
        <v>807.0</v>
      </c>
      <c r="F11" s="190">
        <v>196.0</v>
      </c>
      <c r="G11" s="190">
        <v>413.0</v>
      </c>
      <c r="H11" s="190">
        <v>5017.0</v>
      </c>
      <c r="I11" s="190">
        <v>10573.0</v>
      </c>
    </row>
    <row r="12" ht="14.25" customHeight="1">
      <c r="A12" s="188" t="s">
        <v>238</v>
      </c>
      <c r="B12" s="189">
        <v>485.0</v>
      </c>
      <c r="C12" s="190">
        <v>7151.0</v>
      </c>
      <c r="D12" s="191">
        <v>33.0</v>
      </c>
      <c r="E12" s="190">
        <v>487.0</v>
      </c>
      <c r="F12" s="190">
        <v>7.0</v>
      </c>
      <c r="G12" s="190">
        <v>103.0</v>
      </c>
      <c r="H12" s="190">
        <v>680.0</v>
      </c>
      <c r="I12" s="190">
        <v>10027.0</v>
      </c>
    </row>
    <row r="13" ht="14.25" customHeight="1">
      <c r="A13" s="188" t="s">
        <v>239</v>
      </c>
      <c r="B13" s="189">
        <v>439.0</v>
      </c>
      <c r="C13" s="190">
        <v>9362.0</v>
      </c>
      <c r="D13" s="191">
        <v>15.0</v>
      </c>
      <c r="E13" s="190">
        <v>320.0</v>
      </c>
      <c r="F13" s="190">
        <v>5.0</v>
      </c>
      <c r="G13" s="190">
        <v>107.0</v>
      </c>
      <c r="H13" s="190">
        <v>408.0</v>
      </c>
      <c r="I13" s="190">
        <v>8701.0</v>
      </c>
    </row>
    <row r="14" ht="14.25" customHeight="1">
      <c r="A14" s="188" t="s">
        <v>240</v>
      </c>
      <c r="B14" s="189">
        <v>732.0</v>
      </c>
      <c r="C14" s="190">
        <v>7275.0</v>
      </c>
      <c r="D14" s="191">
        <v>28.0</v>
      </c>
      <c r="E14" s="190">
        <v>278.0</v>
      </c>
      <c r="F14" s="190">
        <v>7.0</v>
      </c>
      <c r="G14" s="190">
        <v>70.0</v>
      </c>
      <c r="H14" s="190">
        <v>940.0</v>
      </c>
      <c r="I14" s="190">
        <v>9342.0</v>
      </c>
    </row>
    <row r="15" ht="14.25" customHeight="1">
      <c r="A15" s="188" t="s">
        <v>241</v>
      </c>
      <c r="B15" s="189">
        <v>541.0</v>
      </c>
      <c r="C15" s="190">
        <v>6670.0</v>
      </c>
      <c r="D15" s="191">
        <v>31.0</v>
      </c>
      <c r="E15" s="190">
        <v>382.0</v>
      </c>
      <c r="F15" s="190" t="s">
        <v>55</v>
      </c>
      <c r="G15" s="190" t="s">
        <v>38</v>
      </c>
      <c r="H15" s="190">
        <v>785.0</v>
      </c>
      <c r="I15" s="190">
        <v>9678.0</v>
      </c>
    </row>
    <row r="16" ht="14.25" customHeight="1">
      <c r="A16" s="188" t="s">
        <v>242</v>
      </c>
      <c r="B16" s="189">
        <v>302.0</v>
      </c>
      <c r="C16" s="190">
        <v>5495.0</v>
      </c>
      <c r="D16" s="191">
        <v>10.0</v>
      </c>
      <c r="E16" s="190">
        <v>182.0</v>
      </c>
      <c r="F16" s="190" t="s">
        <v>55</v>
      </c>
      <c r="G16" s="190" t="s">
        <v>38</v>
      </c>
      <c r="H16" s="190">
        <v>638.0</v>
      </c>
      <c r="I16" s="190">
        <v>11608.0</v>
      </c>
    </row>
    <row r="17" ht="14.25" customHeight="1">
      <c r="A17" s="188" t="s">
        <v>243</v>
      </c>
      <c r="B17" s="189">
        <v>4187.0</v>
      </c>
      <c r="C17" s="190">
        <v>14322.0</v>
      </c>
      <c r="D17" s="191">
        <v>283.0</v>
      </c>
      <c r="E17" s="190">
        <v>968.0</v>
      </c>
      <c r="F17" s="190">
        <v>153.0</v>
      </c>
      <c r="G17" s="190">
        <v>523.0</v>
      </c>
      <c r="H17" s="190">
        <v>3072.0</v>
      </c>
      <c r="I17" s="190">
        <v>10508.0</v>
      </c>
    </row>
    <row r="18" ht="14.25" customHeight="1">
      <c r="A18" s="188" t="s">
        <v>244</v>
      </c>
      <c r="B18" s="189">
        <v>2400.0</v>
      </c>
      <c r="C18" s="190">
        <v>11089.0</v>
      </c>
      <c r="D18" s="191">
        <v>177.0</v>
      </c>
      <c r="E18" s="190">
        <v>818.0</v>
      </c>
      <c r="F18" s="190">
        <v>75.0</v>
      </c>
      <c r="G18" s="190">
        <v>347.0</v>
      </c>
      <c r="H18" s="190">
        <v>2746.0</v>
      </c>
      <c r="I18" s="190">
        <v>12687.0</v>
      </c>
    </row>
    <row r="19" ht="14.25" customHeight="1">
      <c r="A19" s="188" t="s">
        <v>245</v>
      </c>
      <c r="B19" s="189">
        <v>157.0</v>
      </c>
      <c r="C19" s="190">
        <v>4479.0</v>
      </c>
      <c r="D19" s="191" t="s">
        <v>55</v>
      </c>
      <c r="E19" s="190" t="s">
        <v>38</v>
      </c>
      <c r="F19" s="190" t="s">
        <v>55</v>
      </c>
      <c r="G19" s="190" t="s">
        <v>38</v>
      </c>
      <c r="H19" s="190">
        <v>250.0</v>
      </c>
      <c r="I19" s="190">
        <v>7133.0</v>
      </c>
    </row>
    <row r="20" ht="14.25" customHeight="1">
      <c r="A20" s="188" t="s">
        <v>246</v>
      </c>
      <c r="B20" s="189">
        <v>1023.0</v>
      </c>
      <c r="C20" s="190">
        <v>6363.0</v>
      </c>
      <c r="D20" s="191">
        <v>54.0</v>
      </c>
      <c r="E20" s="190">
        <v>336.0</v>
      </c>
      <c r="F20" s="190">
        <v>9.0</v>
      </c>
      <c r="G20" s="190">
        <v>56.0</v>
      </c>
      <c r="H20" s="190">
        <v>1732.0</v>
      </c>
      <c r="I20" s="190">
        <v>10772.0</v>
      </c>
    </row>
    <row r="21" ht="14.25" customHeight="1">
      <c r="A21" s="188" t="s">
        <v>247</v>
      </c>
      <c r="B21" s="189">
        <v>1456.0</v>
      </c>
      <c r="C21" s="190">
        <v>9363.0</v>
      </c>
      <c r="D21" s="191">
        <v>39.0</v>
      </c>
      <c r="E21" s="190">
        <v>251.0</v>
      </c>
      <c r="F21" s="190">
        <v>8.0</v>
      </c>
      <c r="G21" s="190">
        <v>51.0</v>
      </c>
      <c r="H21" s="190">
        <v>1512.0</v>
      </c>
      <c r="I21" s="190">
        <v>9723.0</v>
      </c>
    </row>
    <row r="22" ht="14.25" customHeight="1">
      <c r="A22" s="188" t="s">
        <v>248</v>
      </c>
      <c r="B22" s="189">
        <v>50.0</v>
      </c>
      <c r="C22" s="190">
        <v>6046.0</v>
      </c>
      <c r="D22" s="191">
        <v>0.0</v>
      </c>
      <c r="E22" s="190">
        <v>0.0</v>
      </c>
      <c r="F22" s="190">
        <v>0.0</v>
      </c>
      <c r="G22" s="190">
        <v>0.0</v>
      </c>
      <c r="H22" s="190">
        <v>75.0</v>
      </c>
      <c r="I22" s="190">
        <v>9069.0</v>
      </c>
    </row>
    <row r="23" ht="14.25" customHeight="1">
      <c r="A23" s="188" t="s">
        <v>249</v>
      </c>
      <c r="B23" s="189">
        <v>1689.0</v>
      </c>
      <c r="C23" s="190">
        <v>6821.0</v>
      </c>
      <c r="D23" s="191">
        <v>69.0</v>
      </c>
      <c r="E23" s="190">
        <v>279.0</v>
      </c>
      <c r="F23" s="190">
        <v>9.0</v>
      </c>
      <c r="G23" s="190">
        <v>36.0</v>
      </c>
      <c r="H23" s="190">
        <v>2023.0</v>
      </c>
      <c r="I23" s="190">
        <v>8170.0</v>
      </c>
    </row>
    <row r="24" ht="14.25" customHeight="1">
      <c r="A24" s="188" t="s">
        <v>250</v>
      </c>
      <c r="B24" s="189">
        <v>2098.0</v>
      </c>
      <c r="C24" s="190">
        <v>8005.0</v>
      </c>
      <c r="D24" s="191">
        <v>126.0</v>
      </c>
      <c r="E24" s="190">
        <v>481.0</v>
      </c>
      <c r="F24" s="190">
        <v>76.0</v>
      </c>
      <c r="G24" s="190">
        <v>290.0</v>
      </c>
      <c r="H24" s="190">
        <v>3039.0</v>
      </c>
      <c r="I24" s="190">
        <v>11596.0</v>
      </c>
    </row>
    <row r="25" ht="15.75" customHeight="1">
      <c r="A25" s="188" t="s">
        <v>251</v>
      </c>
      <c r="B25" s="189">
        <v>4350.0</v>
      </c>
      <c r="C25" s="190">
        <v>13402.0</v>
      </c>
      <c r="D25" s="191">
        <v>326.0</v>
      </c>
      <c r="E25" s="190">
        <v>1004.0</v>
      </c>
      <c r="F25" s="190">
        <v>122.0</v>
      </c>
      <c r="G25" s="190">
        <v>376.0</v>
      </c>
      <c r="H25" s="190">
        <v>3248.0</v>
      </c>
      <c r="I25" s="190">
        <v>10006.0</v>
      </c>
    </row>
    <row r="26" ht="14.25" customHeight="1">
      <c r="A26" s="188" t="s">
        <v>252</v>
      </c>
      <c r="B26" s="189">
        <v>1263.0</v>
      </c>
      <c r="C26" s="190">
        <v>10228.0</v>
      </c>
      <c r="D26" s="191">
        <v>83.0</v>
      </c>
      <c r="E26" s="190">
        <v>672.0</v>
      </c>
      <c r="F26" s="190">
        <v>60.0</v>
      </c>
      <c r="G26" s="190">
        <v>486.0</v>
      </c>
      <c r="H26" s="190">
        <v>1333.0</v>
      </c>
      <c r="I26" s="190">
        <v>10794.0</v>
      </c>
    </row>
    <row r="27" ht="14.25" customHeight="1">
      <c r="A27" s="188" t="s">
        <v>253</v>
      </c>
      <c r="B27" s="189">
        <v>10134.0</v>
      </c>
      <c r="C27" s="190">
        <v>14123.0</v>
      </c>
      <c r="D27" s="191">
        <v>629.0</v>
      </c>
      <c r="E27" s="190">
        <v>877.0</v>
      </c>
      <c r="F27" s="190">
        <v>115.0</v>
      </c>
      <c r="G27" s="190">
        <v>160.0</v>
      </c>
      <c r="H27" s="190">
        <v>6084.0</v>
      </c>
      <c r="I27" s="190">
        <v>8479.0</v>
      </c>
    </row>
    <row r="28" ht="14.25" customHeight="1">
      <c r="A28" s="188" t="s">
        <v>254</v>
      </c>
      <c r="B28" s="189">
        <v>1105.0</v>
      </c>
      <c r="C28" s="190">
        <v>6344.0</v>
      </c>
      <c r="D28" s="191">
        <v>19.0</v>
      </c>
      <c r="E28" s="190">
        <v>109.0</v>
      </c>
      <c r="F28" s="190">
        <v>5.0</v>
      </c>
      <c r="G28" s="190">
        <v>29.0</v>
      </c>
      <c r="H28" s="190">
        <v>1637.0</v>
      </c>
      <c r="I28" s="190">
        <v>9398.0</v>
      </c>
    </row>
    <row r="29" ht="14.25" customHeight="1">
      <c r="A29" s="188" t="s">
        <v>255</v>
      </c>
      <c r="B29" s="189">
        <v>28235.0</v>
      </c>
      <c r="C29" s="190">
        <v>15736.0</v>
      </c>
      <c r="D29" s="191">
        <v>2031.0</v>
      </c>
      <c r="E29" s="190">
        <v>1132.0</v>
      </c>
      <c r="F29" s="190">
        <v>500.0</v>
      </c>
      <c r="G29" s="190">
        <v>279.0</v>
      </c>
      <c r="H29" s="190">
        <v>12787.0</v>
      </c>
      <c r="I29" s="190">
        <v>7126.0</v>
      </c>
    </row>
    <row r="30" ht="14.25" customHeight="1">
      <c r="A30" s="188" t="s">
        <v>256</v>
      </c>
      <c r="B30" s="189">
        <v>313.0</v>
      </c>
      <c r="C30" s="190">
        <v>4104.0</v>
      </c>
      <c r="D30" s="191">
        <v>17.0</v>
      </c>
      <c r="E30" s="190">
        <v>223.0</v>
      </c>
      <c r="F30" s="190" t="s">
        <v>55</v>
      </c>
      <c r="G30" s="190" t="s">
        <v>38</v>
      </c>
      <c r="H30" s="190">
        <v>744.0</v>
      </c>
      <c r="I30" s="190">
        <v>9756.0</v>
      </c>
    </row>
    <row r="31" ht="14.25" customHeight="1">
      <c r="A31" s="188" t="s">
        <v>257</v>
      </c>
      <c r="B31" s="189">
        <v>797.0</v>
      </c>
      <c r="C31" s="190">
        <v>7517.0</v>
      </c>
      <c r="D31" s="191">
        <v>35.0</v>
      </c>
      <c r="E31" s="190">
        <v>330.0</v>
      </c>
      <c r="F31" s="190" t="s">
        <v>55</v>
      </c>
      <c r="G31" s="190" t="s">
        <v>38</v>
      </c>
      <c r="H31" s="190">
        <v>1136.0</v>
      </c>
      <c r="I31" s="190">
        <v>10714.0</v>
      </c>
    </row>
    <row r="32" ht="14.25" customHeight="1">
      <c r="A32" s="188" t="s">
        <v>258</v>
      </c>
      <c r="B32" s="189">
        <v>2851.0</v>
      </c>
      <c r="C32" s="190">
        <v>13181.0</v>
      </c>
      <c r="D32" s="191">
        <v>198.0</v>
      </c>
      <c r="E32" s="190">
        <v>915.0</v>
      </c>
      <c r="F32" s="190">
        <v>144.0</v>
      </c>
      <c r="G32" s="190">
        <v>666.0</v>
      </c>
      <c r="H32" s="190">
        <v>2691.0</v>
      </c>
      <c r="I32" s="190">
        <v>12441.0</v>
      </c>
    </row>
    <row r="33" ht="14.25" customHeight="1">
      <c r="A33" s="188" t="s">
        <v>259</v>
      </c>
      <c r="B33" s="189">
        <v>1483.0</v>
      </c>
      <c r="C33" s="190">
        <v>4825.0</v>
      </c>
      <c r="D33" s="191">
        <v>54.0</v>
      </c>
      <c r="E33" s="190">
        <v>176.0</v>
      </c>
      <c r="F33" s="190">
        <v>34.0</v>
      </c>
      <c r="G33" s="190">
        <v>111.0</v>
      </c>
      <c r="H33" s="190">
        <v>3025.0</v>
      </c>
      <c r="I33" s="190">
        <v>9842.0</v>
      </c>
    </row>
    <row r="34" ht="14.25" customHeight="1">
      <c r="A34" s="188" t="s">
        <v>260</v>
      </c>
      <c r="B34" s="189">
        <v>1195.0</v>
      </c>
      <c r="C34" s="190">
        <v>7556.0</v>
      </c>
      <c r="D34" s="191">
        <v>14.0</v>
      </c>
      <c r="E34" s="190">
        <v>89.0</v>
      </c>
      <c r="F34" s="190">
        <v>14.0</v>
      </c>
      <c r="G34" s="190">
        <v>89.0</v>
      </c>
      <c r="H34" s="190">
        <v>1054.0</v>
      </c>
      <c r="I34" s="190">
        <v>6664.0</v>
      </c>
    </row>
    <row r="35" ht="14.25" customHeight="1">
      <c r="A35" s="188" t="s">
        <v>261</v>
      </c>
      <c r="B35" s="189">
        <v>1081.0</v>
      </c>
      <c r="C35" s="190">
        <v>10307.0</v>
      </c>
      <c r="D35" s="191">
        <v>72.0</v>
      </c>
      <c r="E35" s="190">
        <v>686.0</v>
      </c>
      <c r="F35" s="190">
        <v>51.0</v>
      </c>
      <c r="G35" s="190">
        <v>486.0</v>
      </c>
      <c r="H35" s="190">
        <v>1227.0</v>
      </c>
      <c r="I35" s="190">
        <v>11699.0</v>
      </c>
    </row>
    <row r="36" ht="14.25" customHeight="1">
      <c r="A36" s="188" t="s">
        <v>262</v>
      </c>
      <c r="B36" s="189">
        <v>7576.0</v>
      </c>
      <c r="C36" s="190">
        <v>9344.0</v>
      </c>
      <c r="D36" s="191">
        <v>475.0</v>
      </c>
      <c r="E36" s="190">
        <v>586.0</v>
      </c>
      <c r="F36" s="190">
        <v>169.0</v>
      </c>
      <c r="G36" s="190">
        <v>208.0</v>
      </c>
      <c r="H36" s="190">
        <v>9487.0</v>
      </c>
      <c r="I36" s="190">
        <v>11701.0</v>
      </c>
    </row>
    <row r="37" ht="14.25" customHeight="1">
      <c r="A37" s="188" t="s">
        <v>263</v>
      </c>
      <c r="B37" s="189">
        <v>492.0</v>
      </c>
      <c r="C37" s="190">
        <v>7962.0</v>
      </c>
      <c r="D37" s="191">
        <v>20.0</v>
      </c>
      <c r="E37" s="190">
        <v>324.0</v>
      </c>
      <c r="F37" s="190" t="s">
        <v>55</v>
      </c>
      <c r="G37" s="190" t="s">
        <v>38</v>
      </c>
      <c r="H37" s="190">
        <v>610.0</v>
      </c>
      <c r="I37" s="190">
        <v>9872.0</v>
      </c>
    </row>
    <row r="38" ht="14.25" customHeight="1">
      <c r="A38" s="188" t="s">
        <v>264</v>
      </c>
      <c r="B38" s="189">
        <v>2922.0</v>
      </c>
      <c r="C38" s="190">
        <v>10092.0</v>
      </c>
      <c r="D38" s="191">
        <v>179.0</v>
      </c>
      <c r="E38" s="190">
        <v>618.0</v>
      </c>
      <c r="F38" s="190">
        <v>48.0</v>
      </c>
      <c r="G38" s="190">
        <v>166.0</v>
      </c>
      <c r="H38" s="190">
        <v>2790.0</v>
      </c>
      <c r="I38" s="190">
        <v>9636.0</v>
      </c>
    </row>
    <row r="39" ht="14.25" customHeight="1">
      <c r="A39" s="188" t="s">
        <v>265</v>
      </c>
      <c r="B39" s="189">
        <v>1639.0</v>
      </c>
      <c r="C39" s="190">
        <v>7245.0</v>
      </c>
      <c r="D39" s="191">
        <v>98.0</v>
      </c>
      <c r="E39" s="190">
        <v>433.0</v>
      </c>
      <c r="F39" s="190">
        <v>35.0</v>
      </c>
      <c r="G39" s="190">
        <v>155.0</v>
      </c>
      <c r="H39" s="190">
        <v>1862.0</v>
      </c>
      <c r="I39" s="190">
        <v>8230.0</v>
      </c>
    </row>
    <row r="40" ht="14.25" customHeight="1">
      <c r="A40" s="188" t="s">
        <v>266</v>
      </c>
      <c r="B40" s="189">
        <v>4720.0</v>
      </c>
      <c r="C40" s="190">
        <v>11363.0</v>
      </c>
      <c r="D40" s="191">
        <v>379.0</v>
      </c>
      <c r="E40" s="190">
        <v>912.0</v>
      </c>
      <c r="F40" s="190">
        <v>203.0</v>
      </c>
      <c r="G40" s="190">
        <v>489.0</v>
      </c>
      <c r="H40" s="190">
        <v>2930.0</v>
      </c>
      <c r="I40" s="190">
        <v>7054.0</v>
      </c>
    </row>
    <row r="41" ht="14.25" customHeight="1">
      <c r="A41" s="188" t="s">
        <v>67</v>
      </c>
      <c r="B41" s="189">
        <v>5017.0</v>
      </c>
      <c r="C41" s="190" t="s">
        <v>38</v>
      </c>
      <c r="D41" s="191">
        <v>282.0</v>
      </c>
      <c r="E41" s="190" t="s">
        <v>38</v>
      </c>
      <c r="F41" s="190">
        <v>9.0</v>
      </c>
      <c r="G41" s="190" t="s">
        <v>38</v>
      </c>
      <c r="H41" s="190">
        <v>1531.0</v>
      </c>
      <c r="I41" s="190" t="s">
        <v>38</v>
      </c>
    </row>
    <row r="42" ht="14.25" customHeight="1">
      <c r="A42" s="192" t="s">
        <v>267</v>
      </c>
      <c r="B42" s="190">
        <v>125601.0</v>
      </c>
      <c r="C42" s="190">
        <v>11887.0</v>
      </c>
      <c r="D42" s="190">
        <v>7858.0</v>
      </c>
      <c r="E42" s="190">
        <v>744.0</v>
      </c>
      <c r="F42" s="190">
        <v>2576.0</v>
      </c>
      <c r="G42" s="190">
        <v>244.0</v>
      </c>
      <c r="H42" s="190">
        <v>105037.0</v>
      </c>
      <c r="I42" s="190">
        <v>9941.0</v>
      </c>
    </row>
    <row r="43" ht="14.25" customHeight="1">
      <c r="A43" s="193" t="s">
        <v>268</v>
      </c>
      <c r="D43" s="194"/>
      <c r="E43" s="194"/>
      <c r="F43" s="194"/>
      <c r="G43" s="194"/>
      <c r="H43" s="194"/>
      <c r="I43" s="194"/>
    </row>
    <row r="44" ht="15.0" customHeight="1">
      <c r="A44" s="195" t="s">
        <v>269</v>
      </c>
      <c r="H44" s="195"/>
      <c r="I44" s="195"/>
    </row>
    <row r="45" ht="14.25" customHeight="1">
      <c r="H45" s="195"/>
      <c r="I45" s="195"/>
    </row>
    <row r="46" ht="14.25" customHeight="1">
      <c r="H46" s="195"/>
      <c r="I46" s="195"/>
    </row>
    <row r="47" ht="14.25" customHeight="1">
      <c r="A47" s="196" t="s">
        <v>0</v>
      </c>
      <c r="B47" s="197">
        <v>44272.0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270</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271</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44272.0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272</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273</v>
      </c>
      <c r="C8" s="204" t="s">
        <v>274</v>
      </c>
      <c r="D8" s="204" t="s">
        <v>275</v>
      </c>
      <c r="E8" s="204" t="s">
        <v>276</v>
      </c>
      <c r="F8" s="204" t="s">
        <v>277</v>
      </c>
      <c r="G8" s="204" t="s">
        <v>278</v>
      </c>
      <c r="H8" s="204" t="s">
        <v>279</v>
      </c>
      <c r="I8" s="204" t="s">
        <v>280</v>
      </c>
      <c r="J8" s="204" t="s">
        <v>281</v>
      </c>
      <c r="K8" s="204" t="s">
        <v>282</v>
      </c>
      <c r="L8" s="204" t="s">
        <v>283</v>
      </c>
      <c r="M8" s="204" t="s">
        <v>284</v>
      </c>
      <c r="N8" s="204" t="s">
        <v>285</v>
      </c>
      <c r="O8" s="204" t="s">
        <v>286</v>
      </c>
      <c r="P8" s="204" t="s">
        <v>287</v>
      </c>
      <c r="Q8" s="204" t="s">
        <v>288</v>
      </c>
      <c r="R8" s="204" t="s">
        <v>289</v>
      </c>
      <c r="S8" s="204" t="s">
        <v>290</v>
      </c>
      <c r="T8" s="204" t="s">
        <v>291</v>
      </c>
      <c r="U8" s="204" t="s">
        <v>292</v>
      </c>
      <c r="V8" s="204" t="s">
        <v>293</v>
      </c>
      <c r="W8" s="204" t="s">
        <v>294</v>
      </c>
      <c r="X8" s="204" t="s">
        <v>295</v>
      </c>
      <c r="Y8" s="204" t="s">
        <v>296</v>
      </c>
      <c r="Z8" s="204" t="s">
        <v>297</v>
      </c>
      <c r="AA8" s="204" t="s">
        <v>298</v>
      </c>
      <c r="AB8" s="204" t="s">
        <v>299</v>
      </c>
      <c r="AC8" s="204" t="s">
        <v>300</v>
      </c>
      <c r="AD8" s="204" t="s">
        <v>301</v>
      </c>
      <c r="AE8" s="204" t="s">
        <v>302</v>
      </c>
      <c r="AF8" s="204" t="s">
        <v>303</v>
      </c>
      <c r="AG8" s="204" t="s">
        <v>304</v>
      </c>
      <c r="AH8" s="204" t="s">
        <v>305</v>
      </c>
      <c r="AI8" s="204" t="s">
        <v>306</v>
      </c>
      <c r="AJ8" s="204" t="s">
        <v>307</v>
      </c>
      <c r="AK8" s="204" t="s">
        <v>308</v>
      </c>
      <c r="AL8" s="204" t="s">
        <v>309</v>
      </c>
      <c r="AM8" s="204" t="s">
        <v>310</v>
      </c>
      <c r="AN8" s="204" t="s">
        <v>311</v>
      </c>
      <c r="AO8" s="204" t="s">
        <v>312</v>
      </c>
      <c r="AP8" s="204" t="s">
        <v>267</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70.0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205.0</v>
      </c>
      <c r="AB15" s="75" t="s">
        <v>55</v>
      </c>
      <c r="AC15" s="75">
        <v>624.0</v>
      </c>
      <c r="AD15" s="75" t="s">
        <v>55</v>
      </c>
      <c r="AE15" s="75">
        <v>6.0</v>
      </c>
      <c r="AF15" s="75">
        <v>7.0</v>
      </c>
      <c r="AG15" s="75">
        <v>9.0</v>
      </c>
      <c r="AH15" s="75">
        <v>9.0</v>
      </c>
      <c r="AI15" s="75" t="s">
        <v>55</v>
      </c>
      <c r="AJ15" s="75">
        <v>62.0</v>
      </c>
      <c r="AK15" s="75" t="s">
        <v>55</v>
      </c>
      <c r="AL15" s="75">
        <v>31.0</v>
      </c>
      <c r="AM15" s="75">
        <v>6.0</v>
      </c>
      <c r="AN15" s="75">
        <v>49.0</v>
      </c>
      <c r="AO15" s="75">
        <v>42.0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22.0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57.0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82.0</v>
      </c>
      <c r="I18" s="75">
        <v>21.0</v>
      </c>
      <c r="J18" s="75">
        <v>7.0</v>
      </c>
      <c r="K18" s="75">
        <v>51.0</v>
      </c>
      <c r="L18" s="75">
        <v>6.0</v>
      </c>
      <c r="M18" s="75" t="s">
        <v>55</v>
      </c>
      <c r="N18" s="75" t="s">
        <v>55</v>
      </c>
      <c r="O18" s="75" t="s">
        <v>55</v>
      </c>
      <c r="P18" s="75" t="s">
        <v>55</v>
      </c>
      <c r="Q18" s="75">
        <v>33.0</v>
      </c>
      <c r="R18" s="75">
        <v>20.0</v>
      </c>
      <c r="S18" s="75" t="s">
        <v>55</v>
      </c>
      <c r="T18" s="75" t="s">
        <v>55</v>
      </c>
      <c r="U18" s="75" t="s">
        <v>55</v>
      </c>
      <c r="V18" s="75">
        <v>0.0</v>
      </c>
      <c r="W18" s="75">
        <v>8.0</v>
      </c>
      <c r="X18" s="75">
        <v>8.0</v>
      </c>
      <c r="Y18" s="75">
        <v>44.0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32.0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93.0</v>
      </c>
      <c r="AB29" s="75" t="s">
        <v>55</v>
      </c>
      <c r="AC29" s="75">
        <v>169.0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223.0</v>
      </c>
      <c r="AD31" s="75" t="s">
        <v>55</v>
      </c>
      <c r="AE31" s="75">
        <v>5.0</v>
      </c>
      <c r="AF31" s="75">
        <v>7.0</v>
      </c>
      <c r="AG31" s="75" t="s">
        <v>55</v>
      </c>
      <c r="AH31" s="75">
        <v>0.0</v>
      </c>
      <c r="AI31" s="75">
        <v>0.0</v>
      </c>
      <c r="AJ31" s="75">
        <v>30.0</v>
      </c>
      <c r="AK31" s="75">
        <v>0.0</v>
      </c>
      <c r="AL31" s="75">
        <v>12.0</v>
      </c>
      <c r="AM31" s="75">
        <v>5.0</v>
      </c>
      <c r="AN31" s="75">
        <v>21.0</v>
      </c>
      <c r="AO31" s="75" t="s">
        <v>55</v>
      </c>
      <c r="AP31" s="121">
        <v>652.0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9.0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625.0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247.0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286.0</v>
      </c>
      <c r="AD40" s="122" t="s">
        <v>55</v>
      </c>
      <c r="AE40" s="122" t="s">
        <v>55</v>
      </c>
      <c r="AF40" s="122">
        <v>14.0</v>
      </c>
      <c r="AG40" s="122">
        <v>50.0</v>
      </c>
      <c r="AH40" s="122">
        <v>17.0</v>
      </c>
      <c r="AI40" s="122">
        <v>6.0</v>
      </c>
      <c r="AJ40" s="122">
        <v>64.0</v>
      </c>
      <c r="AK40" s="122">
        <v>5.0</v>
      </c>
      <c r="AL40" s="122">
        <v>25.0</v>
      </c>
      <c r="AM40" s="122">
        <v>22.0</v>
      </c>
      <c r="AN40" s="122">
        <v>39.0</v>
      </c>
      <c r="AO40" s="122">
        <v>16.0</v>
      </c>
      <c r="AP40" s="140">
        <v>1192.0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35.0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19.0</v>
      </c>
      <c r="E42" s="140">
        <v>95.0</v>
      </c>
      <c r="F42" s="122">
        <v>7.0</v>
      </c>
      <c r="G42" s="122">
        <v>53.0</v>
      </c>
      <c r="H42" s="140">
        <v>226.0</v>
      </c>
      <c r="I42" s="122">
        <v>53.0</v>
      </c>
      <c r="J42" s="122">
        <v>37.0</v>
      </c>
      <c r="K42" s="122">
        <v>74.0</v>
      </c>
      <c r="L42" s="122" t="s">
        <v>55</v>
      </c>
      <c r="M42" s="122" t="s">
        <v>55</v>
      </c>
      <c r="N42" s="122">
        <v>19.0</v>
      </c>
      <c r="O42" s="122" t="s">
        <v>55</v>
      </c>
      <c r="P42" s="122">
        <v>0.0</v>
      </c>
      <c r="Q42" s="122">
        <v>81.0</v>
      </c>
      <c r="R42" s="122">
        <v>42.0</v>
      </c>
      <c r="S42" s="122" t="s">
        <v>55</v>
      </c>
      <c r="T42" s="122">
        <v>10.0</v>
      </c>
      <c r="U42" s="122">
        <v>38.0</v>
      </c>
      <c r="V42" s="122">
        <v>0.0</v>
      </c>
      <c r="W42" s="122">
        <v>20.0</v>
      </c>
      <c r="X42" s="122">
        <v>29.0</v>
      </c>
      <c r="Y42" s="122">
        <v>87.0</v>
      </c>
      <c r="Z42" s="122">
        <v>22.0</v>
      </c>
      <c r="AA42" s="140">
        <v>258.0</v>
      </c>
      <c r="AB42" s="122">
        <v>10.0</v>
      </c>
      <c r="AC42" s="140">
        <v>649.0</v>
      </c>
      <c r="AD42" s="122">
        <v>9.0</v>
      </c>
      <c r="AE42" s="122">
        <v>13.0</v>
      </c>
      <c r="AF42" s="122">
        <v>39.0</v>
      </c>
      <c r="AG42" s="122">
        <v>24.0</v>
      </c>
      <c r="AH42" s="122">
        <v>15.0</v>
      </c>
      <c r="AI42" s="122">
        <v>12.0</v>
      </c>
      <c r="AJ42" s="122">
        <v>123.0</v>
      </c>
      <c r="AK42" s="122">
        <v>17.0</v>
      </c>
      <c r="AL42" s="122">
        <v>53.0</v>
      </c>
      <c r="AM42" s="122">
        <v>11.0</v>
      </c>
      <c r="AN42" s="122">
        <v>64.0</v>
      </c>
      <c r="AO42" s="122">
        <v>80.0</v>
      </c>
      <c r="AP42" s="140">
        <v>2345.0</v>
      </c>
    </row>
    <row r="43">
      <c r="A43" s="120" t="s">
        <v>140</v>
      </c>
      <c r="B43" s="122">
        <v>31.0</v>
      </c>
      <c r="C43" s="122">
        <v>39.0</v>
      </c>
      <c r="D43" s="122">
        <v>28.0</v>
      </c>
      <c r="E43" s="140">
        <v>161.0</v>
      </c>
      <c r="F43" s="122">
        <v>5.0</v>
      </c>
      <c r="G43" s="122">
        <v>49.0</v>
      </c>
      <c r="H43" s="140">
        <v>265.0</v>
      </c>
      <c r="I43" s="122">
        <v>83.0</v>
      </c>
      <c r="J43" s="122">
        <v>32.0</v>
      </c>
      <c r="K43" s="122">
        <v>96.0</v>
      </c>
      <c r="L43" s="122" t="s">
        <v>55</v>
      </c>
      <c r="M43" s="122">
        <v>13.0</v>
      </c>
      <c r="N43" s="122">
        <v>19.0</v>
      </c>
      <c r="O43" s="122">
        <v>8.0</v>
      </c>
      <c r="P43" s="122">
        <v>6.0</v>
      </c>
      <c r="Q43" s="122">
        <v>105.0</v>
      </c>
      <c r="R43" s="122">
        <v>50.0</v>
      </c>
      <c r="S43" s="122">
        <v>5.0</v>
      </c>
      <c r="T43" s="122">
        <v>25.0</v>
      </c>
      <c r="U43" s="122">
        <v>17.0</v>
      </c>
      <c r="V43" s="122" t="s">
        <v>55</v>
      </c>
      <c r="W43" s="122">
        <v>21.0</v>
      </c>
      <c r="X43" s="122">
        <v>35.0</v>
      </c>
      <c r="Y43" s="122">
        <v>125.0</v>
      </c>
      <c r="Z43" s="122">
        <v>13.0</v>
      </c>
      <c r="AA43" s="140">
        <v>265.0</v>
      </c>
      <c r="AB43" s="122">
        <v>27.0</v>
      </c>
      <c r="AC43" s="140">
        <v>644.0</v>
      </c>
      <c r="AD43" s="122" t="s">
        <v>55</v>
      </c>
      <c r="AE43" s="122">
        <v>18.0</v>
      </c>
      <c r="AF43" s="122">
        <v>36.0</v>
      </c>
      <c r="AG43" s="122">
        <v>20.0</v>
      </c>
      <c r="AH43" s="122">
        <v>30.0</v>
      </c>
      <c r="AI43" s="122">
        <v>33.0</v>
      </c>
      <c r="AJ43" s="122">
        <v>191.0</v>
      </c>
      <c r="AK43" s="122">
        <v>7.0</v>
      </c>
      <c r="AL43" s="122">
        <v>76.0</v>
      </c>
      <c r="AM43" s="122">
        <v>19.0</v>
      </c>
      <c r="AN43" s="122">
        <v>69.0</v>
      </c>
      <c r="AO43" s="122">
        <v>51.0</v>
      </c>
      <c r="AP43" s="140">
        <v>2724.0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153.0</v>
      </c>
      <c r="R44" s="122">
        <v>52.0</v>
      </c>
      <c r="S44" s="122" t="s">
        <v>55</v>
      </c>
      <c r="T44" s="122">
        <v>22.0</v>
      </c>
      <c r="U44" s="122">
        <v>30.0</v>
      </c>
      <c r="V44" s="122" t="s">
        <v>55</v>
      </c>
      <c r="W44" s="122">
        <v>35.0</v>
      </c>
      <c r="X44" s="122">
        <v>51.0</v>
      </c>
      <c r="Y44" s="122">
        <v>117.0</v>
      </c>
      <c r="Z44" s="122">
        <v>24.0</v>
      </c>
      <c r="AA44" s="140">
        <v>323.0</v>
      </c>
      <c r="AB44" s="122">
        <v>17.0</v>
      </c>
      <c r="AC44" s="140">
        <v>867.0</v>
      </c>
      <c r="AD44" s="122">
        <v>9.0</v>
      </c>
      <c r="AE44" s="122">
        <v>26.0</v>
      </c>
      <c r="AF44" s="122">
        <v>56.0</v>
      </c>
      <c r="AG44" s="122">
        <v>32.0</v>
      </c>
      <c r="AH44" s="122">
        <v>25.0</v>
      </c>
      <c r="AI44" s="122">
        <v>38.0</v>
      </c>
      <c r="AJ44" s="122">
        <v>227.0</v>
      </c>
      <c r="AK44" s="122">
        <v>8.0</v>
      </c>
      <c r="AL44" s="122">
        <v>88.0</v>
      </c>
      <c r="AM44" s="122">
        <v>27.0</v>
      </c>
      <c r="AN44" s="122">
        <v>111.0</v>
      </c>
      <c r="AO44" s="122">
        <v>49.0</v>
      </c>
      <c r="AP44" s="140">
        <v>3480.0</v>
      </c>
    </row>
    <row r="45">
      <c r="A45" s="120" t="s">
        <v>142</v>
      </c>
      <c r="B45" s="122">
        <v>46.0</v>
      </c>
      <c r="C45" s="122">
        <v>97.0</v>
      </c>
      <c r="D45" s="122">
        <v>37.0</v>
      </c>
      <c r="E45" s="140">
        <v>221.0</v>
      </c>
      <c r="F45" s="122">
        <v>13.0</v>
      </c>
      <c r="G45" s="122">
        <v>149.0</v>
      </c>
      <c r="H45" s="140">
        <v>563.0</v>
      </c>
      <c r="I45" s="122">
        <v>130.0</v>
      </c>
      <c r="J45" s="122">
        <v>69.0</v>
      </c>
      <c r="K45" s="122">
        <v>202.0</v>
      </c>
      <c r="L45" s="122">
        <v>16.0</v>
      </c>
      <c r="M45" s="122">
        <v>21.0</v>
      </c>
      <c r="N45" s="122">
        <v>31.0</v>
      </c>
      <c r="O45" s="122">
        <v>18.0</v>
      </c>
      <c r="P45" s="122">
        <v>11.0</v>
      </c>
      <c r="Q45" s="122">
        <v>181.0</v>
      </c>
      <c r="R45" s="122">
        <v>104.0</v>
      </c>
      <c r="S45" s="122" t="s">
        <v>55</v>
      </c>
      <c r="T45" s="122">
        <v>23.0</v>
      </c>
      <c r="U45" s="122">
        <v>44.0</v>
      </c>
      <c r="V45" s="122" t="s">
        <v>55</v>
      </c>
      <c r="W45" s="122">
        <v>38.0</v>
      </c>
      <c r="X45" s="122">
        <v>115.0</v>
      </c>
      <c r="Y45" s="122">
        <v>198.0</v>
      </c>
      <c r="Z45" s="122">
        <v>24.0</v>
      </c>
      <c r="AA45" s="140">
        <v>470.0</v>
      </c>
      <c r="AB45" s="122">
        <v>32.0</v>
      </c>
      <c r="AC45" s="140">
        <v>1254.0</v>
      </c>
      <c r="AD45" s="122">
        <v>25.0</v>
      </c>
      <c r="AE45" s="122">
        <v>25.0</v>
      </c>
      <c r="AF45" s="122">
        <v>117.0</v>
      </c>
      <c r="AG45" s="122">
        <v>66.0</v>
      </c>
      <c r="AH45" s="122">
        <v>32.0</v>
      </c>
      <c r="AI45" s="122">
        <v>39.0</v>
      </c>
      <c r="AJ45" s="122">
        <v>386.0</v>
      </c>
      <c r="AK45" s="122">
        <v>18.0</v>
      </c>
      <c r="AL45" s="122">
        <v>168.0</v>
      </c>
      <c r="AM45" s="122">
        <v>56.0</v>
      </c>
      <c r="AN45" s="122">
        <v>111.0</v>
      </c>
      <c r="AO45" s="122">
        <v>65.0</v>
      </c>
      <c r="AP45" s="140">
        <v>5221.0</v>
      </c>
    </row>
    <row r="46">
      <c r="A46" s="120" t="s">
        <v>143</v>
      </c>
      <c r="B46" s="122">
        <v>50.0</v>
      </c>
      <c r="C46" s="122">
        <v>104.0</v>
      </c>
      <c r="D46" s="122">
        <v>57.0</v>
      </c>
      <c r="E46" s="140">
        <v>194.0</v>
      </c>
      <c r="F46" s="122">
        <v>22.0</v>
      </c>
      <c r="G46" s="122">
        <v>204.0</v>
      </c>
      <c r="H46" s="140">
        <v>655.0</v>
      </c>
      <c r="I46" s="122">
        <v>144.0</v>
      </c>
      <c r="J46" s="122">
        <v>80.0</v>
      </c>
      <c r="K46" s="122">
        <v>236.0</v>
      </c>
      <c r="L46" s="122">
        <v>24.0</v>
      </c>
      <c r="M46" s="122">
        <v>18.0</v>
      </c>
      <c r="N46" s="122">
        <v>35.0</v>
      </c>
      <c r="O46" s="122">
        <v>30.0</v>
      </c>
      <c r="P46" s="122">
        <v>10.0</v>
      </c>
      <c r="Q46" s="122">
        <v>229.0</v>
      </c>
      <c r="R46" s="122">
        <v>106.0</v>
      </c>
      <c r="S46" s="122" t="s">
        <v>55</v>
      </c>
      <c r="T46" s="122">
        <v>25.0</v>
      </c>
      <c r="U46" s="122">
        <v>51.0</v>
      </c>
      <c r="V46" s="122" t="s">
        <v>55</v>
      </c>
      <c r="W46" s="122">
        <v>61.0</v>
      </c>
      <c r="X46" s="122">
        <v>118.0</v>
      </c>
      <c r="Y46" s="122">
        <v>225.0</v>
      </c>
      <c r="Z46" s="122">
        <v>37.0</v>
      </c>
      <c r="AA46" s="140">
        <v>503.0</v>
      </c>
      <c r="AB46" s="122">
        <v>27.0</v>
      </c>
      <c r="AC46" s="140">
        <v>1438.0</v>
      </c>
      <c r="AD46" s="122">
        <v>12.0</v>
      </c>
      <c r="AE46" s="122">
        <v>42.0</v>
      </c>
      <c r="AF46" s="122">
        <v>134.0</v>
      </c>
      <c r="AG46" s="122">
        <v>53.0</v>
      </c>
      <c r="AH46" s="122">
        <v>37.0</v>
      </c>
      <c r="AI46" s="122">
        <v>34.0</v>
      </c>
      <c r="AJ46" s="122">
        <v>481.0</v>
      </c>
      <c r="AK46" s="122">
        <v>20.0</v>
      </c>
      <c r="AL46" s="122">
        <v>198.0</v>
      </c>
      <c r="AM46" s="122">
        <v>60.0</v>
      </c>
      <c r="AN46" s="122">
        <v>131.0</v>
      </c>
      <c r="AO46" s="122">
        <v>177.0</v>
      </c>
      <c r="AP46" s="140">
        <v>6066.0</v>
      </c>
    </row>
    <row r="47">
      <c r="A47" s="120" t="s">
        <v>144</v>
      </c>
      <c r="B47" s="122">
        <v>47.0</v>
      </c>
      <c r="C47" s="122">
        <v>52.0</v>
      </c>
      <c r="D47" s="122">
        <v>87.0</v>
      </c>
      <c r="E47" s="140">
        <v>171.0</v>
      </c>
      <c r="F47" s="122">
        <v>27.0</v>
      </c>
      <c r="G47" s="122">
        <v>201.0</v>
      </c>
      <c r="H47" s="140">
        <v>513.0</v>
      </c>
      <c r="I47" s="122">
        <v>143.0</v>
      </c>
      <c r="J47" s="122">
        <v>67.0</v>
      </c>
      <c r="K47" s="122">
        <v>183.0</v>
      </c>
      <c r="L47" s="122">
        <v>25.0</v>
      </c>
      <c r="M47" s="122">
        <v>21.0</v>
      </c>
      <c r="N47" s="122">
        <v>29.0</v>
      </c>
      <c r="O47" s="122">
        <v>27.0</v>
      </c>
      <c r="P47" s="122">
        <v>11.0</v>
      </c>
      <c r="Q47" s="122">
        <v>190.0</v>
      </c>
      <c r="R47" s="122">
        <v>132.0</v>
      </c>
      <c r="S47" s="122">
        <v>5.0</v>
      </c>
      <c r="T47" s="122">
        <v>24.0</v>
      </c>
      <c r="U47" s="122">
        <v>36.0</v>
      </c>
      <c r="V47" s="122" t="s">
        <v>55</v>
      </c>
      <c r="W47" s="122">
        <v>48.0</v>
      </c>
      <c r="X47" s="122">
        <v>109.0</v>
      </c>
      <c r="Y47" s="122">
        <v>175.0</v>
      </c>
      <c r="Z47" s="122">
        <v>52.0</v>
      </c>
      <c r="AA47" s="140">
        <v>444.0</v>
      </c>
      <c r="AB47" s="122">
        <v>34.0</v>
      </c>
      <c r="AC47" s="140">
        <v>1180.0</v>
      </c>
      <c r="AD47" s="122">
        <v>14.0</v>
      </c>
      <c r="AE47" s="122">
        <v>46.0</v>
      </c>
      <c r="AF47" s="122">
        <v>93.0</v>
      </c>
      <c r="AG47" s="122">
        <v>31.0</v>
      </c>
      <c r="AH47" s="122">
        <v>40.0</v>
      </c>
      <c r="AI47" s="122">
        <v>19.0</v>
      </c>
      <c r="AJ47" s="122">
        <v>434.0</v>
      </c>
      <c r="AK47" s="122">
        <v>32.0</v>
      </c>
      <c r="AL47" s="122">
        <v>144.0</v>
      </c>
      <c r="AM47" s="122">
        <v>54.0</v>
      </c>
      <c r="AN47" s="122">
        <v>164.0</v>
      </c>
      <c r="AO47" s="122">
        <v>175.0</v>
      </c>
      <c r="AP47" s="140">
        <v>5281.0</v>
      </c>
    </row>
    <row r="48">
      <c r="A48" s="120" t="s">
        <v>145</v>
      </c>
      <c r="B48" s="122">
        <v>85.0</v>
      </c>
      <c r="C48" s="122">
        <v>89.0</v>
      </c>
      <c r="D48" s="122">
        <v>170.0</v>
      </c>
      <c r="E48" s="140">
        <v>216.0</v>
      </c>
      <c r="F48" s="122">
        <v>36.0</v>
      </c>
      <c r="G48" s="122">
        <v>284.0</v>
      </c>
      <c r="H48" s="140">
        <v>752.0</v>
      </c>
      <c r="I48" s="122">
        <v>262.0</v>
      </c>
      <c r="J48" s="122">
        <v>93.0</v>
      </c>
      <c r="K48" s="122">
        <v>353.0</v>
      </c>
      <c r="L48" s="122">
        <v>41.0</v>
      </c>
      <c r="M48" s="122">
        <v>31.0</v>
      </c>
      <c r="N48" s="122">
        <v>54.0</v>
      </c>
      <c r="O48" s="122">
        <v>51.0</v>
      </c>
      <c r="P48" s="122">
        <v>20.0</v>
      </c>
      <c r="Q48" s="122">
        <v>371.0</v>
      </c>
      <c r="R48" s="122">
        <v>172.0</v>
      </c>
      <c r="S48" s="122" t="s">
        <v>55</v>
      </c>
      <c r="T48" s="122">
        <v>56.0</v>
      </c>
      <c r="U48" s="122">
        <v>55.0</v>
      </c>
      <c r="V48" s="122" t="s">
        <v>55</v>
      </c>
      <c r="W48" s="122">
        <v>76.0</v>
      </c>
      <c r="X48" s="122">
        <v>124.0</v>
      </c>
      <c r="Y48" s="122">
        <v>288.0</v>
      </c>
      <c r="Z48" s="122">
        <v>91.0</v>
      </c>
      <c r="AA48" s="140">
        <v>669.0</v>
      </c>
      <c r="AB48" s="122">
        <v>38.0</v>
      </c>
      <c r="AC48" s="140">
        <v>1726.0</v>
      </c>
      <c r="AD48" s="122">
        <v>25.0</v>
      </c>
      <c r="AE48" s="122">
        <v>78.0</v>
      </c>
      <c r="AF48" s="122">
        <v>173.0</v>
      </c>
      <c r="AG48" s="122">
        <v>67.0</v>
      </c>
      <c r="AH48" s="122">
        <v>68.0</v>
      </c>
      <c r="AI48" s="122">
        <v>46.0</v>
      </c>
      <c r="AJ48" s="122">
        <v>562.0</v>
      </c>
      <c r="AK48" s="122">
        <v>32.0</v>
      </c>
      <c r="AL48" s="122">
        <v>218.0</v>
      </c>
      <c r="AM48" s="122">
        <v>80.0</v>
      </c>
      <c r="AN48" s="122">
        <v>271.0</v>
      </c>
      <c r="AO48" s="122">
        <v>354.0</v>
      </c>
      <c r="AP48" s="140">
        <v>8181.0</v>
      </c>
    </row>
    <row r="49">
      <c r="A49" s="120" t="s">
        <v>146</v>
      </c>
      <c r="B49" s="122">
        <v>80.0</v>
      </c>
      <c r="C49" s="122">
        <v>86.0</v>
      </c>
      <c r="D49" s="122">
        <v>115.0</v>
      </c>
      <c r="E49" s="140">
        <v>147.0</v>
      </c>
      <c r="F49" s="122">
        <v>36.0</v>
      </c>
      <c r="G49" s="122">
        <v>222.0</v>
      </c>
      <c r="H49" s="140">
        <v>690.0</v>
      </c>
      <c r="I49" s="122">
        <v>282.0</v>
      </c>
      <c r="J49" s="122">
        <v>96.0</v>
      </c>
      <c r="K49" s="122">
        <v>394.0</v>
      </c>
      <c r="L49" s="122">
        <v>38.0</v>
      </c>
      <c r="M49" s="122">
        <v>28.0</v>
      </c>
      <c r="N49" s="122">
        <v>77.0</v>
      </c>
      <c r="O49" s="122">
        <v>42.0</v>
      </c>
      <c r="P49" s="122">
        <v>27.0</v>
      </c>
      <c r="Q49" s="122">
        <v>278.0</v>
      </c>
      <c r="R49" s="122">
        <v>150.0</v>
      </c>
      <c r="S49" s="122">
        <v>9.0</v>
      </c>
      <c r="T49" s="122">
        <v>56.0</v>
      </c>
      <c r="U49" s="122">
        <v>73.0</v>
      </c>
      <c r="V49" s="122">
        <v>11.0</v>
      </c>
      <c r="W49" s="122">
        <v>101.0</v>
      </c>
      <c r="X49" s="122">
        <v>128.0</v>
      </c>
      <c r="Y49" s="122">
        <v>278.0</v>
      </c>
      <c r="Z49" s="122">
        <v>78.0</v>
      </c>
      <c r="AA49" s="140">
        <v>622.0</v>
      </c>
      <c r="AB49" s="122">
        <v>55.0</v>
      </c>
      <c r="AC49" s="140">
        <v>1595.0</v>
      </c>
      <c r="AD49" s="122">
        <v>14.0</v>
      </c>
      <c r="AE49" s="122">
        <v>77.0</v>
      </c>
      <c r="AF49" s="122">
        <v>149.0</v>
      </c>
      <c r="AG49" s="122">
        <v>61.0</v>
      </c>
      <c r="AH49" s="122">
        <v>62.0</v>
      </c>
      <c r="AI49" s="122">
        <v>57.0</v>
      </c>
      <c r="AJ49" s="122">
        <v>499.0</v>
      </c>
      <c r="AK49" s="122">
        <v>29.0</v>
      </c>
      <c r="AL49" s="122">
        <v>185.0</v>
      </c>
      <c r="AM49" s="122">
        <v>100.0</v>
      </c>
      <c r="AN49" s="122">
        <v>281.0</v>
      </c>
      <c r="AO49" s="122">
        <v>344.0</v>
      </c>
      <c r="AP49" s="140">
        <v>7652.0</v>
      </c>
    </row>
    <row r="50">
      <c r="A50" s="120" t="s">
        <v>147</v>
      </c>
      <c r="B50" s="122">
        <v>45.0</v>
      </c>
      <c r="C50" s="122">
        <v>91.0</v>
      </c>
      <c r="D50" s="122">
        <v>114.0</v>
      </c>
      <c r="E50" s="140">
        <v>112.0</v>
      </c>
      <c r="F50" s="122">
        <v>34.0</v>
      </c>
      <c r="G50" s="122">
        <v>216.0</v>
      </c>
      <c r="H50" s="140">
        <v>480.0</v>
      </c>
      <c r="I50" s="122">
        <v>194.0</v>
      </c>
      <c r="J50" s="122">
        <v>75.0</v>
      </c>
      <c r="K50" s="122">
        <v>263.0</v>
      </c>
      <c r="L50" s="122">
        <v>24.0</v>
      </c>
      <c r="M50" s="122">
        <v>14.0</v>
      </c>
      <c r="N50" s="122">
        <v>44.0</v>
      </c>
      <c r="O50" s="122">
        <v>34.0</v>
      </c>
      <c r="P50" s="122">
        <v>10.0</v>
      </c>
      <c r="Q50" s="122">
        <v>193.0</v>
      </c>
      <c r="R50" s="122">
        <v>119.0</v>
      </c>
      <c r="S50" s="122">
        <v>12.0</v>
      </c>
      <c r="T50" s="122">
        <v>69.0</v>
      </c>
      <c r="U50" s="122">
        <v>56.0</v>
      </c>
      <c r="V50" s="122" t="s">
        <v>55</v>
      </c>
      <c r="W50" s="122">
        <v>76.0</v>
      </c>
      <c r="X50" s="122">
        <v>81.0</v>
      </c>
      <c r="Y50" s="122">
        <v>151.0</v>
      </c>
      <c r="Z50" s="122">
        <v>70.0</v>
      </c>
      <c r="AA50" s="140">
        <v>414.0</v>
      </c>
      <c r="AB50" s="122">
        <v>75.0</v>
      </c>
      <c r="AC50" s="140">
        <v>1045.0</v>
      </c>
      <c r="AD50" s="122">
        <v>9.0</v>
      </c>
      <c r="AE50" s="122">
        <v>43.0</v>
      </c>
      <c r="AF50" s="122">
        <v>110.0</v>
      </c>
      <c r="AG50" s="122">
        <v>42.0</v>
      </c>
      <c r="AH50" s="122">
        <v>65.0</v>
      </c>
      <c r="AI50" s="122">
        <v>77.0</v>
      </c>
      <c r="AJ50" s="122">
        <v>363.0</v>
      </c>
      <c r="AK50" s="122">
        <v>24.0</v>
      </c>
      <c r="AL50" s="122">
        <v>117.0</v>
      </c>
      <c r="AM50" s="122">
        <v>116.0</v>
      </c>
      <c r="AN50" s="122">
        <v>285.0</v>
      </c>
      <c r="AO50" s="122">
        <v>205.0</v>
      </c>
      <c r="AP50" s="140">
        <v>5571.0</v>
      </c>
    </row>
    <row r="51">
      <c r="A51" s="120" t="s">
        <v>148</v>
      </c>
      <c r="B51" s="122">
        <v>88.0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96.0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39.0</v>
      </c>
      <c r="AH51" s="122">
        <v>73.0</v>
      </c>
      <c r="AI51" s="122">
        <v>63.0</v>
      </c>
      <c r="AJ51" s="122">
        <v>259.0</v>
      </c>
      <c r="AK51" s="122">
        <v>20.0</v>
      </c>
      <c r="AL51" s="122">
        <v>111.0</v>
      </c>
      <c r="AM51" s="122">
        <v>70.0</v>
      </c>
      <c r="AN51" s="122">
        <v>195.0</v>
      </c>
      <c r="AO51" s="122">
        <v>270.0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76.0</v>
      </c>
      <c r="AA52" s="140">
        <v>427.0</v>
      </c>
      <c r="AB52" s="122">
        <v>111.0</v>
      </c>
      <c r="AC52" s="140">
        <v>1015.0</v>
      </c>
      <c r="AD52" s="122">
        <v>24.0</v>
      </c>
      <c r="AE52" s="122">
        <v>47.0</v>
      </c>
      <c r="AF52" s="122">
        <v>143.0</v>
      </c>
      <c r="AG52" s="122">
        <v>82.0</v>
      </c>
      <c r="AH52" s="122">
        <v>91.0</v>
      </c>
      <c r="AI52" s="122">
        <v>117.0</v>
      </c>
      <c r="AJ52" s="122">
        <v>407.0</v>
      </c>
      <c r="AK52" s="122">
        <v>31.0</v>
      </c>
      <c r="AL52" s="122">
        <v>163.0</v>
      </c>
      <c r="AM52" s="122">
        <v>85.0</v>
      </c>
      <c r="AN52" s="122">
        <v>259.0</v>
      </c>
      <c r="AO52" s="122">
        <v>451.0</v>
      </c>
      <c r="AP52" s="140">
        <v>6407.0</v>
      </c>
    </row>
    <row r="53">
      <c r="A53" s="120" t="s">
        <v>150</v>
      </c>
      <c r="B53" s="122">
        <v>92.0</v>
      </c>
      <c r="C53" s="122">
        <v>189.0</v>
      </c>
      <c r="D53" s="122">
        <v>101.0</v>
      </c>
      <c r="E53" s="140">
        <v>138.0</v>
      </c>
      <c r="F53" s="122">
        <v>29.0</v>
      </c>
      <c r="G53" s="122">
        <v>205.0</v>
      </c>
      <c r="H53" s="140">
        <v>561.0</v>
      </c>
      <c r="I53" s="122">
        <v>226.0</v>
      </c>
      <c r="J53" s="122">
        <v>118.0</v>
      </c>
      <c r="K53" s="122">
        <v>314.0</v>
      </c>
      <c r="L53" s="122">
        <v>31.0</v>
      </c>
      <c r="M53" s="122">
        <v>43.0</v>
      </c>
      <c r="N53" s="122">
        <v>49.0</v>
      </c>
      <c r="O53" s="122">
        <v>24.0</v>
      </c>
      <c r="P53" s="122">
        <v>33.0</v>
      </c>
      <c r="Q53" s="122">
        <v>264.0</v>
      </c>
      <c r="R53" s="122">
        <v>164.0</v>
      </c>
      <c r="S53" s="122">
        <v>19.0</v>
      </c>
      <c r="T53" s="122">
        <v>79.0</v>
      </c>
      <c r="U53" s="122">
        <v>96.0</v>
      </c>
      <c r="V53" s="122" t="s">
        <v>55</v>
      </c>
      <c r="W53" s="122">
        <v>144.0</v>
      </c>
      <c r="X53" s="122">
        <v>130.0</v>
      </c>
      <c r="Y53" s="122">
        <v>238.0</v>
      </c>
      <c r="Z53" s="122">
        <v>74.0</v>
      </c>
      <c r="AA53" s="140">
        <v>541.0</v>
      </c>
      <c r="AB53" s="122">
        <v>141.0</v>
      </c>
      <c r="AC53" s="140">
        <v>1351.0</v>
      </c>
      <c r="AD53" s="122">
        <v>27.0</v>
      </c>
      <c r="AE53" s="122">
        <v>48.0</v>
      </c>
      <c r="AF53" s="122">
        <v>134.0</v>
      </c>
      <c r="AG53" s="122">
        <v>64.0</v>
      </c>
      <c r="AH53" s="122">
        <v>86.0</v>
      </c>
      <c r="AI53" s="122">
        <v>116.0</v>
      </c>
      <c r="AJ53" s="122">
        <v>459.0</v>
      </c>
      <c r="AK53" s="122">
        <v>47.0</v>
      </c>
      <c r="AL53" s="122">
        <v>165.0</v>
      </c>
      <c r="AM53" s="122">
        <v>119.0</v>
      </c>
      <c r="AN53" s="122">
        <v>259.0</v>
      </c>
      <c r="AO53" s="122">
        <v>417.0</v>
      </c>
      <c r="AP53" s="140">
        <v>7336.0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1021.0</v>
      </c>
      <c r="AD54" s="122">
        <v>15.0</v>
      </c>
      <c r="AE54" s="122">
        <v>51.0</v>
      </c>
      <c r="AF54" s="122">
        <v>118.0</v>
      </c>
      <c r="AG54" s="122">
        <v>29.0</v>
      </c>
      <c r="AH54" s="122">
        <v>78.0</v>
      </c>
      <c r="AI54" s="122">
        <v>49.0</v>
      </c>
      <c r="AJ54" s="122">
        <v>366.0</v>
      </c>
      <c r="AK54" s="122">
        <v>37.0</v>
      </c>
      <c r="AL54" s="122">
        <v>146.0</v>
      </c>
      <c r="AM54" s="122">
        <v>105.0</v>
      </c>
      <c r="AN54" s="122">
        <v>291.0</v>
      </c>
      <c r="AO54" s="122">
        <v>239.0</v>
      </c>
      <c r="AP54" s="140">
        <v>5531.0</v>
      </c>
    </row>
    <row r="55">
      <c r="A55" s="120" t="s">
        <v>152</v>
      </c>
      <c r="B55" s="122">
        <v>62.0</v>
      </c>
      <c r="C55" s="122">
        <v>104.0</v>
      </c>
      <c r="D55" s="122">
        <v>95.0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86.0</v>
      </c>
      <c r="Y55" s="122">
        <v>145.0</v>
      </c>
      <c r="Z55" s="122">
        <v>75.0</v>
      </c>
      <c r="AA55" s="140">
        <v>343.0</v>
      </c>
      <c r="AB55" s="122">
        <v>58.0</v>
      </c>
      <c r="AC55" s="140">
        <v>785.0</v>
      </c>
      <c r="AD55" s="122">
        <v>14.0</v>
      </c>
      <c r="AE55" s="122">
        <v>39.0</v>
      </c>
      <c r="AF55" s="122">
        <v>121.0</v>
      </c>
      <c r="AG55" s="122">
        <v>47.0</v>
      </c>
      <c r="AH55" s="122">
        <v>74.0</v>
      </c>
      <c r="AI55" s="122">
        <v>31.0</v>
      </c>
      <c r="AJ55" s="122">
        <v>317.0</v>
      </c>
      <c r="AK55" s="122">
        <v>25.0</v>
      </c>
      <c r="AL55" s="122">
        <v>135.0</v>
      </c>
      <c r="AM55" s="122">
        <v>109.0</v>
      </c>
      <c r="AN55" s="122">
        <v>260.0</v>
      </c>
      <c r="AO55" s="122">
        <v>184.0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34.0</v>
      </c>
      <c r="O56" s="122">
        <v>23.0</v>
      </c>
      <c r="P56" s="122">
        <v>8.0</v>
      </c>
      <c r="Q56" s="122">
        <v>96.0</v>
      </c>
      <c r="R56" s="122">
        <v>80.0</v>
      </c>
      <c r="S56" s="122">
        <v>5.0</v>
      </c>
      <c r="T56" s="122">
        <v>53.0</v>
      </c>
      <c r="U56" s="122">
        <v>43.0</v>
      </c>
      <c r="V56" s="122">
        <v>0.0</v>
      </c>
      <c r="W56" s="122">
        <v>113.0</v>
      </c>
      <c r="X56" s="122">
        <v>79.0</v>
      </c>
      <c r="Y56" s="122">
        <v>93.0</v>
      </c>
      <c r="Z56" s="122">
        <v>57.0</v>
      </c>
      <c r="AA56" s="140">
        <v>265.0</v>
      </c>
      <c r="AB56" s="122">
        <v>33.0</v>
      </c>
      <c r="AC56" s="140">
        <v>617.0</v>
      </c>
      <c r="AD56" s="122">
        <v>13.0</v>
      </c>
      <c r="AE56" s="122">
        <v>26.0</v>
      </c>
      <c r="AF56" s="122">
        <v>98.0</v>
      </c>
      <c r="AG56" s="122">
        <v>68.0</v>
      </c>
      <c r="AH56" s="122">
        <v>46.0</v>
      </c>
      <c r="AI56" s="122">
        <v>31.0</v>
      </c>
      <c r="AJ56" s="122">
        <v>252.0</v>
      </c>
      <c r="AK56" s="122">
        <v>23.0</v>
      </c>
      <c r="AL56" s="122">
        <v>90.0</v>
      </c>
      <c r="AM56" s="122">
        <v>72.0</v>
      </c>
      <c r="AN56" s="122">
        <v>179.0</v>
      </c>
      <c r="AO56" s="122">
        <v>150.0</v>
      </c>
      <c r="AP56" s="140">
        <v>3764.0</v>
      </c>
    </row>
    <row r="57">
      <c r="A57" s="120" t="s">
        <v>154</v>
      </c>
      <c r="B57" s="122">
        <v>23.0</v>
      </c>
      <c r="C57" s="122">
        <v>74.0</v>
      </c>
      <c r="D57" s="122">
        <v>63.0</v>
      </c>
      <c r="E57" s="140">
        <v>43.0</v>
      </c>
      <c r="F57" s="122">
        <v>18.0</v>
      </c>
      <c r="G57" s="122">
        <v>88.0</v>
      </c>
      <c r="H57" s="140">
        <v>229.0</v>
      </c>
      <c r="I57" s="122">
        <v>95.0</v>
      </c>
      <c r="J57" s="122">
        <v>37.0</v>
      </c>
      <c r="K57" s="122">
        <v>119.0</v>
      </c>
      <c r="L57" s="122">
        <v>13.0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484.0</v>
      </c>
      <c r="AD57" s="122">
        <v>5.0</v>
      </c>
      <c r="AE57" s="122">
        <v>24.0</v>
      </c>
      <c r="AF57" s="122">
        <v>66.0</v>
      </c>
      <c r="AG57" s="122">
        <v>53.0</v>
      </c>
      <c r="AH57" s="122">
        <v>46.0</v>
      </c>
      <c r="AI57" s="122">
        <v>25.0</v>
      </c>
      <c r="AJ57" s="122">
        <v>175.0</v>
      </c>
      <c r="AK57" s="122">
        <v>8.0</v>
      </c>
      <c r="AL57" s="122">
        <v>73.0</v>
      </c>
      <c r="AM57" s="122">
        <v>74.0</v>
      </c>
      <c r="AN57" s="122">
        <v>114.0</v>
      </c>
      <c r="AO57" s="122">
        <v>110.0</v>
      </c>
      <c r="AP57" s="140">
        <v>2893.0</v>
      </c>
    </row>
    <row r="58">
      <c r="A58" s="120" t="s">
        <v>155</v>
      </c>
      <c r="B58" s="122">
        <v>28.0</v>
      </c>
      <c r="C58" s="122">
        <v>37.0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28.0</v>
      </c>
      <c r="U58" s="122">
        <v>80.0</v>
      </c>
      <c r="V58" s="122">
        <v>0.0</v>
      </c>
      <c r="W58" s="122">
        <v>54.0</v>
      </c>
      <c r="X58" s="122">
        <v>32.0</v>
      </c>
      <c r="Y58" s="122">
        <v>91.0</v>
      </c>
      <c r="Z58" s="122">
        <v>28.0</v>
      </c>
      <c r="AA58" s="140">
        <v>178.0</v>
      </c>
      <c r="AB58" s="122">
        <v>20.0</v>
      </c>
      <c r="AC58" s="140">
        <v>491.0</v>
      </c>
      <c r="AD58" s="122">
        <v>6.0</v>
      </c>
      <c r="AE58" s="122">
        <v>20.0</v>
      </c>
      <c r="AF58" s="122">
        <v>49.0</v>
      </c>
      <c r="AG58" s="122">
        <v>50.0</v>
      </c>
      <c r="AH58" s="122">
        <v>30.0</v>
      </c>
      <c r="AI58" s="122">
        <v>15.0</v>
      </c>
      <c r="AJ58" s="122">
        <v>141.0</v>
      </c>
      <c r="AK58" s="122">
        <v>8.0</v>
      </c>
      <c r="AL58" s="122">
        <v>55.0</v>
      </c>
      <c r="AM58" s="122">
        <v>52.0</v>
      </c>
      <c r="AN58" s="122">
        <v>90.0</v>
      </c>
      <c r="AO58" s="122">
        <v>89.0</v>
      </c>
      <c r="AP58" s="140">
        <v>2390.0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70.0</v>
      </c>
      <c r="R59" s="122">
        <v>34.0</v>
      </c>
      <c r="S59" s="122">
        <v>6.0</v>
      </c>
      <c r="T59" s="122">
        <v>11.0</v>
      </c>
      <c r="U59" s="122">
        <v>50.0</v>
      </c>
      <c r="V59" s="122" t="s">
        <v>55</v>
      </c>
      <c r="W59" s="122">
        <v>41.0</v>
      </c>
      <c r="X59" s="122">
        <v>38.0</v>
      </c>
      <c r="Y59" s="122">
        <v>79.0</v>
      </c>
      <c r="Z59" s="122">
        <v>19.0</v>
      </c>
      <c r="AA59" s="122">
        <v>153.0</v>
      </c>
      <c r="AB59" s="122">
        <v>9.0</v>
      </c>
      <c r="AC59" s="122">
        <v>430.0</v>
      </c>
      <c r="AD59" s="122">
        <v>10.0</v>
      </c>
      <c r="AE59" s="122">
        <v>6.0</v>
      </c>
      <c r="AF59" s="122">
        <v>98.0</v>
      </c>
      <c r="AG59" s="122">
        <v>66.0</v>
      </c>
      <c r="AH59" s="122">
        <v>38.0</v>
      </c>
      <c r="AI59" s="122">
        <v>20.0</v>
      </c>
      <c r="AJ59" s="122">
        <v>116.0</v>
      </c>
      <c r="AK59" s="122">
        <v>8.0</v>
      </c>
      <c r="AL59" s="122">
        <v>55.0</v>
      </c>
      <c r="AM59" s="122">
        <v>45.0</v>
      </c>
      <c r="AN59" s="122">
        <v>64.0</v>
      </c>
      <c r="AO59" s="122">
        <v>86.0</v>
      </c>
      <c r="AP59" s="122">
        <v>2107.0</v>
      </c>
    </row>
    <row r="60">
      <c r="A60" s="120" t="s">
        <v>157</v>
      </c>
      <c r="B60" s="122">
        <v>27.0</v>
      </c>
      <c r="C60" s="122">
        <v>31.0</v>
      </c>
      <c r="D60" s="122">
        <v>36.0</v>
      </c>
      <c r="E60" s="122">
        <v>41.0</v>
      </c>
      <c r="F60" s="122">
        <v>15.0</v>
      </c>
      <c r="G60" s="122">
        <v>48.0</v>
      </c>
      <c r="H60" s="122">
        <v>159.0</v>
      </c>
      <c r="I60" s="122">
        <v>74.0</v>
      </c>
      <c r="J60" s="122">
        <v>39.0</v>
      </c>
      <c r="K60" s="122">
        <v>82.0</v>
      </c>
      <c r="L60" s="122">
        <v>11.0</v>
      </c>
      <c r="M60" s="122">
        <v>7.0</v>
      </c>
      <c r="N60" s="122" t="s">
        <v>55</v>
      </c>
      <c r="O60" s="122">
        <v>14.0</v>
      </c>
      <c r="P60" s="122" t="s">
        <v>55</v>
      </c>
      <c r="Q60" s="122">
        <v>65.0</v>
      </c>
      <c r="R60" s="122">
        <v>29.0</v>
      </c>
      <c r="S60" s="122" t="s">
        <v>55</v>
      </c>
      <c r="T60" s="122">
        <v>17.0</v>
      </c>
      <c r="U60" s="122">
        <v>63.0</v>
      </c>
      <c r="V60" s="122">
        <v>0.0</v>
      </c>
      <c r="W60" s="122">
        <v>34.0</v>
      </c>
      <c r="X60" s="122">
        <v>42.0</v>
      </c>
      <c r="Y60" s="122">
        <v>113.0</v>
      </c>
      <c r="Z60" s="122">
        <v>24.0</v>
      </c>
      <c r="AA60" s="122">
        <v>153.0</v>
      </c>
      <c r="AB60" s="122">
        <v>24.0</v>
      </c>
      <c r="AC60" s="122">
        <v>456.0</v>
      </c>
      <c r="AD60" s="122">
        <v>5.0</v>
      </c>
      <c r="AE60" s="122">
        <v>10.0</v>
      </c>
      <c r="AF60" s="122">
        <v>177.0</v>
      </c>
      <c r="AG60" s="122">
        <v>104.0</v>
      </c>
      <c r="AH60" s="122">
        <v>19.0</v>
      </c>
      <c r="AI60" s="122">
        <v>10.0</v>
      </c>
      <c r="AJ60" s="122">
        <v>152.0</v>
      </c>
      <c r="AK60" s="122">
        <v>10.0</v>
      </c>
      <c r="AL60" s="122">
        <v>45.0</v>
      </c>
      <c r="AM60" s="122">
        <v>38.0</v>
      </c>
      <c r="AN60" s="122">
        <v>63.0</v>
      </c>
      <c r="AO60" s="122">
        <v>135.0</v>
      </c>
      <c r="AP60" s="122">
        <v>2379.0</v>
      </c>
    </row>
    <row r="61">
      <c r="A61" s="120" t="s">
        <v>158</v>
      </c>
      <c r="B61" s="122">
        <v>24.0</v>
      </c>
      <c r="C61" s="122">
        <v>42.0</v>
      </c>
      <c r="D61" s="122">
        <v>28.0</v>
      </c>
      <c r="E61" s="122">
        <v>21.0</v>
      </c>
      <c r="F61" s="122">
        <v>14.0</v>
      </c>
      <c r="G61" s="122">
        <v>56.0</v>
      </c>
      <c r="H61" s="122">
        <v>190.0</v>
      </c>
      <c r="I61" s="122">
        <v>57.0</v>
      </c>
      <c r="J61" s="122">
        <v>21.0</v>
      </c>
      <c r="K61" s="122">
        <v>71.0</v>
      </c>
      <c r="L61" s="122">
        <v>7.0</v>
      </c>
      <c r="M61" s="122">
        <v>13.0</v>
      </c>
      <c r="N61" s="122">
        <v>14.0</v>
      </c>
      <c r="O61" s="122">
        <v>16.0</v>
      </c>
      <c r="P61" s="122">
        <v>5.0</v>
      </c>
      <c r="Q61" s="122">
        <v>66.0</v>
      </c>
      <c r="R61" s="122">
        <v>30.0</v>
      </c>
      <c r="S61" s="122">
        <v>5.0</v>
      </c>
      <c r="T61" s="122">
        <v>13.0</v>
      </c>
      <c r="U61" s="122">
        <v>77.0</v>
      </c>
      <c r="V61" s="122" t="s">
        <v>55</v>
      </c>
      <c r="W61" s="122">
        <v>54.0</v>
      </c>
      <c r="X61" s="122">
        <v>44.0</v>
      </c>
      <c r="Y61" s="122">
        <v>66.0</v>
      </c>
      <c r="Z61" s="122">
        <v>13.0</v>
      </c>
      <c r="AA61" s="122">
        <v>144.0</v>
      </c>
      <c r="AB61" s="122">
        <v>32.0</v>
      </c>
      <c r="AC61" s="122">
        <v>400.0</v>
      </c>
      <c r="AD61" s="122" t="s">
        <v>55</v>
      </c>
      <c r="AE61" s="122">
        <v>11.0</v>
      </c>
      <c r="AF61" s="122">
        <v>104.0</v>
      </c>
      <c r="AG61" s="122">
        <v>100.0</v>
      </c>
      <c r="AH61" s="122">
        <v>19.0</v>
      </c>
      <c r="AI61" s="122">
        <v>7.0</v>
      </c>
      <c r="AJ61" s="122">
        <v>112.0</v>
      </c>
      <c r="AK61" s="122">
        <v>13.0</v>
      </c>
      <c r="AL61" s="122">
        <v>36.0</v>
      </c>
      <c r="AM61" s="122">
        <v>39.0</v>
      </c>
      <c r="AN61" s="122">
        <v>112.0</v>
      </c>
      <c r="AO61" s="122">
        <v>110.0</v>
      </c>
      <c r="AP61" s="122">
        <v>2190.0</v>
      </c>
    </row>
    <row r="62">
      <c r="A62" s="120" t="s">
        <v>159</v>
      </c>
      <c r="B62" s="122">
        <v>34.0</v>
      </c>
      <c r="C62" s="122">
        <v>37.0</v>
      </c>
      <c r="D62" s="122">
        <v>31.0</v>
      </c>
      <c r="E62" s="122">
        <v>27.0</v>
      </c>
      <c r="F62" s="122">
        <v>19.0</v>
      </c>
      <c r="G62" s="122">
        <v>61.0</v>
      </c>
      <c r="H62" s="122">
        <v>202.0</v>
      </c>
      <c r="I62" s="122">
        <v>96.0</v>
      </c>
      <c r="J62" s="122">
        <v>21.0</v>
      </c>
      <c r="K62" s="122">
        <v>62.0</v>
      </c>
      <c r="L62" s="122">
        <v>18.0</v>
      </c>
      <c r="M62" s="122">
        <v>13.0</v>
      </c>
      <c r="N62" s="122">
        <v>17.0</v>
      </c>
      <c r="O62" s="122">
        <v>14.0</v>
      </c>
      <c r="P62" s="122" t="s">
        <v>55</v>
      </c>
      <c r="Q62" s="122">
        <v>49.0</v>
      </c>
      <c r="R62" s="122">
        <v>40.0</v>
      </c>
      <c r="S62" s="122" t="s">
        <v>55</v>
      </c>
      <c r="T62" s="122">
        <v>23.0</v>
      </c>
      <c r="U62" s="122">
        <v>45.0</v>
      </c>
      <c r="V62" s="122" t="s">
        <v>55</v>
      </c>
      <c r="W62" s="122">
        <v>41.0</v>
      </c>
      <c r="X62" s="122">
        <v>76.0</v>
      </c>
      <c r="Y62" s="122">
        <v>79.0</v>
      </c>
      <c r="Z62" s="122">
        <v>20.0</v>
      </c>
      <c r="AA62" s="122">
        <v>106.0</v>
      </c>
      <c r="AB62" s="122">
        <v>24.0</v>
      </c>
      <c r="AC62" s="122">
        <v>381.0</v>
      </c>
      <c r="AD62" s="122">
        <v>10.0</v>
      </c>
      <c r="AE62" s="122">
        <v>22.0</v>
      </c>
      <c r="AF62" s="122">
        <v>89.0</v>
      </c>
      <c r="AG62" s="122">
        <v>75.0</v>
      </c>
      <c r="AH62" s="122">
        <v>20.0</v>
      </c>
      <c r="AI62" s="122">
        <v>9.0</v>
      </c>
      <c r="AJ62" s="122">
        <v>133.0</v>
      </c>
      <c r="AK62" s="122">
        <v>16.0</v>
      </c>
      <c r="AL62" s="122">
        <v>41.0</v>
      </c>
      <c r="AM62" s="122">
        <v>40.0</v>
      </c>
      <c r="AN62" s="122">
        <v>93.0</v>
      </c>
      <c r="AO62" s="122">
        <v>112.0</v>
      </c>
      <c r="AP62" s="122">
        <v>2204.0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313</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314</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44272.0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272</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273</v>
      </c>
      <c r="C8" s="212" t="s">
        <v>274</v>
      </c>
      <c r="D8" s="212" t="s">
        <v>275</v>
      </c>
      <c r="E8" s="212" t="s">
        <v>276</v>
      </c>
      <c r="F8" s="212" t="s">
        <v>277</v>
      </c>
      <c r="G8" s="212" t="s">
        <v>278</v>
      </c>
      <c r="H8" s="212" t="s">
        <v>279</v>
      </c>
      <c r="I8" s="212" t="s">
        <v>280</v>
      </c>
      <c r="J8" s="212" t="s">
        <v>281</v>
      </c>
      <c r="K8" s="212" t="s">
        <v>282</v>
      </c>
      <c r="L8" s="212" t="s">
        <v>283</v>
      </c>
      <c r="M8" s="212" t="s">
        <v>284</v>
      </c>
      <c r="N8" s="212" t="s">
        <v>285</v>
      </c>
      <c r="O8" s="212" t="s">
        <v>286</v>
      </c>
      <c r="P8" s="212" t="s">
        <v>287</v>
      </c>
      <c r="Q8" s="212" t="s">
        <v>288</v>
      </c>
      <c r="R8" s="212" t="s">
        <v>289</v>
      </c>
      <c r="S8" s="212" t="s">
        <v>290</v>
      </c>
      <c r="T8" s="212" t="s">
        <v>291</v>
      </c>
      <c r="U8" s="212" t="s">
        <v>292</v>
      </c>
      <c r="V8" s="212" t="s">
        <v>293</v>
      </c>
      <c r="W8" s="212" t="s">
        <v>294</v>
      </c>
      <c r="X8" s="212" t="s">
        <v>295</v>
      </c>
      <c r="Y8" s="212" t="s">
        <v>296</v>
      </c>
      <c r="Z8" s="212" t="s">
        <v>297</v>
      </c>
      <c r="AA8" s="212" t="s">
        <v>298</v>
      </c>
      <c r="AB8" s="212" t="s">
        <v>299</v>
      </c>
      <c r="AC8" s="212" t="s">
        <v>300</v>
      </c>
      <c r="AD8" s="212" t="s">
        <v>301</v>
      </c>
      <c r="AE8" s="212" t="s">
        <v>302</v>
      </c>
      <c r="AF8" s="212" t="s">
        <v>303</v>
      </c>
      <c r="AG8" s="212" t="s">
        <v>304</v>
      </c>
      <c r="AH8" s="212" t="s">
        <v>305</v>
      </c>
      <c r="AI8" s="212" t="s">
        <v>306</v>
      </c>
      <c r="AJ8" s="212" t="s">
        <v>307</v>
      </c>
      <c r="AK8" s="212" t="s">
        <v>308</v>
      </c>
      <c r="AL8" s="212" t="s">
        <v>309</v>
      </c>
      <c r="AM8" s="212" t="s">
        <v>310</v>
      </c>
      <c r="AN8" s="212" t="s">
        <v>311</v>
      </c>
      <c r="AO8" s="212" t="s">
        <v>267</v>
      </c>
    </row>
    <row r="9">
      <c r="A9" s="213" t="s">
        <v>315</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164</v>
      </c>
      <c r="H10" s="137">
        <v>0.0</v>
      </c>
      <c r="I10" s="137" t="s">
        <v>164</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164</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164</v>
      </c>
    </row>
    <row r="11">
      <c r="A11" s="120" t="s">
        <v>107</v>
      </c>
      <c r="B11" s="122" t="s">
        <v>164</v>
      </c>
      <c r="C11" s="122">
        <v>0.0</v>
      </c>
      <c r="D11" s="122" t="s">
        <v>164</v>
      </c>
      <c r="E11" s="122">
        <v>0.0</v>
      </c>
      <c r="F11" s="122">
        <v>0.0</v>
      </c>
      <c r="G11" s="122">
        <v>0.0</v>
      </c>
      <c r="H11" s="122" t="s">
        <v>164</v>
      </c>
      <c r="I11" s="122">
        <v>0.0</v>
      </c>
      <c r="J11" s="122">
        <v>0.0</v>
      </c>
      <c r="K11" s="122" t="s">
        <v>164</v>
      </c>
      <c r="L11" s="122">
        <v>0.0</v>
      </c>
      <c r="M11" s="122">
        <v>0.0</v>
      </c>
      <c r="N11" s="122">
        <v>0.0</v>
      </c>
      <c r="O11" s="122">
        <v>0.0</v>
      </c>
      <c r="P11" s="122">
        <v>0.0</v>
      </c>
      <c r="Q11" s="122">
        <v>0.0</v>
      </c>
      <c r="R11" s="122" t="s">
        <v>164</v>
      </c>
      <c r="S11" s="122">
        <v>0.0</v>
      </c>
      <c r="T11" s="122" t="s">
        <v>164</v>
      </c>
      <c r="U11" s="122" t="s">
        <v>164</v>
      </c>
      <c r="V11" s="122">
        <v>0.0</v>
      </c>
      <c r="W11" s="122">
        <v>0.0</v>
      </c>
      <c r="X11" s="122">
        <v>0.0</v>
      </c>
      <c r="Y11" s="122">
        <v>0.0</v>
      </c>
      <c r="Z11" s="122">
        <v>0.0</v>
      </c>
      <c r="AA11" s="122">
        <v>0.0</v>
      </c>
      <c r="AB11" s="122">
        <v>0.0</v>
      </c>
      <c r="AC11" s="122" t="s">
        <v>164</v>
      </c>
      <c r="AD11" s="122">
        <v>0.0</v>
      </c>
      <c r="AE11" s="122" t="s">
        <v>164</v>
      </c>
      <c r="AF11" s="122">
        <v>0.0</v>
      </c>
      <c r="AG11" s="122">
        <v>0.0</v>
      </c>
      <c r="AH11" s="122">
        <v>0.0</v>
      </c>
      <c r="AI11" s="122">
        <v>0.0</v>
      </c>
      <c r="AJ11" s="122">
        <v>0.0</v>
      </c>
      <c r="AK11" s="122">
        <v>0.0</v>
      </c>
      <c r="AL11" s="122">
        <v>0.0</v>
      </c>
      <c r="AM11" s="122" t="s">
        <v>164</v>
      </c>
      <c r="AN11" s="122">
        <v>0.0</v>
      </c>
      <c r="AO11" s="122">
        <v>1.0</v>
      </c>
    </row>
    <row r="12">
      <c r="A12" s="120" t="s">
        <v>108</v>
      </c>
      <c r="B12" s="122" t="s">
        <v>164</v>
      </c>
      <c r="C12" s="122" t="s">
        <v>164</v>
      </c>
      <c r="D12" s="122">
        <v>0.0</v>
      </c>
      <c r="E12" s="122" t="s">
        <v>164</v>
      </c>
      <c r="F12" s="122">
        <v>0.0</v>
      </c>
      <c r="G12" s="122" t="s">
        <v>164</v>
      </c>
      <c r="H12" s="122" t="s">
        <v>164</v>
      </c>
      <c r="I12" s="122" t="s">
        <v>164</v>
      </c>
      <c r="J12" s="122">
        <v>0.0</v>
      </c>
      <c r="K12" s="122" t="s">
        <v>164</v>
      </c>
      <c r="L12" s="122">
        <v>0.0</v>
      </c>
      <c r="M12" s="122" t="s">
        <v>164</v>
      </c>
      <c r="N12" s="122">
        <v>0.0</v>
      </c>
      <c r="O12" s="122">
        <v>0.0</v>
      </c>
      <c r="P12" s="122" t="s">
        <v>164</v>
      </c>
      <c r="Q12" s="122" t="s">
        <v>164</v>
      </c>
      <c r="R12" s="122">
        <v>0.0</v>
      </c>
      <c r="S12" s="122" t="s">
        <v>164</v>
      </c>
      <c r="T12" s="122" t="s">
        <v>164</v>
      </c>
      <c r="U12" s="122">
        <v>0.0</v>
      </c>
      <c r="V12" s="122">
        <v>0.0</v>
      </c>
      <c r="W12" s="122" t="s">
        <v>164</v>
      </c>
      <c r="X12" s="122">
        <v>0.0</v>
      </c>
      <c r="Y12" s="122">
        <v>0.0</v>
      </c>
      <c r="Z12" s="122" t="s">
        <v>164</v>
      </c>
      <c r="AA12" s="122" t="s">
        <v>164</v>
      </c>
      <c r="AB12" s="122" t="s">
        <v>164</v>
      </c>
      <c r="AC12" s="122">
        <v>14.0</v>
      </c>
      <c r="AD12" s="122">
        <v>0.0</v>
      </c>
      <c r="AE12" s="122" t="s">
        <v>164</v>
      </c>
      <c r="AF12" s="122">
        <v>0.0</v>
      </c>
      <c r="AG12" s="122" t="s">
        <v>164</v>
      </c>
      <c r="AH12" s="122">
        <v>0.0</v>
      </c>
      <c r="AI12" s="122" t="s">
        <v>164</v>
      </c>
      <c r="AJ12" s="122" t="s">
        <v>164</v>
      </c>
      <c r="AK12" s="122">
        <v>0.0</v>
      </c>
      <c r="AL12" s="122">
        <v>0.0</v>
      </c>
      <c r="AM12" s="122" t="s">
        <v>164</v>
      </c>
      <c r="AN12" s="122">
        <v>0.0</v>
      </c>
      <c r="AO12" s="122">
        <v>6.0</v>
      </c>
    </row>
    <row r="13">
      <c r="A13" s="120" t="s">
        <v>109</v>
      </c>
      <c r="B13" s="122">
        <v>31.0</v>
      </c>
      <c r="C13" s="122" t="s">
        <v>164</v>
      </c>
      <c r="D13" s="122">
        <v>30.0</v>
      </c>
      <c r="E13" s="122" t="s">
        <v>164</v>
      </c>
      <c r="F13" s="122" t="s">
        <v>164</v>
      </c>
      <c r="G13" s="122" t="s">
        <v>164</v>
      </c>
      <c r="H13" s="122">
        <v>33.0</v>
      </c>
      <c r="I13" s="122">
        <v>17.0</v>
      </c>
      <c r="J13" s="122">
        <v>0.0</v>
      </c>
      <c r="K13" s="122">
        <v>17.0</v>
      </c>
      <c r="L13" s="122" t="s">
        <v>164</v>
      </c>
      <c r="M13" s="122">
        <v>0.0</v>
      </c>
      <c r="N13" s="122">
        <v>0.0</v>
      </c>
      <c r="O13" s="122" t="s">
        <v>164</v>
      </c>
      <c r="P13" s="122">
        <v>0.0</v>
      </c>
      <c r="Q13" s="122" t="s">
        <v>164</v>
      </c>
      <c r="R13" s="122" t="s">
        <v>164</v>
      </c>
      <c r="S13" s="122">
        <v>0.0</v>
      </c>
      <c r="T13" s="122">
        <v>0.0</v>
      </c>
      <c r="U13" s="122" t="s">
        <v>164</v>
      </c>
      <c r="V13" s="122">
        <v>0.0</v>
      </c>
      <c r="W13" s="122" t="s">
        <v>164</v>
      </c>
      <c r="X13" s="122">
        <v>27.0</v>
      </c>
      <c r="Y13" s="122">
        <v>15.0</v>
      </c>
      <c r="Z13" s="122" t="s">
        <v>164</v>
      </c>
      <c r="AA13" s="122">
        <v>22.0</v>
      </c>
      <c r="AB13" s="122" t="s">
        <v>164</v>
      </c>
      <c r="AC13" s="122">
        <v>26.0</v>
      </c>
      <c r="AD13" s="122">
        <v>0.0</v>
      </c>
      <c r="AE13" s="122">
        <v>47.0</v>
      </c>
      <c r="AF13" s="122" t="s">
        <v>164</v>
      </c>
      <c r="AG13" s="122" t="s">
        <v>164</v>
      </c>
      <c r="AH13" s="122">
        <v>38.0</v>
      </c>
      <c r="AI13" s="122">
        <v>0.0</v>
      </c>
      <c r="AJ13" s="122">
        <v>17.0</v>
      </c>
      <c r="AK13" s="122">
        <v>0.0</v>
      </c>
      <c r="AL13" s="122">
        <v>21.0</v>
      </c>
      <c r="AM13" s="122" t="s">
        <v>164</v>
      </c>
      <c r="AN13" s="122" t="s">
        <v>164</v>
      </c>
      <c r="AO13" s="122">
        <v>19.0</v>
      </c>
    </row>
    <row r="14">
      <c r="A14" s="120" t="s">
        <v>110</v>
      </c>
      <c r="B14" s="122" t="s">
        <v>164</v>
      </c>
      <c r="C14" s="122">
        <v>27.0</v>
      </c>
      <c r="D14" s="122">
        <v>36.0</v>
      </c>
      <c r="E14" s="122">
        <v>52.0</v>
      </c>
      <c r="F14" s="122" t="s">
        <v>164</v>
      </c>
      <c r="G14" s="122">
        <v>35.0</v>
      </c>
      <c r="H14" s="122">
        <v>49.0</v>
      </c>
      <c r="I14" s="122">
        <v>46.0</v>
      </c>
      <c r="J14" s="122">
        <v>38.0</v>
      </c>
      <c r="K14" s="122">
        <v>30.0</v>
      </c>
      <c r="L14" s="122" t="s">
        <v>164</v>
      </c>
      <c r="M14" s="122">
        <v>0.0</v>
      </c>
      <c r="N14" s="122" t="s">
        <v>164</v>
      </c>
      <c r="O14" s="122" t="s">
        <v>164</v>
      </c>
      <c r="P14" s="122" t="s">
        <v>164</v>
      </c>
      <c r="Q14" s="122">
        <v>38.0</v>
      </c>
      <c r="R14" s="122">
        <v>42.0</v>
      </c>
      <c r="S14" s="122" t="s">
        <v>164</v>
      </c>
      <c r="T14" s="122" t="s">
        <v>164</v>
      </c>
      <c r="U14" s="122" t="s">
        <v>164</v>
      </c>
      <c r="V14" s="122" t="s">
        <v>164</v>
      </c>
      <c r="W14" s="122">
        <v>24.0</v>
      </c>
      <c r="X14" s="122">
        <v>31.0</v>
      </c>
      <c r="Y14" s="122">
        <v>80.0</v>
      </c>
      <c r="Z14" s="122" t="s">
        <v>164</v>
      </c>
      <c r="AA14" s="122">
        <v>77.0</v>
      </c>
      <c r="AB14" s="122">
        <v>40.0</v>
      </c>
      <c r="AC14" s="122">
        <v>63.0</v>
      </c>
      <c r="AD14" s="122">
        <v>0.0</v>
      </c>
      <c r="AE14" s="122" t="s">
        <v>164</v>
      </c>
      <c r="AF14" s="122">
        <v>37.0</v>
      </c>
      <c r="AG14" s="122">
        <v>26.0</v>
      </c>
      <c r="AH14" s="122">
        <v>32.0</v>
      </c>
      <c r="AI14" s="122" t="s">
        <v>164</v>
      </c>
      <c r="AJ14" s="122">
        <v>35.0</v>
      </c>
      <c r="AK14" s="122" t="s">
        <v>164</v>
      </c>
      <c r="AL14" s="122">
        <v>52.0</v>
      </c>
      <c r="AM14" s="122">
        <v>40.0</v>
      </c>
      <c r="AN14" s="122">
        <v>26.0</v>
      </c>
      <c r="AO14" s="122">
        <v>46.0</v>
      </c>
    </row>
    <row r="15">
      <c r="A15" s="120" t="s">
        <v>111</v>
      </c>
      <c r="B15" s="122">
        <v>37.0</v>
      </c>
      <c r="C15" s="122">
        <v>45.0</v>
      </c>
      <c r="D15" s="122">
        <v>85.0</v>
      </c>
      <c r="E15" s="122">
        <v>242.0</v>
      </c>
      <c r="F15" s="122" t="s">
        <v>164</v>
      </c>
      <c r="G15" s="122">
        <v>67.0</v>
      </c>
      <c r="H15" s="122">
        <v>133.0</v>
      </c>
      <c r="I15" s="122">
        <v>118.0</v>
      </c>
      <c r="J15" s="122">
        <v>92.0</v>
      </c>
      <c r="K15" s="122">
        <v>124.0</v>
      </c>
      <c r="L15" s="122" t="s">
        <v>164</v>
      </c>
      <c r="M15" s="122">
        <v>107.0</v>
      </c>
      <c r="N15" s="122" t="s">
        <v>164</v>
      </c>
      <c r="O15" s="122" t="s">
        <v>164</v>
      </c>
      <c r="P15" s="122" t="s">
        <v>164</v>
      </c>
      <c r="Q15" s="122">
        <v>130.0</v>
      </c>
      <c r="R15" s="122">
        <v>88.0</v>
      </c>
      <c r="S15" s="122" t="s">
        <v>164</v>
      </c>
      <c r="T15" s="122">
        <v>37.0</v>
      </c>
      <c r="U15" s="122">
        <v>84.0</v>
      </c>
      <c r="V15" s="122">
        <v>0.0</v>
      </c>
      <c r="W15" s="122">
        <v>32.0</v>
      </c>
      <c r="X15" s="122">
        <v>80.0</v>
      </c>
      <c r="Y15" s="122">
        <v>176.0</v>
      </c>
      <c r="Z15" s="122">
        <v>40.0</v>
      </c>
      <c r="AA15" s="122">
        <v>198.0</v>
      </c>
      <c r="AB15" s="122" t="s">
        <v>164</v>
      </c>
      <c r="AC15" s="122">
        <v>292.0</v>
      </c>
      <c r="AD15" s="122" t="s">
        <v>164</v>
      </c>
      <c r="AE15" s="122">
        <v>57.0</v>
      </c>
      <c r="AF15" s="122">
        <v>74.0</v>
      </c>
      <c r="AG15" s="122">
        <v>62.0</v>
      </c>
      <c r="AH15" s="122">
        <v>89.0</v>
      </c>
      <c r="AI15" s="122" t="s">
        <v>164</v>
      </c>
      <c r="AJ15" s="122">
        <v>78.0</v>
      </c>
      <c r="AK15" s="122" t="s">
        <v>164</v>
      </c>
      <c r="AL15" s="122">
        <v>73.0</v>
      </c>
      <c r="AM15" s="122">
        <v>35.0</v>
      </c>
      <c r="AN15" s="122">
        <v>89.0</v>
      </c>
      <c r="AO15" s="122">
        <v>136.0</v>
      </c>
    </row>
    <row r="16">
      <c r="A16" s="120" t="s">
        <v>112</v>
      </c>
      <c r="B16" s="122" t="s">
        <v>164</v>
      </c>
      <c r="C16" s="122">
        <v>54.0</v>
      </c>
      <c r="D16" s="122">
        <v>55.0</v>
      </c>
      <c r="E16" s="122">
        <v>573.0</v>
      </c>
      <c r="F16" s="122" t="s">
        <v>164</v>
      </c>
      <c r="G16" s="122">
        <v>49.0</v>
      </c>
      <c r="H16" s="122">
        <v>170.0</v>
      </c>
      <c r="I16" s="122">
        <v>81.0</v>
      </c>
      <c r="J16" s="122">
        <v>38.0</v>
      </c>
      <c r="K16" s="122">
        <v>105.0</v>
      </c>
      <c r="L16" s="122" t="s">
        <v>164</v>
      </c>
      <c r="M16" s="122" t="s">
        <v>164</v>
      </c>
      <c r="N16" s="122">
        <v>60.0</v>
      </c>
      <c r="O16" s="122" t="s">
        <v>164</v>
      </c>
      <c r="P16" s="122" t="s">
        <v>164</v>
      </c>
      <c r="Q16" s="122">
        <v>133.0</v>
      </c>
      <c r="R16" s="122">
        <v>92.0</v>
      </c>
      <c r="S16" s="122" t="s">
        <v>164</v>
      </c>
      <c r="T16" s="122" t="s">
        <v>164</v>
      </c>
      <c r="U16" s="122" t="s">
        <v>164</v>
      </c>
      <c r="V16" s="122">
        <v>0.0</v>
      </c>
      <c r="W16" s="122">
        <v>0.0</v>
      </c>
      <c r="X16" s="122">
        <v>27.0</v>
      </c>
      <c r="Y16" s="122">
        <v>250.0</v>
      </c>
      <c r="Z16" s="122" t="s">
        <v>164</v>
      </c>
      <c r="AA16" s="122">
        <v>286.0</v>
      </c>
      <c r="AB16" s="122" t="s">
        <v>164</v>
      </c>
      <c r="AC16" s="122">
        <v>348.0</v>
      </c>
      <c r="AD16" s="122" t="s">
        <v>164</v>
      </c>
      <c r="AE16" s="122">
        <v>57.0</v>
      </c>
      <c r="AF16" s="122">
        <v>32.0</v>
      </c>
      <c r="AG16" s="122">
        <v>29.0</v>
      </c>
      <c r="AH16" s="122">
        <v>57.0</v>
      </c>
      <c r="AI16" s="122" t="s">
        <v>164</v>
      </c>
      <c r="AJ16" s="122">
        <v>76.0</v>
      </c>
      <c r="AK16" s="122" t="s">
        <v>164</v>
      </c>
      <c r="AL16" s="122">
        <v>107.0</v>
      </c>
      <c r="AM16" s="122">
        <v>27.0</v>
      </c>
      <c r="AN16" s="122">
        <v>118.0</v>
      </c>
      <c r="AO16" s="122">
        <v>152.0</v>
      </c>
    </row>
    <row r="17">
      <c r="A17" s="120" t="s">
        <v>113</v>
      </c>
      <c r="B17" s="122">
        <v>37.0</v>
      </c>
      <c r="C17" s="122">
        <v>54.0</v>
      </c>
      <c r="D17" s="122">
        <v>61.0</v>
      </c>
      <c r="E17" s="122">
        <v>862.0</v>
      </c>
      <c r="F17" s="122" t="s">
        <v>164</v>
      </c>
      <c r="G17" s="122">
        <v>46.0</v>
      </c>
      <c r="H17" s="122">
        <v>150.0</v>
      </c>
      <c r="I17" s="122">
        <v>98.0</v>
      </c>
      <c r="J17" s="122">
        <v>92.0</v>
      </c>
      <c r="K17" s="122">
        <v>103.0</v>
      </c>
      <c r="L17" s="122">
        <v>74.0</v>
      </c>
      <c r="M17" s="122" t="s">
        <v>164</v>
      </c>
      <c r="N17" s="122">
        <v>60.0</v>
      </c>
      <c r="O17" s="122">
        <v>62.0</v>
      </c>
      <c r="P17" s="122" t="s">
        <v>164</v>
      </c>
      <c r="Q17" s="122">
        <v>147.0</v>
      </c>
      <c r="R17" s="122">
        <v>102.0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164</v>
      </c>
      <c r="AL17" s="122">
        <v>117.0</v>
      </c>
      <c r="AM17" s="122">
        <v>62.0</v>
      </c>
      <c r="AN17" s="122">
        <v>118.0</v>
      </c>
      <c r="AO17" s="122">
        <v>189.0</v>
      </c>
    </row>
    <row r="18">
      <c r="A18" s="120" t="s">
        <v>114</v>
      </c>
      <c r="B18" s="122" t="s">
        <v>164</v>
      </c>
      <c r="C18" s="122">
        <v>36.0</v>
      </c>
      <c r="D18" s="122">
        <v>61.0</v>
      </c>
      <c r="E18" s="122">
        <v>681.0</v>
      </c>
      <c r="F18" s="122">
        <v>64.0</v>
      </c>
      <c r="G18" s="122">
        <v>35.0</v>
      </c>
      <c r="H18" s="122">
        <v>135.0</v>
      </c>
      <c r="I18" s="122">
        <v>58.0</v>
      </c>
      <c r="J18" s="122">
        <v>84.0</v>
      </c>
      <c r="K18" s="122">
        <v>89.0</v>
      </c>
      <c r="L18" s="122" t="s">
        <v>164</v>
      </c>
      <c r="M18" s="122" t="s">
        <v>164</v>
      </c>
      <c r="N18" s="122" t="s">
        <v>164</v>
      </c>
      <c r="O18" s="122">
        <v>0.0</v>
      </c>
      <c r="P18" s="122">
        <v>0.0</v>
      </c>
      <c r="Q18" s="122">
        <v>89.0</v>
      </c>
      <c r="R18" s="122">
        <v>88.0</v>
      </c>
      <c r="S18" s="122">
        <v>0.0</v>
      </c>
      <c r="T18" s="122" t="s">
        <v>164</v>
      </c>
      <c r="U18" s="122" t="s">
        <v>164</v>
      </c>
      <c r="V18" s="122">
        <v>0.0</v>
      </c>
      <c r="W18" s="122">
        <v>32.0</v>
      </c>
      <c r="X18" s="122">
        <v>19.0</v>
      </c>
      <c r="Y18" s="122">
        <v>176.0</v>
      </c>
      <c r="Z18" s="122" t="s">
        <v>164</v>
      </c>
      <c r="AA18" s="122">
        <v>279.0</v>
      </c>
      <c r="AB18" s="122" t="s">
        <v>164</v>
      </c>
      <c r="AC18" s="122">
        <v>389.0</v>
      </c>
      <c r="AD18" s="122">
        <v>66.0</v>
      </c>
      <c r="AE18" s="122" t="s">
        <v>164</v>
      </c>
      <c r="AF18" s="122">
        <v>51.0</v>
      </c>
      <c r="AG18" s="122" t="s">
        <v>164</v>
      </c>
      <c r="AH18" s="122">
        <v>44.0</v>
      </c>
      <c r="AI18" s="122" t="s">
        <v>164</v>
      </c>
      <c r="AJ18" s="122">
        <v>70.0</v>
      </c>
      <c r="AK18" s="122" t="s">
        <v>164</v>
      </c>
      <c r="AL18" s="122">
        <v>83.0</v>
      </c>
      <c r="AM18" s="122">
        <v>31.0</v>
      </c>
      <c r="AN18" s="122">
        <v>130.0</v>
      </c>
      <c r="AO18" s="122">
        <v>155.0</v>
      </c>
    </row>
    <row r="19">
      <c r="A19" s="120" t="s">
        <v>115</v>
      </c>
      <c r="B19" s="122" t="s">
        <v>164</v>
      </c>
      <c r="C19" s="122">
        <v>45.0</v>
      </c>
      <c r="D19" s="122" t="s">
        <v>164</v>
      </c>
      <c r="E19" s="122">
        <v>650.0</v>
      </c>
      <c r="F19" s="122" t="s">
        <v>164</v>
      </c>
      <c r="G19" s="122">
        <v>35.0</v>
      </c>
      <c r="H19" s="122">
        <v>101.0</v>
      </c>
      <c r="I19" s="122">
        <v>61.0</v>
      </c>
      <c r="J19" s="122">
        <v>54.0</v>
      </c>
      <c r="K19" s="122">
        <v>107.0</v>
      </c>
      <c r="L19" s="122">
        <v>88.0</v>
      </c>
      <c r="M19" s="122" t="s">
        <v>164</v>
      </c>
      <c r="N19" s="122" t="s">
        <v>164</v>
      </c>
      <c r="O19" s="122" t="s">
        <v>164</v>
      </c>
      <c r="P19" s="122" t="s">
        <v>164</v>
      </c>
      <c r="Q19" s="122">
        <v>113.0</v>
      </c>
      <c r="R19" s="122">
        <v>92.0</v>
      </c>
      <c r="S19" s="122" t="s">
        <v>164</v>
      </c>
      <c r="T19" s="122" t="s">
        <v>164</v>
      </c>
      <c r="U19" s="122" t="s">
        <v>164</v>
      </c>
      <c r="V19" s="122">
        <v>0.0</v>
      </c>
      <c r="W19" s="122">
        <v>32.0</v>
      </c>
      <c r="X19" s="122">
        <v>31.0</v>
      </c>
      <c r="Y19" s="122">
        <v>136.0</v>
      </c>
      <c r="Z19" s="122" t="s">
        <v>164</v>
      </c>
      <c r="AA19" s="122">
        <v>269.0</v>
      </c>
      <c r="AB19" s="122" t="s">
        <v>164</v>
      </c>
      <c r="AC19" s="122">
        <v>302.0</v>
      </c>
      <c r="AD19" s="122" t="s">
        <v>164</v>
      </c>
      <c r="AE19" s="122" t="s">
        <v>164</v>
      </c>
      <c r="AF19" s="122">
        <v>51.0</v>
      </c>
      <c r="AG19" s="122" t="s">
        <v>164</v>
      </c>
      <c r="AH19" s="122">
        <v>32.0</v>
      </c>
      <c r="AI19" s="122" t="s">
        <v>164</v>
      </c>
      <c r="AJ19" s="122">
        <v>57.0</v>
      </c>
      <c r="AK19" s="122">
        <v>0.0</v>
      </c>
      <c r="AL19" s="122">
        <v>97.0</v>
      </c>
      <c r="AM19" s="122" t="s">
        <v>164</v>
      </c>
      <c r="AN19" s="122">
        <v>137.0</v>
      </c>
      <c r="AO19" s="122">
        <v>131.0</v>
      </c>
    </row>
    <row r="20">
      <c r="A20" s="120" t="s">
        <v>116</v>
      </c>
      <c r="B20" s="122">
        <v>43.0</v>
      </c>
      <c r="C20" s="122">
        <v>27.0</v>
      </c>
      <c r="D20" s="122" t="s">
        <v>164</v>
      </c>
      <c r="E20" s="122">
        <v>480.0</v>
      </c>
      <c r="F20" s="122">
        <v>0.0</v>
      </c>
      <c r="G20" s="122">
        <v>38.0</v>
      </c>
      <c r="H20" s="122">
        <v>94.0</v>
      </c>
      <c r="I20" s="122">
        <v>32.0</v>
      </c>
      <c r="J20" s="122">
        <v>46.0</v>
      </c>
      <c r="K20" s="122">
        <v>76.0</v>
      </c>
      <c r="L20" s="122" t="s">
        <v>164</v>
      </c>
      <c r="M20" s="122" t="s">
        <v>164</v>
      </c>
      <c r="N20" s="122">
        <v>89.0</v>
      </c>
      <c r="O20" s="122" t="s">
        <v>164</v>
      </c>
      <c r="P20" s="122">
        <v>0.0</v>
      </c>
      <c r="Q20" s="122">
        <v>79.0</v>
      </c>
      <c r="R20" s="122">
        <v>60.0</v>
      </c>
      <c r="S20" s="122">
        <v>0.0</v>
      </c>
      <c r="T20" s="122">
        <v>0.0</v>
      </c>
      <c r="U20" s="122" t="s">
        <v>164</v>
      </c>
      <c r="V20" s="122">
        <v>0.0</v>
      </c>
      <c r="W20" s="122" t="s">
        <v>164</v>
      </c>
      <c r="X20" s="122">
        <v>19.0</v>
      </c>
      <c r="Y20" s="122">
        <v>145.0</v>
      </c>
      <c r="Z20" s="122">
        <v>73.0</v>
      </c>
      <c r="AA20" s="122">
        <v>164.0</v>
      </c>
      <c r="AB20" s="122" t="s">
        <v>164</v>
      </c>
      <c r="AC20" s="122">
        <v>268.0</v>
      </c>
      <c r="AD20" s="122" t="s">
        <v>164</v>
      </c>
      <c r="AE20" s="122">
        <v>47.0</v>
      </c>
      <c r="AF20" s="122">
        <v>55.0</v>
      </c>
      <c r="AG20" s="122" t="s">
        <v>164</v>
      </c>
      <c r="AH20" s="122">
        <v>44.0</v>
      </c>
      <c r="AI20" s="122">
        <v>133.0</v>
      </c>
      <c r="AJ20" s="122">
        <v>43.0</v>
      </c>
      <c r="AK20" s="122" t="s">
        <v>164</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164</v>
      </c>
      <c r="K21" s="122">
        <v>36.0</v>
      </c>
      <c r="L21" s="122" t="s">
        <v>164</v>
      </c>
      <c r="M21" s="122" t="s">
        <v>164</v>
      </c>
      <c r="N21" s="122" t="s">
        <v>164</v>
      </c>
      <c r="O21" s="122" t="s">
        <v>164</v>
      </c>
      <c r="P21" s="122" t="s">
        <v>164</v>
      </c>
      <c r="Q21" s="122">
        <v>62.0</v>
      </c>
      <c r="R21" s="122">
        <v>51.0</v>
      </c>
      <c r="S21" s="122" t="s">
        <v>164</v>
      </c>
      <c r="T21" s="122" t="s">
        <v>164</v>
      </c>
      <c r="U21" s="122" t="s">
        <v>164</v>
      </c>
      <c r="V21" s="122">
        <v>0.0</v>
      </c>
      <c r="W21" s="122" t="s">
        <v>164</v>
      </c>
      <c r="X21" s="122">
        <v>19.0</v>
      </c>
      <c r="Y21" s="122">
        <v>80.0</v>
      </c>
      <c r="Z21" s="122">
        <v>49.0</v>
      </c>
      <c r="AA21" s="122">
        <v>155.0</v>
      </c>
      <c r="AB21" s="122">
        <v>40.0</v>
      </c>
      <c r="AC21" s="122">
        <v>227.0</v>
      </c>
      <c r="AD21" s="122" t="s">
        <v>164</v>
      </c>
      <c r="AE21" s="122" t="s">
        <v>164</v>
      </c>
      <c r="AF21" s="122">
        <v>28.0</v>
      </c>
      <c r="AG21" s="122" t="s">
        <v>164</v>
      </c>
      <c r="AH21" s="122">
        <v>57.0</v>
      </c>
      <c r="AI21" s="122">
        <v>48.0</v>
      </c>
      <c r="AJ21" s="122">
        <v>43.0</v>
      </c>
      <c r="AK21" s="122" t="s">
        <v>164</v>
      </c>
      <c r="AL21" s="122">
        <v>41.0</v>
      </c>
      <c r="AM21" s="122" t="s">
        <v>164</v>
      </c>
      <c r="AN21" s="122">
        <v>89.0</v>
      </c>
      <c r="AO21" s="122">
        <v>91.0</v>
      </c>
    </row>
    <row r="22">
      <c r="A22" s="120" t="s">
        <v>118</v>
      </c>
      <c r="B22" s="122" t="s">
        <v>164</v>
      </c>
      <c r="C22" s="122">
        <v>31.0</v>
      </c>
      <c r="D22" s="122" t="s">
        <v>164</v>
      </c>
      <c r="E22" s="122">
        <v>155.0</v>
      </c>
      <c r="F22" s="122" t="s">
        <v>164</v>
      </c>
      <c r="G22" s="122">
        <v>29.0</v>
      </c>
      <c r="H22" s="122">
        <v>60.0</v>
      </c>
      <c r="I22" s="122">
        <v>14.0</v>
      </c>
      <c r="J22" s="122">
        <v>0.0</v>
      </c>
      <c r="K22" s="122">
        <v>42.0</v>
      </c>
      <c r="L22" s="122">
        <v>0.0</v>
      </c>
      <c r="M22" s="122" t="s">
        <v>164</v>
      </c>
      <c r="N22" s="122" t="s">
        <v>164</v>
      </c>
      <c r="O22" s="122">
        <v>0.0</v>
      </c>
      <c r="P22" s="122" t="s">
        <v>164</v>
      </c>
      <c r="Q22" s="122">
        <v>116.0</v>
      </c>
      <c r="R22" s="122">
        <v>42.0</v>
      </c>
      <c r="S22" s="122">
        <v>0.0</v>
      </c>
      <c r="T22" s="122">
        <v>31.0</v>
      </c>
      <c r="U22" s="122" t="s">
        <v>164</v>
      </c>
      <c r="V22" s="122">
        <v>0.0</v>
      </c>
      <c r="W22" s="122">
        <v>36.0</v>
      </c>
      <c r="X22" s="122">
        <v>23.0</v>
      </c>
      <c r="Y22" s="122">
        <v>49.0</v>
      </c>
      <c r="Z22" s="122" t="s">
        <v>164</v>
      </c>
      <c r="AA22" s="122">
        <v>102.0</v>
      </c>
      <c r="AB22" s="122">
        <v>34.0</v>
      </c>
      <c r="AC22" s="122">
        <v>186.0</v>
      </c>
      <c r="AD22" s="122" t="s">
        <v>164</v>
      </c>
      <c r="AE22" s="122" t="s">
        <v>164</v>
      </c>
      <c r="AF22" s="122">
        <v>0.0</v>
      </c>
      <c r="AG22" s="122">
        <v>0.0</v>
      </c>
      <c r="AH22" s="122" t="s">
        <v>164</v>
      </c>
      <c r="AI22" s="122">
        <v>0.0</v>
      </c>
      <c r="AJ22" s="122">
        <v>25.0</v>
      </c>
      <c r="AK22" s="122" t="s">
        <v>164</v>
      </c>
      <c r="AL22" s="122">
        <v>31.0</v>
      </c>
      <c r="AM22" s="122" t="s">
        <v>164</v>
      </c>
      <c r="AN22" s="122">
        <v>91.0</v>
      </c>
      <c r="AO22" s="122">
        <v>68.0</v>
      </c>
    </row>
    <row r="23">
      <c r="A23" s="120" t="s">
        <v>119</v>
      </c>
      <c r="B23" s="122" t="s">
        <v>164</v>
      </c>
      <c r="C23" s="122" t="s">
        <v>164</v>
      </c>
      <c r="D23" s="122" t="s">
        <v>164</v>
      </c>
      <c r="E23" s="122">
        <v>150.0</v>
      </c>
      <c r="F23" s="122">
        <v>0.0</v>
      </c>
      <c r="G23" s="122" t="s">
        <v>164</v>
      </c>
      <c r="H23" s="122">
        <v>44.0</v>
      </c>
      <c r="I23" s="122">
        <v>32.0</v>
      </c>
      <c r="J23" s="122" t="s">
        <v>164</v>
      </c>
      <c r="K23" s="122">
        <v>25.0</v>
      </c>
      <c r="L23" s="122" t="s">
        <v>164</v>
      </c>
      <c r="M23" s="122">
        <v>0.0</v>
      </c>
      <c r="N23" s="122" t="s">
        <v>164</v>
      </c>
      <c r="O23" s="122">
        <v>0.0</v>
      </c>
      <c r="P23" s="122" t="s">
        <v>164</v>
      </c>
      <c r="Q23" s="122">
        <v>41.0</v>
      </c>
      <c r="R23" s="122" t="s">
        <v>164</v>
      </c>
      <c r="S23" s="122">
        <v>0.0</v>
      </c>
      <c r="T23" s="122" t="s">
        <v>164</v>
      </c>
      <c r="U23" s="122" t="s">
        <v>164</v>
      </c>
      <c r="V23" s="122">
        <v>0.0</v>
      </c>
      <c r="W23" s="122" t="s">
        <v>164</v>
      </c>
      <c r="X23" s="122" t="s">
        <v>164</v>
      </c>
      <c r="Y23" s="122">
        <v>59.0</v>
      </c>
      <c r="Z23" s="122" t="s">
        <v>164</v>
      </c>
      <c r="AA23" s="122">
        <v>71.0</v>
      </c>
      <c r="AB23" s="122">
        <v>29.0</v>
      </c>
      <c r="AC23" s="122">
        <v>144.0</v>
      </c>
      <c r="AD23" s="122">
        <v>0.0</v>
      </c>
      <c r="AE23" s="122" t="s">
        <v>164</v>
      </c>
      <c r="AF23" s="122" t="s">
        <v>164</v>
      </c>
      <c r="AG23" s="122">
        <v>0.0</v>
      </c>
      <c r="AH23" s="122" t="s">
        <v>164</v>
      </c>
      <c r="AI23" s="122" t="s">
        <v>164</v>
      </c>
      <c r="AJ23" s="122">
        <v>23.0</v>
      </c>
      <c r="AK23" s="122">
        <v>0.0</v>
      </c>
      <c r="AL23" s="122">
        <v>31.0</v>
      </c>
      <c r="AM23" s="122">
        <v>0.0</v>
      </c>
      <c r="AN23" s="122">
        <v>60.0</v>
      </c>
      <c r="AO23" s="122">
        <v>50.0</v>
      </c>
    </row>
    <row r="24">
      <c r="A24" s="120" t="s">
        <v>120</v>
      </c>
      <c r="B24" s="122" t="s">
        <v>164</v>
      </c>
      <c r="C24" s="122" t="s">
        <v>164</v>
      </c>
      <c r="D24" s="122" t="s">
        <v>164</v>
      </c>
      <c r="E24" s="122">
        <v>119.0</v>
      </c>
      <c r="F24" s="122" t="s">
        <v>164</v>
      </c>
      <c r="G24" s="122" t="s">
        <v>164</v>
      </c>
      <c r="H24" s="122">
        <v>39.0</v>
      </c>
      <c r="I24" s="122">
        <v>26.0</v>
      </c>
      <c r="J24" s="122" t="s">
        <v>164</v>
      </c>
      <c r="K24" s="122">
        <v>25.0</v>
      </c>
      <c r="L24" s="122" t="s">
        <v>164</v>
      </c>
      <c r="M24" s="122">
        <v>0.0</v>
      </c>
      <c r="N24" s="122" t="s">
        <v>164</v>
      </c>
      <c r="O24" s="122">
        <v>0.0</v>
      </c>
      <c r="P24" s="122">
        <v>0.0</v>
      </c>
      <c r="Q24" s="122">
        <v>51.0</v>
      </c>
      <c r="R24" s="122">
        <v>28.0</v>
      </c>
      <c r="S24" s="122">
        <v>0.0</v>
      </c>
      <c r="T24" s="122" t="s">
        <v>164</v>
      </c>
      <c r="U24" s="122">
        <v>0.0</v>
      </c>
      <c r="V24" s="122">
        <v>0.0</v>
      </c>
      <c r="W24" s="122" t="s">
        <v>164</v>
      </c>
      <c r="X24" s="122" t="s">
        <v>164</v>
      </c>
      <c r="Y24" s="122">
        <v>28.0</v>
      </c>
      <c r="Z24" s="122">
        <v>49.0</v>
      </c>
      <c r="AA24" s="122">
        <v>56.0</v>
      </c>
      <c r="AB24" s="122">
        <v>0.0</v>
      </c>
      <c r="AC24" s="122">
        <v>88.0</v>
      </c>
      <c r="AD24" s="122">
        <v>0.0</v>
      </c>
      <c r="AE24" s="122" t="s">
        <v>164</v>
      </c>
      <c r="AF24" s="122" t="s">
        <v>164</v>
      </c>
      <c r="AG24" s="122">
        <v>0.0</v>
      </c>
      <c r="AH24" s="122" t="s">
        <v>164</v>
      </c>
      <c r="AI24" s="122" t="s">
        <v>164</v>
      </c>
      <c r="AJ24" s="122">
        <v>11.0</v>
      </c>
      <c r="AK24" s="122">
        <v>0.0</v>
      </c>
      <c r="AL24" s="122" t="s">
        <v>164</v>
      </c>
      <c r="AM24" s="122">
        <v>0.0</v>
      </c>
      <c r="AN24" s="122">
        <v>46.0</v>
      </c>
      <c r="AO24" s="122">
        <v>35.0</v>
      </c>
    </row>
    <row r="25">
      <c r="A25" s="120" t="s">
        <v>121</v>
      </c>
      <c r="B25" s="122">
        <v>0.0</v>
      </c>
      <c r="C25" s="122" t="s">
        <v>164</v>
      </c>
      <c r="D25" s="122" t="s">
        <v>164</v>
      </c>
      <c r="E25" s="122">
        <v>108.0</v>
      </c>
      <c r="F25" s="122" t="s">
        <v>164</v>
      </c>
      <c r="G25" s="122">
        <v>0.0</v>
      </c>
      <c r="H25" s="122">
        <v>22.0</v>
      </c>
      <c r="I25" s="122" t="s">
        <v>164</v>
      </c>
      <c r="J25" s="122" t="s">
        <v>164</v>
      </c>
      <c r="K25" s="122">
        <v>17.0</v>
      </c>
      <c r="L25" s="122">
        <v>0.0</v>
      </c>
      <c r="M25" s="122">
        <v>0.0</v>
      </c>
      <c r="N25" s="122">
        <v>0.0</v>
      </c>
      <c r="O25" s="122">
        <v>0.0</v>
      </c>
      <c r="P25" s="122" t="s">
        <v>164</v>
      </c>
      <c r="Q25" s="122">
        <v>21.0</v>
      </c>
      <c r="R25" s="122">
        <v>23.0</v>
      </c>
      <c r="S25" s="122">
        <v>0.0</v>
      </c>
      <c r="T25" s="122" t="s">
        <v>164</v>
      </c>
      <c r="U25" s="122" t="s">
        <v>164</v>
      </c>
      <c r="V25" s="122">
        <v>0.0</v>
      </c>
      <c r="W25" s="122">
        <v>28.0</v>
      </c>
      <c r="X25" s="122" t="s">
        <v>164</v>
      </c>
      <c r="Y25" s="122" t="s">
        <v>164</v>
      </c>
      <c r="Z25" s="122" t="s">
        <v>164</v>
      </c>
      <c r="AA25" s="122">
        <v>36.0</v>
      </c>
      <c r="AB25" s="122">
        <v>0.0</v>
      </c>
      <c r="AC25" s="122">
        <v>72.0</v>
      </c>
      <c r="AD25" s="122" t="s">
        <v>164</v>
      </c>
      <c r="AE25" s="122" t="s">
        <v>164</v>
      </c>
      <c r="AF25" s="122" t="s">
        <v>164</v>
      </c>
      <c r="AG25" s="122">
        <v>0.0</v>
      </c>
      <c r="AH25" s="122">
        <v>0.0</v>
      </c>
      <c r="AI25" s="122" t="s">
        <v>164</v>
      </c>
      <c r="AJ25" s="122">
        <v>14.0</v>
      </c>
      <c r="AK25" s="122">
        <v>0.0</v>
      </c>
      <c r="AL25" s="122">
        <v>35.0</v>
      </c>
      <c r="AM25" s="122" t="s">
        <v>164</v>
      </c>
      <c r="AN25" s="122">
        <v>39.0</v>
      </c>
      <c r="AO25" s="122">
        <v>28.0</v>
      </c>
    </row>
    <row r="26">
      <c r="A26" s="120" t="s">
        <v>122</v>
      </c>
      <c r="B26" s="122" t="s">
        <v>164</v>
      </c>
      <c r="C26" s="122" t="s">
        <v>164</v>
      </c>
      <c r="D26" s="122" t="s">
        <v>164</v>
      </c>
      <c r="E26" s="122">
        <v>62.0</v>
      </c>
      <c r="F26" s="122" t="s">
        <v>164</v>
      </c>
      <c r="G26" s="122" t="s">
        <v>164</v>
      </c>
      <c r="H26" s="122">
        <v>18.0</v>
      </c>
      <c r="I26" s="122">
        <v>26.0</v>
      </c>
      <c r="J26" s="122" t="s">
        <v>164</v>
      </c>
      <c r="K26" s="122">
        <v>15.0</v>
      </c>
      <c r="L26" s="122">
        <v>0.0</v>
      </c>
      <c r="M26" s="122" t="s">
        <v>164</v>
      </c>
      <c r="N26" s="122" t="s">
        <v>164</v>
      </c>
      <c r="O26" s="122" t="s">
        <v>164</v>
      </c>
      <c r="P26" s="122">
        <v>0.0</v>
      </c>
      <c r="Q26" s="122">
        <v>31.0</v>
      </c>
      <c r="R26" s="122">
        <v>28.0</v>
      </c>
      <c r="S26" s="122">
        <v>0.0</v>
      </c>
      <c r="T26" s="122">
        <v>37.0</v>
      </c>
      <c r="U26" s="122">
        <v>0.0</v>
      </c>
      <c r="V26" s="122">
        <v>0.0</v>
      </c>
      <c r="W26" s="122">
        <v>48.0</v>
      </c>
      <c r="X26" s="122" t="s">
        <v>164</v>
      </c>
      <c r="Y26" s="122">
        <v>37.0</v>
      </c>
      <c r="Z26" s="122" t="s">
        <v>164</v>
      </c>
      <c r="AA26" s="122">
        <v>56.0</v>
      </c>
      <c r="AB26" s="122" t="s">
        <v>164</v>
      </c>
      <c r="AC26" s="122">
        <v>66.0</v>
      </c>
      <c r="AD26" s="122">
        <v>0.0</v>
      </c>
      <c r="AE26" s="122" t="s">
        <v>164</v>
      </c>
      <c r="AF26" s="122" t="s">
        <v>164</v>
      </c>
      <c r="AG26" s="122" t="s">
        <v>164</v>
      </c>
      <c r="AH26" s="122" t="s">
        <v>164</v>
      </c>
      <c r="AI26" s="122" t="s">
        <v>164</v>
      </c>
      <c r="AJ26" s="122">
        <v>12.0</v>
      </c>
      <c r="AK26" s="122" t="s">
        <v>164</v>
      </c>
      <c r="AL26" s="122">
        <v>31.0</v>
      </c>
      <c r="AM26" s="122" t="s">
        <v>164</v>
      </c>
      <c r="AN26" s="122">
        <v>39.0</v>
      </c>
      <c r="AO26" s="122">
        <v>31.0</v>
      </c>
    </row>
    <row r="27">
      <c r="A27" s="120" t="s">
        <v>123</v>
      </c>
      <c r="B27" s="122" t="s">
        <v>164</v>
      </c>
      <c r="C27" s="122" t="s">
        <v>164</v>
      </c>
      <c r="D27" s="122" t="s">
        <v>164</v>
      </c>
      <c r="E27" s="122">
        <v>36.0</v>
      </c>
      <c r="F27" s="122" t="s">
        <v>164</v>
      </c>
      <c r="G27" s="122">
        <v>26.0</v>
      </c>
      <c r="H27" s="122">
        <v>44.0</v>
      </c>
      <c r="I27" s="122" t="s">
        <v>164</v>
      </c>
      <c r="J27" s="122" t="s">
        <v>164</v>
      </c>
      <c r="K27" s="122">
        <v>13.0</v>
      </c>
      <c r="L27" s="122">
        <v>0.0</v>
      </c>
      <c r="M27" s="122" t="s">
        <v>164</v>
      </c>
      <c r="N27" s="122" t="s">
        <v>164</v>
      </c>
      <c r="O27" s="122" t="s">
        <v>164</v>
      </c>
      <c r="P27" s="122" t="s">
        <v>164</v>
      </c>
      <c r="Q27" s="122">
        <v>31.0</v>
      </c>
      <c r="R27" s="122" t="s">
        <v>164</v>
      </c>
      <c r="S27" s="122" t="s">
        <v>164</v>
      </c>
      <c r="T27" s="122">
        <v>31.0</v>
      </c>
      <c r="U27" s="122">
        <v>0.0</v>
      </c>
      <c r="V27" s="122">
        <v>0.0</v>
      </c>
      <c r="W27" s="122">
        <v>36.0</v>
      </c>
      <c r="X27" s="122" t="s">
        <v>164</v>
      </c>
      <c r="Y27" s="122">
        <v>31.0</v>
      </c>
      <c r="Z27" s="122" t="s">
        <v>164</v>
      </c>
      <c r="AA27" s="122">
        <v>18.0</v>
      </c>
      <c r="AB27" s="122" t="s">
        <v>164</v>
      </c>
      <c r="AC27" s="122">
        <v>46.0</v>
      </c>
      <c r="AD27" s="122">
        <v>0.0</v>
      </c>
      <c r="AE27" s="122" t="s">
        <v>164</v>
      </c>
      <c r="AF27" s="122">
        <v>23.0</v>
      </c>
      <c r="AG27" s="122" t="s">
        <v>164</v>
      </c>
      <c r="AH27" s="122" t="s">
        <v>164</v>
      </c>
      <c r="AI27" s="122" t="s">
        <v>164</v>
      </c>
      <c r="AJ27" s="122">
        <v>11.0</v>
      </c>
      <c r="AK27" s="122">
        <v>0.0</v>
      </c>
      <c r="AL27" s="122">
        <v>28.0</v>
      </c>
      <c r="AM27" s="122">
        <v>22.0</v>
      </c>
      <c r="AN27" s="122">
        <v>17.0</v>
      </c>
      <c r="AO27" s="122">
        <v>25.0</v>
      </c>
    </row>
    <row r="28">
      <c r="A28" s="120" t="s">
        <v>124</v>
      </c>
      <c r="B28" s="122" t="s">
        <v>164</v>
      </c>
      <c r="C28" s="122">
        <v>31.0</v>
      </c>
      <c r="D28" s="122" t="s">
        <v>164</v>
      </c>
      <c r="E28" s="122">
        <v>77.0</v>
      </c>
      <c r="F28" s="122" t="s">
        <v>164</v>
      </c>
      <c r="G28" s="122">
        <v>26.0</v>
      </c>
      <c r="H28" s="122">
        <v>31.0</v>
      </c>
      <c r="I28" s="122" t="s">
        <v>164</v>
      </c>
      <c r="J28" s="122">
        <v>54.0</v>
      </c>
      <c r="K28" s="122">
        <v>15.0</v>
      </c>
      <c r="L28" s="122">
        <v>0.0</v>
      </c>
      <c r="M28" s="122">
        <v>0.0</v>
      </c>
      <c r="N28" s="122" t="s">
        <v>164</v>
      </c>
      <c r="O28" s="122" t="s">
        <v>164</v>
      </c>
      <c r="P28" s="122" t="s">
        <v>164</v>
      </c>
      <c r="Q28" s="122">
        <v>21.0</v>
      </c>
      <c r="R28" s="122">
        <v>28.0</v>
      </c>
      <c r="S28" s="122">
        <v>0.0</v>
      </c>
      <c r="T28" s="122">
        <v>50.0</v>
      </c>
      <c r="U28" s="122" t="s">
        <v>164</v>
      </c>
      <c r="V28" s="122" t="s">
        <v>164</v>
      </c>
      <c r="W28" s="122">
        <v>44.0</v>
      </c>
      <c r="X28" s="122">
        <v>0.0</v>
      </c>
      <c r="Y28" s="122">
        <v>49.0</v>
      </c>
      <c r="Z28" s="122">
        <v>40.0</v>
      </c>
      <c r="AA28" s="122">
        <v>39.0</v>
      </c>
      <c r="AB28" s="122" t="s">
        <v>164</v>
      </c>
      <c r="AC28" s="122">
        <v>57.0</v>
      </c>
      <c r="AD28" s="122">
        <v>0.0</v>
      </c>
      <c r="AE28" s="122" t="s">
        <v>164</v>
      </c>
      <c r="AF28" s="122">
        <v>23.0</v>
      </c>
      <c r="AG28" s="122" t="s">
        <v>164</v>
      </c>
      <c r="AH28" s="122" t="s">
        <v>164</v>
      </c>
      <c r="AI28" s="122" t="s">
        <v>164</v>
      </c>
      <c r="AJ28" s="122">
        <v>21.0</v>
      </c>
      <c r="AK28" s="122" t="s">
        <v>164</v>
      </c>
      <c r="AL28" s="122">
        <v>45.0</v>
      </c>
      <c r="AM28" s="122" t="s">
        <v>164</v>
      </c>
      <c r="AN28" s="122">
        <v>29.0</v>
      </c>
      <c r="AO28" s="122">
        <v>32.0</v>
      </c>
    </row>
    <row r="29">
      <c r="A29" s="120" t="s">
        <v>125</v>
      </c>
      <c r="B29" s="122" t="s">
        <v>164</v>
      </c>
      <c r="C29" s="122">
        <v>36.0</v>
      </c>
      <c r="D29" s="122" t="s">
        <v>164</v>
      </c>
      <c r="E29" s="122">
        <v>108.0</v>
      </c>
      <c r="F29" s="122" t="s">
        <v>164</v>
      </c>
      <c r="G29" s="122" t="s">
        <v>164</v>
      </c>
      <c r="H29" s="122">
        <v>41.0</v>
      </c>
      <c r="I29" s="122">
        <v>32.0</v>
      </c>
      <c r="J29" s="122" t="s">
        <v>164</v>
      </c>
      <c r="K29" s="122">
        <v>32.0</v>
      </c>
      <c r="L29" s="122">
        <v>0.0</v>
      </c>
      <c r="M29" s="122" t="s">
        <v>164</v>
      </c>
      <c r="N29" s="122">
        <v>0.0</v>
      </c>
      <c r="O29" s="122">
        <v>0.0</v>
      </c>
      <c r="P29" s="122">
        <v>0.0</v>
      </c>
      <c r="Q29" s="122">
        <v>38.0</v>
      </c>
      <c r="R29" s="122">
        <v>23.0</v>
      </c>
      <c r="S29" s="122" t="s">
        <v>164</v>
      </c>
      <c r="T29" s="122" t="s">
        <v>164</v>
      </c>
      <c r="U29" s="122" t="s">
        <v>164</v>
      </c>
      <c r="V29" s="122">
        <v>0.0</v>
      </c>
      <c r="W29" s="122" t="s">
        <v>164</v>
      </c>
      <c r="X29" s="122" t="s">
        <v>164</v>
      </c>
      <c r="Y29" s="122">
        <v>43.0</v>
      </c>
      <c r="Z29" s="122" t="s">
        <v>164</v>
      </c>
      <c r="AA29" s="122">
        <v>82.0</v>
      </c>
      <c r="AB29" s="122" t="s">
        <v>164</v>
      </c>
      <c r="AC29" s="122">
        <v>68.0</v>
      </c>
      <c r="AD29" s="122">
        <v>0.0</v>
      </c>
      <c r="AE29" s="122" t="s">
        <v>164</v>
      </c>
      <c r="AF29" s="122">
        <v>60.0</v>
      </c>
      <c r="AG29" s="122" t="s">
        <v>164</v>
      </c>
      <c r="AH29" s="122" t="s">
        <v>164</v>
      </c>
      <c r="AI29" s="122" t="s">
        <v>164</v>
      </c>
      <c r="AJ29" s="122">
        <v>25.0</v>
      </c>
      <c r="AK29" s="122">
        <v>0.0</v>
      </c>
      <c r="AL29" s="122">
        <v>31.0</v>
      </c>
      <c r="AM29" s="122" t="s">
        <v>164</v>
      </c>
      <c r="AN29" s="122">
        <v>39.0</v>
      </c>
      <c r="AO29" s="122">
        <v>39.0</v>
      </c>
    </row>
    <row r="30">
      <c r="A30" s="120" t="s">
        <v>126</v>
      </c>
      <c r="B30" s="122">
        <v>0.0</v>
      </c>
      <c r="C30" s="122">
        <v>36.0</v>
      </c>
      <c r="D30" s="122" t="s">
        <v>164</v>
      </c>
      <c r="E30" s="122">
        <v>175.0</v>
      </c>
      <c r="F30" s="122" t="s">
        <v>164</v>
      </c>
      <c r="G30" s="122">
        <v>32.0</v>
      </c>
      <c r="H30" s="122">
        <v>54.0</v>
      </c>
      <c r="I30" s="122">
        <v>29.0</v>
      </c>
      <c r="J30" s="122">
        <v>46.0</v>
      </c>
      <c r="K30" s="122">
        <v>42.0</v>
      </c>
      <c r="L30" s="122" t="s">
        <v>164</v>
      </c>
      <c r="M30" s="122">
        <v>0.0</v>
      </c>
      <c r="N30" s="122" t="s">
        <v>164</v>
      </c>
      <c r="O30" s="122" t="s">
        <v>164</v>
      </c>
      <c r="P30" s="122" t="s">
        <v>164</v>
      </c>
      <c r="Q30" s="122">
        <v>65.0</v>
      </c>
      <c r="R30" s="122" t="s">
        <v>164</v>
      </c>
      <c r="S30" s="122">
        <v>0.0</v>
      </c>
      <c r="T30" s="122" t="s">
        <v>164</v>
      </c>
      <c r="U30" s="122" t="s">
        <v>164</v>
      </c>
      <c r="V30" s="122" t="s">
        <v>164</v>
      </c>
      <c r="W30" s="122">
        <v>32.0</v>
      </c>
      <c r="X30" s="122">
        <v>19.0</v>
      </c>
      <c r="Y30" s="122">
        <v>102.0</v>
      </c>
      <c r="Z30" s="122">
        <v>57.0</v>
      </c>
      <c r="AA30" s="122">
        <v>130.0</v>
      </c>
      <c r="AB30" s="122" t="s">
        <v>164</v>
      </c>
      <c r="AC30" s="122">
        <v>94.0</v>
      </c>
      <c r="AD30" s="122">
        <v>0.0</v>
      </c>
      <c r="AE30" s="122" t="s">
        <v>164</v>
      </c>
      <c r="AF30" s="122">
        <v>42.0</v>
      </c>
      <c r="AG30" s="122" t="s">
        <v>164</v>
      </c>
      <c r="AH30" s="122" t="s">
        <v>164</v>
      </c>
      <c r="AI30" s="122">
        <v>86.0</v>
      </c>
      <c r="AJ30" s="122">
        <v>42.0</v>
      </c>
      <c r="AK30" s="122" t="s">
        <v>164</v>
      </c>
      <c r="AL30" s="122">
        <v>35.0</v>
      </c>
      <c r="AM30" s="122" t="s">
        <v>164</v>
      </c>
      <c r="AN30" s="122">
        <v>41.0</v>
      </c>
      <c r="AO30" s="122">
        <v>58.0</v>
      </c>
    </row>
    <row r="31">
      <c r="A31" s="120" t="s">
        <v>127</v>
      </c>
      <c r="B31" s="122" t="s">
        <v>164</v>
      </c>
      <c r="C31" s="122">
        <v>22.0</v>
      </c>
      <c r="D31" s="122">
        <v>43.0</v>
      </c>
      <c r="E31" s="122">
        <v>191.0</v>
      </c>
      <c r="F31" s="122" t="s">
        <v>164</v>
      </c>
      <c r="G31" s="122">
        <v>20.0</v>
      </c>
      <c r="H31" s="122">
        <v>94.0</v>
      </c>
      <c r="I31" s="122">
        <v>29.0</v>
      </c>
      <c r="J31" s="122">
        <v>54.0</v>
      </c>
      <c r="K31" s="122">
        <v>30.0</v>
      </c>
      <c r="L31" s="122" t="s">
        <v>164</v>
      </c>
      <c r="M31" s="122" t="s">
        <v>164</v>
      </c>
      <c r="N31" s="122" t="s">
        <v>164</v>
      </c>
      <c r="O31" s="122" t="s">
        <v>164</v>
      </c>
      <c r="P31" s="122" t="s">
        <v>164</v>
      </c>
      <c r="Q31" s="122">
        <v>41.0</v>
      </c>
      <c r="R31" s="122">
        <v>55.0</v>
      </c>
      <c r="S31" s="122">
        <v>0.0</v>
      </c>
      <c r="T31" s="122">
        <v>37.0</v>
      </c>
      <c r="U31" s="122">
        <v>0.0</v>
      </c>
      <c r="V31" s="122" t="s">
        <v>164</v>
      </c>
      <c r="W31" s="122">
        <v>28.0</v>
      </c>
      <c r="X31" s="122">
        <v>19.0</v>
      </c>
      <c r="Y31" s="122">
        <v>102.0</v>
      </c>
      <c r="Z31" s="122" t="s">
        <v>164</v>
      </c>
      <c r="AA31" s="122">
        <v>146.0</v>
      </c>
      <c r="AB31" s="122">
        <v>0.0</v>
      </c>
      <c r="AC31" s="122">
        <v>106.0</v>
      </c>
      <c r="AD31" s="122" t="s">
        <v>164</v>
      </c>
      <c r="AE31" s="122" t="s">
        <v>164</v>
      </c>
      <c r="AF31" s="122" t="s">
        <v>164</v>
      </c>
      <c r="AG31" s="122" t="s">
        <v>164</v>
      </c>
      <c r="AH31" s="122" t="s">
        <v>164</v>
      </c>
      <c r="AI31" s="122" t="s">
        <v>164</v>
      </c>
      <c r="AJ31" s="122">
        <v>44.0</v>
      </c>
      <c r="AK31" s="122" t="s">
        <v>164</v>
      </c>
      <c r="AL31" s="122">
        <v>73.0</v>
      </c>
      <c r="AM31" s="122" t="s">
        <v>164</v>
      </c>
      <c r="AN31" s="122">
        <v>51.0</v>
      </c>
      <c r="AO31" s="122">
        <v>63.0</v>
      </c>
    </row>
    <row r="32">
      <c r="A32" s="120" t="s">
        <v>128</v>
      </c>
      <c r="B32" s="122" t="s">
        <v>164</v>
      </c>
      <c r="C32" s="122">
        <v>22.0</v>
      </c>
      <c r="D32" s="122" t="s">
        <v>164</v>
      </c>
      <c r="E32" s="122">
        <v>196.0</v>
      </c>
      <c r="F32" s="122">
        <v>0.0</v>
      </c>
      <c r="G32" s="122">
        <v>23.0</v>
      </c>
      <c r="H32" s="122">
        <v>108.0</v>
      </c>
      <c r="I32" s="122">
        <v>32.0</v>
      </c>
      <c r="J32" s="122" t="s">
        <v>164</v>
      </c>
      <c r="K32" s="122">
        <v>40.0</v>
      </c>
      <c r="L32" s="122" t="s">
        <v>164</v>
      </c>
      <c r="M32" s="122" t="s">
        <v>164</v>
      </c>
      <c r="N32" s="122" t="s">
        <v>164</v>
      </c>
      <c r="O32" s="122" t="s">
        <v>164</v>
      </c>
      <c r="P32" s="122">
        <v>0.0</v>
      </c>
      <c r="Q32" s="122">
        <v>58.0</v>
      </c>
      <c r="R32" s="122">
        <v>65.0</v>
      </c>
      <c r="S32" s="122">
        <v>0.0</v>
      </c>
      <c r="T32" s="122" t="s">
        <v>164</v>
      </c>
      <c r="U32" s="122" t="s">
        <v>164</v>
      </c>
      <c r="V32" s="122" t="s">
        <v>164</v>
      </c>
      <c r="W32" s="122">
        <v>20.0</v>
      </c>
      <c r="X32" s="122">
        <v>23.0</v>
      </c>
      <c r="Y32" s="122">
        <v>83.0</v>
      </c>
      <c r="Z32" s="122" t="s">
        <v>164</v>
      </c>
      <c r="AA32" s="122">
        <v>116.0</v>
      </c>
      <c r="AB32" s="122" t="s">
        <v>164</v>
      </c>
      <c r="AC32" s="122">
        <v>124.0</v>
      </c>
      <c r="AD32" s="122" t="s">
        <v>164</v>
      </c>
      <c r="AE32" s="122">
        <v>47.0</v>
      </c>
      <c r="AF32" s="122">
        <v>32.0</v>
      </c>
      <c r="AG32" s="122" t="s">
        <v>164</v>
      </c>
      <c r="AH32" s="122">
        <v>0.0</v>
      </c>
      <c r="AI32" s="122">
        <v>0.0</v>
      </c>
      <c r="AJ32" s="122">
        <v>37.0</v>
      </c>
      <c r="AK32" s="122">
        <v>0.0</v>
      </c>
      <c r="AL32" s="122">
        <v>41.0</v>
      </c>
      <c r="AM32" s="122">
        <v>22.0</v>
      </c>
      <c r="AN32" s="122">
        <v>51.0</v>
      </c>
      <c r="AO32" s="122">
        <v>62.0</v>
      </c>
    </row>
    <row r="33">
      <c r="A33" s="120" t="s">
        <v>129</v>
      </c>
      <c r="B33" s="122" t="s">
        <v>164</v>
      </c>
      <c r="C33" s="122">
        <v>22.0</v>
      </c>
      <c r="D33" s="122" t="s">
        <v>164</v>
      </c>
      <c r="E33" s="122">
        <v>175.0</v>
      </c>
      <c r="F33" s="122" t="s">
        <v>164</v>
      </c>
      <c r="G33" s="122">
        <v>17.0</v>
      </c>
      <c r="H33" s="122">
        <v>42.0</v>
      </c>
      <c r="I33" s="122">
        <v>40.0</v>
      </c>
      <c r="J33" s="122">
        <v>38.0</v>
      </c>
      <c r="K33" s="122">
        <v>27.0</v>
      </c>
      <c r="L33" s="122" t="s">
        <v>164</v>
      </c>
      <c r="M33" s="122" t="s">
        <v>164</v>
      </c>
      <c r="N33" s="122" t="s">
        <v>164</v>
      </c>
      <c r="O33" s="122">
        <v>0.0</v>
      </c>
      <c r="P33" s="122" t="s">
        <v>164</v>
      </c>
      <c r="Q33" s="122">
        <v>38.0</v>
      </c>
      <c r="R33" s="122">
        <v>23.0</v>
      </c>
      <c r="S33" s="122">
        <v>0.0</v>
      </c>
      <c r="T33" s="122">
        <v>0.0</v>
      </c>
      <c r="U33" s="122">
        <v>109.0</v>
      </c>
      <c r="V33" s="122" t="s">
        <v>164</v>
      </c>
      <c r="W33" s="122">
        <v>20.0</v>
      </c>
      <c r="X33" s="122">
        <v>42.0</v>
      </c>
      <c r="Y33" s="122">
        <v>62.0</v>
      </c>
      <c r="Z33" s="122">
        <v>0.0</v>
      </c>
      <c r="AA33" s="122">
        <v>78.0</v>
      </c>
      <c r="AB33" s="122" t="s">
        <v>164</v>
      </c>
      <c r="AC33" s="122">
        <v>122.0</v>
      </c>
      <c r="AD33" s="122" t="s">
        <v>164</v>
      </c>
      <c r="AE33" s="122" t="s">
        <v>164</v>
      </c>
      <c r="AF33" s="122">
        <v>51.0</v>
      </c>
      <c r="AG33" s="122">
        <v>55.0</v>
      </c>
      <c r="AH33" s="122" t="s">
        <v>164</v>
      </c>
      <c r="AI33" s="122">
        <v>0.0</v>
      </c>
      <c r="AJ33" s="122">
        <v>25.0</v>
      </c>
      <c r="AK33" s="122" t="s">
        <v>164</v>
      </c>
      <c r="AL33" s="122">
        <v>52.0</v>
      </c>
      <c r="AM33" s="122">
        <v>0.0</v>
      </c>
      <c r="AN33" s="122">
        <v>51.0</v>
      </c>
      <c r="AO33" s="122">
        <v>54.0</v>
      </c>
    </row>
    <row r="34">
      <c r="A34" s="120" t="s">
        <v>130</v>
      </c>
      <c r="B34" s="122">
        <v>0.0</v>
      </c>
      <c r="C34" s="122">
        <v>67.0</v>
      </c>
      <c r="D34" s="122" t="s">
        <v>164</v>
      </c>
      <c r="E34" s="122">
        <v>181.0</v>
      </c>
      <c r="F34" s="122">
        <v>0.0</v>
      </c>
      <c r="G34" s="122">
        <v>26.0</v>
      </c>
      <c r="H34" s="122">
        <v>59.0</v>
      </c>
      <c r="I34" s="122">
        <v>61.0</v>
      </c>
      <c r="J34" s="122">
        <v>69.0</v>
      </c>
      <c r="K34" s="122">
        <v>27.0</v>
      </c>
      <c r="L34" s="122" t="s">
        <v>164</v>
      </c>
      <c r="M34" s="122" t="s">
        <v>164</v>
      </c>
      <c r="N34" s="122" t="s">
        <v>164</v>
      </c>
      <c r="O34" s="122" t="s">
        <v>164</v>
      </c>
      <c r="P34" s="122" t="s">
        <v>164</v>
      </c>
      <c r="Q34" s="122">
        <v>75.0</v>
      </c>
      <c r="R34" s="122">
        <v>42.0</v>
      </c>
      <c r="S34" s="122">
        <v>0.0</v>
      </c>
      <c r="T34" s="122">
        <v>44.0</v>
      </c>
      <c r="U34" s="122">
        <v>58.0</v>
      </c>
      <c r="V34" s="122">
        <v>0.0</v>
      </c>
      <c r="W34" s="122" t="s">
        <v>164</v>
      </c>
      <c r="X34" s="122">
        <v>84.0</v>
      </c>
      <c r="Y34" s="122">
        <v>62.0</v>
      </c>
      <c r="Z34" s="122" t="s">
        <v>164</v>
      </c>
      <c r="AA34" s="122">
        <v>77.0</v>
      </c>
      <c r="AB34" s="122" t="s">
        <v>164</v>
      </c>
      <c r="AC34" s="122">
        <v>121.0</v>
      </c>
      <c r="AD34" s="122">
        <v>0.0</v>
      </c>
      <c r="AE34" s="122" t="s">
        <v>164</v>
      </c>
      <c r="AF34" s="122">
        <v>42.0</v>
      </c>
      <c r="AG34" s="122">
        <v>23.0</v>
      </c>
      <c r="AH34" s="122">
        <v>44.0</v>
      </c>
      <c r="AI34" s="122" t="s">
        <v>164</v>
      </c>
      <c r="AJ34" s="122">
        <v>43.0</v>
      </c>
      <c r="AK34" s="122" t="s">
        <v>164</v>
      </c>
      <c r="AL34" s="122" t="s">
        <v>164</v>
      </c>
      <c r="AM34" s="122" t="s">
        <v>164</v>
      </c>
      <c r="AN34" s="122">
        <v>39.0</v>
      </c>
      <c r="AO34" s="122">
        <v>59.0</v>
      </c>
    </row>
    <row r="35">
      <c r="A35" s="120" t="s">
        <v>131</v>
      </c>
      <c r="B35" s="122" t="s">
        <v>164</v>
      </c>
      <c r="C35" s="122">
        <v>31.0</v>
      </c>
      <c r="D35" s="122" t="s">
        <v>164</v>
      </c>
      <c r="E35" s="122">
        <v>114.0</v>
      </c>
      <c r="F35" s="122" t="s">
        <v>164</v>
      </c>
      <c r="G35" s="122">
        <v>26.0</v>
      </c>
      <c r="H35" s="122">
        <v>50.0</v>
      </c>
      <c r="I35" s="122">
        <v>32.0</v>
      </c>
      <c r="J35" s="122">
        <v>61.0</v>
      </c>
      <c r="K35" s="122">
        <v>11.0</v>
      </c>
      <c r="L35" s="122">
        <v>0.0</v>
      </c>
      <c r="M35" s="122" t="s">
        <v>164</v>
      </c>
      <c r="N35" s="122" t="s">
        <v>164</v>
      </c>
      <c r="O35" s="122" t="s">
        <v>164</v>
      </c>
      <c r="P35" s="122">
        <v>0.0</v>
      </c>
      <c r="Q35" s="122">
        <v>48.0</v>
      </c>
      <c r="R35" s="122">
        <v>37.0</v>
      </c>
      <c r="S35" s="122">
        <v>0.0</v>
      </c>
      <c r="T35" s="122" t="s">
        <v>164</v>
      </c>
      <c r="U35" s="122">
        <v>39.0</v>
      </c>
      <c r="V35" s="122">
        <v>0.0</v>
      </c>
      <c r="W35" s="122">
        <v>20.0</v>
      </c>
      <c r="X35" s="122">
        <v>27.0</v>
      </c>
      <c r="Y35" s="122">
        <v>49.0</v>
      </c>
      <c r="Z35" s="122" t="s">
        <v>164</v>
      </c>
      <c r="AA35" s="122">
        <v>53.0</v>
      </c>
      <c r="AB35" s="122">
        <v>29.0</v>
      </c>
      <c r="AC35" s="122">
        <v>106.0</v>
      </c>
      <c r="AD35" s="122" t="s">
        <v>164</v>
      </c>
      <c r="AE35" s="122" t="s">
        <v>164</v>
      </c>
      <c r="AF35" s="122">
        <v>37.0</v>
      </c>
      <c r="AG35" s="122" t="s">
        <v>164</v>
      </c>
      <c r="AH35" s="122">
        <v>32.0</v>
      </c>
      <c r="AI35" s="122" t="s">
        <v>164</v>
      </c>
      <c r="AJ35" s="122">
        <v>19.0</v>
      </c>
      <c r="AK35" s="122" t="s">
        <v>164</v>
      </c>
      <c r="AL35" s="122">
        <v>21.0</v>
      </c>
      <c r="AM35" s="122" t="s">
        <v>164</v>
      </c>
      <c r="AN35" s="122">
        <v>43.0</v>
      </c>
      <c r="AO35" s="122">
        <v>46.0</v>
      </c>
    </row>
    <row r="36">
      <c r="A36" s="120" t="s">
        <v>132</v>
      </c>
      <c r="B36" s="122" t="s">
        <v>164</v>
      </c>
      <c r="C36" s="122" t="s">
        <v>164</v>
      </c>
      <c r="D36" s="122" t="s">
        <v>164</v>
      </c>
      <c r="E36" s="122" t="s">
        <v>164</v>
      </c>
      <c r="F36" s="122">
        <v>0.0</v>
      </c>
      <c r="G36" s="122" t="s">
        <v>164</v>
      </c>
      <c r="H36" s="122">
        <v>48.0</v>
      </c>
      <c r="I36" s="122">
        <v>43.0</v>
      </c>
      <c r="J36" s="122" t="s">
        <v>164</v>
      </c>
      <c r="K36" s="122">
        <v>21.0</v>
      </c>
      <c r="L36" s="122">
        <v>0.0</v>
      </c>
      <c r="M36" s="122" t="s">
        <v>164</v>
      </c>
      <c r="N36" s="122" t="s">
        <v>164</v>
      </c>
      <c r="O36" s="122">
        <v>0.0</v>
      </c>
      <c r="P36" s="122" t="s">
        <v>164</v>
      </c>
      <c r="Q36" s="122">
        <v>51.0</v>
      </c>
      <c r="R36" s="122">
        <v>28.0</v>
      </c>
      <c r="S36" s="122">
        <v>0.0</v>
      </c>
      <c r="T36" s="122" t="s">
        <v>164</v>
      </c>
      <c r="U36" s="122" t="s">
        <v>164</v>
      </c>
      <c r="V36" s="122">
        <v>0.0</v>
      </c>
      <c r="W36" s="122">
        <v>24.0</v>
      </c>
      <c r="X36" s="122">
        <v>23.0</v>
      </c>
      <c r="Y36" s="122">
        <v>89.0</v>
      </c>
      <c r="Z36" s="122" t="s">
        <v>164</v>
      </c>
      <c r="AA36" s="122">
        <v>50.0</v>
      </c>
      <c r="AB36" s="122" t="s">
        <v>164</v>
      </c>
      <c r="AC36" s="122">
        <v>99.0</v>
      </c>
      <c r="AD36" s="122">
        <v>0.0</v>
      </c>
      <c r="AE36" s="122" t="s">
        <v>164</v>
      </c>
      <c r="AF36" s="122">
        <v>28.0</v>
      </c>
      <c r="AG36" s="122">
        <v>0.0</v>
      </c>
      <c r="AH36" s="122">
        <v>38.0</v>
      </c>
      <c r="AI36" s="122" t="s">
        <v>164</v>
      </c>
      <c r="AJ36" s="122">
        <v>33.0</v>
      </c>
      <c r="AK36" s="122">
        <v>0.0</v>
      </c>
      <c r="AL36" s="122" t="s">
        <v>164</v>
      </c>
      <c r="AM36" s="122" t="s">
        <v>164</v>
      </c>
      <c r="AN36" s="122">
        <v>29.0</v>
      </c>
      <c r="AO36" s="122">
        <v>43.0</v>
      </c>
    </row>
    <row r="37">
      <c r="A37" s="120" t="s">
        <v>133</v>
      </c>
      <c r="B37" s="122">
        <v>31.0</v>
      </c>
      <c r="C37" s="122">
        <v>45.0</v>
      </c>
      <c r="D37" s="122">
        <v>43.0</v>
      </c>
      <c r="E37" s="122">
        <v>88.0</v>
      </c>
      <c r="F37" s="122" t="s">
        <v>164</v>
      </c>
      <c r="G37" s="122" t="s">
        <v>164</v>
      </c>
      <c r="H37" s="122">
        <v>38.0</v>
      </c>
      <c r="I37" s="122">
        <v>84.0</v>
      </c>
      <c r="J37" s="122" t="s">
        <v>164</v>
      </c>
      <c r="K37" s="122">
        <v>34.0</v>
      </c>
      <c r="L37" s="122">
        <v>0.0</v>
      </c>
      <c r="M37" s="122" t="s">
        <v>164</v>
      </c>
      <c r="N37" s="122">
        <v>0.0</v>
      </c>
      <c r="O37" s="122">
        <v>0.0</v>
      </c>
      <c r="P37" s="122">
        <v>0.0</v>
      </c>
      <c r="Q37" s="122">
        <v>31.0</v>
      </c>
      <c r="R37" s="122" t="s">
        <v>164</v>
      </c>
      <c r="S37" s="122">
        <v>0.0</v>
      </c>
      <c r="T37" s="122" t="s">
        <v>164</v>
      </c>
      <c r="U37" s="122">
        <v>32.0</v>
      </c>
      <c r="V37" s="122">
        <v>0.0</v>
      </c>
      <c r="W37" s="122">
        <v>52.0</v>
      </c>
      <c r="X37" s="122">
        <v>23.0</v>
      </c>
      <c r="Y37" s="122">
        <v>34.0</v>
      </c>
      <c r="Z37" s="122" t="s">
        <v>164</v>
      </c>
      <c r="AA37" s="122">
        <v>77.0</v>
      </c>
      <c r="AB37" s="122" t="s">
        <v>164</v>
      </c>
      <c r="AC37" s="122">
        <v>80.0</v>
      </c>
      <c r="AD37" s="122">
        <v>0.0</v>
      </c>
      <c r="AE37" s="122" t="s">
        <v>164</v>
      </c>
      <c r="AF37" s="122">
        <v>28.0</v>
      </c>
      <c r="AG37" s="122" t="s">
        <v>164</v>
      </c>
      <c r="AH37" s="122" t="s">
        <v>164</v>
      </c>
      <c r="AI37" s="122">
        <v>0.0</v>
      </c>
      <c r="AJ37" s="122">
        <v>27.0</v>
      </c>
      <c r="AK37" s="122" t="s">
        <v>164</v>
      </c>
      <c r="AL37" s="122">
        <v>38.0</v>
      </c>
      <c r="AM37" s="122">
        <v>27.0</v>
      </c>
      <c r="AN37" s="122">
        <v>39.0</v>
      </c>
      <c r="AO37" s="122">
        <v>43.0</v>
      </c>
    </row>
    <row r="38">
      <c r="A38" s="120" t="s">
        <v>134</v>
      </c>
      <c r="B38" s="122">
        <v>31.0</v>
      </c>
      <c r="C38" s="122">
        <v>36.0</v>
      </c>
      <c r="D38" s="122">
        <v>61.0</v>
      </c>
      <c r="E38" s="122">
        <v>108.0</v>
      </c>
      <c r="F38" s="122" t="s">
        <v>164</v>
      </c>
      <c r="G38" s="122">
        <v>61.0</v>
      </c>
      <c r="H38" s="122">
        <v>47.0</v>
      </c>
      <c r="I38" s="122">
        <v>43.0</v>
      </c>
      <c r="J38" s="122" t="s">
        <v>164</v>
      </c>
      <c r="K38" s="122">
        <v>19.0</v>
      </c>
      <c r="L38" s="122" t="s">
        <v>164</v>
      </c>
      <c r="M38" s="122">
        <v>0.0</v>
      </c>
      <c r="N38" s="122">
        <v>0.0</v>
      </c>
      <c r="O38" s="122" t="s">
        <v>164</v>
      </c>
      <c r="P38" s="122" t="s">
        <v>164</v>
      </c>
      <c r="Q38" s="122">
        <v>72.0</v>
      </c>
      <c r="R38" s="122" t="s">
        <v>164</v>
      </c>
      <c r="S38" s="122">
        <v>0.0</v>
      </c>
      <c r="T38" s="122">
        <v>0.0</v>
      </c>
      <c r="U38" s="122">
        <v>212.0</v>
      </c>
      <c r="V38" s="122">
        <v>0.0</v>
      </c>
      <c r="W38" s="122">
        <v>36.0</v>
      </c>
      <c r="X38" s="122">
        <v>19.0</v>
      </c>
      <c r="Y38" s="122">
        <v>65.0</v>
      </c>
      <c r="Z38" s="122">
        <v>49.0</v>
      </c>
      <c r="AA38" s="122">
        <v>56.0</v>
      </c>
      <c r="AB38" s="122" t="s">
        <v>164</v>
      </c>
      <c r="AC38" s="122">
        <v>154.0</v>
      </c>
      <c r="AD38" s="122" t="s">
        <v>164</v>
      </c>
      <c r="AE38" s="122" t="s">
        <v>164</v>
      </c>
      <c r="AF38" s="122">
        <v>51.0</v>
      </c>
      <c r="AG38" s="122">
        <v>29.0</v>
      </c>
      <c r="AH38" s="122">
        <v>32.0</v>
      </c>
      <c r="AI38" s="122" t="s">
        <v>164</v>
      </c>
      <c r="AJ38" s="122">
        <v>39.0</v>
      </c>
      <c r="AK38" s="122" t="s">
        <v>164</v>
      </c>
      <c r="AL38" s="122">
        <v>35.0</v>
      </c>
      <c r="AM38" s="122">
        <v>40.0</v>
      </c>
      <c r="AN38" s="122">
        <v>36.0</v>
      </c>
      <c r="AO38" s="122">
        <v>63.0</v>
      </c>
    </row>
    <row r="39">
      <c r="A39" s="120" t="s">
        <v>135</v>
      </c>
      <c r="B39" s="122" t="s">
        <v>164</v>
      </c>
      <c r="C39" s="122" t="s">
        <v>164</v>
      </c>
      <c r="D39" s="122">
        <v>43.0</v>
      </c>
      <c r="E39" s="122">
        <v>175.0</v>
      </c>
      <c r="F39" s="122" t="s">
        <v>164</v>
      </c>
      <c r="G39" s="122">
        <v>17.0</v>
      </c>
      <c r="H39" s="122">
        <v>49.0</v>
      </c>
      <c r="I39" s="122">
        <v>40.0</v>
      </c>
      <c r="J39" s="122" t="s">
        <v>164</v>
      </c>
      <c r="K39" s="122">
        <v>17.0</v>
      </c>
      <c r="L39" s="122" t="s">
        <v>164</v>
      </c>
      <c r="M39" s="122">
        <v>0.0</v>
      </c>
      <c r="N39" s="122" t="s">
        <v>164</v>
      </c>
      <c r="O39" s="122" t="s">
        <v>164</v>
      </c>
      <c r="P39" s="122" t="s">
        <v>164</v>
      </c>
      <c r="Q39" s="122">
        <v>92.0</v>
      </c>
      <c r="R39" s="122">
        <v>65.0</v>
      </c>
      <c r="S39" s="122">
        <v>0.0</v>
      </c>
      <c r="T39" s="122" t="s">
        <v>164</v>
      </c>
      <c r="U39" s="122">
        <v>199.0</v>
      </c>
      <c r="V39" s="122">
        <v>0.0</v>
      </c>
      <c r="W39" s="122" t="s">
        <v>164</v>
      </c>
      <c r="X39" s="122">
        <v>19.0</v>
      </c>
      <c r="Y39" s="122">
        <v>62.0</v>
      </c>
      <c r="Z39" s="122">
        <v>73.0</v>
      </c>
      <c r="AA39" s="122">
        <v>107.0</v>
      </c>
      <c r="AB39" s="122">
        <v>0.0</v>
      </c>
      <c r="AC39" s="122">
        <v>138.0</v>
      </c>
      <c r="AD39" s="122" t="s">
        <v>164</v>
      </c>
      <c r="AE39" s="122" t="s">
        <v>164</v>
      </c>
      <c r="AF39" s="122">
        <v>51.0</v>
      </c>
      <c r="AG39" s="122" t="s">
        <v>164</v>
      </c>
      <c r="AH39" s="122" t="s">
        <v>164</v>
      </c>
      <c r="AI39" s="122">
        <v>67.0</v>
      </c>
      <c r="AJ39" s="122">
        <v>28.0</v>
      </c>
      <c r="AK39" s="122" t="s">
        <v>164</v>
      </c>
      <c r="AL39" s="122">
        <v>31.0</v>
      </c>
      <c r="AM39" s="122">
        <v>40.0</v>
      </c>
      <c r="AN39" s="122">
        <v>26.0</v>
      </c>
      <c r="AO39" s="122">
        <v>62.0</v>
      </c>
    </row>
    <row r="40">
      <c r="A40" s="120" t="s">
        <v>136</v>
      </c>
      <c r="B40" s="122" t="s">
        <v>164</v>
      </c>
      <c r="C40" s="122">
        <v>40.0</v>
      </c>
      <c r="D40" s="122">
        <v>30.0</v>
      </c>
      <c r="E40" s="122">
        <v>160.0</v>
      </c>
      <c r="F40" s="122" t="s">
        <v>164</v>
      </c>
      <c r="G40" s="122">
        <v>40.0</v>
      </c>
      <c r="H40" s="122">
        <v>78.0</v>
      </c>
      <c r="I40" s="122">
        <v>63.0</v>
      </c>
      <c r="J40" s="122">
        <v>84.0</v>
      </c>
      <c r="K40" s="122">
        <v>67.0</v>
      </c>
      <c r="L40" s="122" t="s">
        <v>164</v>
      </c>
      <c r="M40" s="122" t="s">
        <v>164</v>
      </c>
      <c r="N40" s="122" t="s">
        <v>164</v>
      </c>
      <c r="O40" s="122" t="s">
        <v>164</v>
      </c>
      <c r="P40" s="122" t="s">
        <v>164</v>
      </c>
      <c r="Q40" s="122">
        <v>92.0</v>
      </c>
      <c r="R40" s="122">
        <v>74.0</v>
      </c>
      <c r="S40" s="122" t="s">
        <v>164</v>
      </c>
      <c r="T40" s="122" t="s">
        <v>164</v>
      </c>
      <c r="U40" s="122">
        <v>270.0</v>
      </c>
      <c r="V40" s="122">
        <v>0.0</v>
      </c>
      <c r="W40" s="122" t="s">
        <v>164</v>
      </c>
      <c r="X40" s="122">
        <v>57.0</v>
      </c>
      <c r="Y40" s="122">
        <v>108.0</v>
      </c>
      <c r="Z40" s="122">
        <v>49.0</v>
      </c>
      <c r="AA40" s="122">
        <v>159.0</v>
      </c>
      <c r="AB40" s="122">
        <v>29.0</v>
      </c>
      <c r="AC40" s="122">
        <v>159.0</v>
      </c>
      <c r="AD40" s="122" t="s">
        <v>164</v>
      </c>
      <c r="AE40" s="122" t="s">
        <v>164</v>
      </c>
      <c r="AF40" s="122">
        <v>65.0</v>
      </c>
      <c r="AG40" s="122">
        <v>59.0</v>
      </c>
      <c r="AH40" s="122" t="s">
        <v>164</v>
      </c>
      <c r="AI40" s="122">
        <v>0.0</v>
      </c>
      <c r="AJ40" s="122">
        <v>48.0</v>
      </c>
      <c r="AK40" s="122" t="s">
        <v>164</v>
      </c>
      <c r="AL40" s="122">
        <v>45.0</v>
      </c>
      <c r="AM40" s="122">
        <v>62.0</v>
      </c>
      <c r="AN40" s="122">
        <v>65.0</v>
      </c>
      <c r="AO40" s="122">
        <v>85.0</v>
      </c>
    </row>
    <row r="41">
      <c r="A41" s="120" t="s">
        <v>137</v>
      </c>
      <c r="B41" s="122">
        <v>43.0</v>
      </c>
      <c r="C41" s="122">
        <v>54.0</v>
      </c>
      <c r="D41" s="122">
        <v>49.0</v>
      </c>
      <c r="E41" s="122">
        <v>237.0</v>
      </c>
      <c r="F41" s="122" t="s">
        <v>164</v>
      </c>
      <c r="G41" s="122">
        <v>58.0</v>
      </c>
      <c r="H41" s="122">
        <v>119.0</v>
      </c>
      <c r="I41" s="122">
        <v>89.0</v>
      </c>
      <c r="J41" s="122">
        <v>61.0</v>
      </c>
      <c r="K41" s="122">
        <v>70.0</v>
      </c>
      <c r="L41" s="122">
        <v>74.0</v>
      </c>
      <c r="M41" s="122">
        <v>149.0</v>
      </c>
      <c r="N41" s="122" t="s">
        <v>164</v>
      </c>
      <c r="O41" s="122" t="s">
        <v>164</v>
      </c>
      <c r="P41" s="122">
        <v>109.0</v>
      </c>
      <c r="Q41" s="122">
        <v>75.0</v>
      </c>
      <c r="R41" s="122">
        <v>97.0</v>
      </c>
      <c r="S41" s="122" t="s">
        <v>164</v>
      </c>
      <c r="T41" s="122" t="s">
        <v>164</v>
      </c>
      <c r="U41" s="122">
        <v>617.0</v>
      </c>
      <c r="V41" s="122">
        <v>0.0</v>
      </c>
      <c r="W41" s="122">
        <v>32.0</v>
      </c>
      <c r="X41" s="122">
        <v>103.0</v>
      </c>
      <c r="Y41" s="122">
        <v>139.0</v>
      </c>
      <c r="Z41" s="122">
        <v>73.0</v>
      </c>
      <c r="AA41" s="122">
        <v>170.0</v>
      </c>
      <c r="AB41" s="122">
        <v>29.0</v>
      </c>
      <c r="AC41" s="122">
        <v>159.0</v>
      </c>
      <c r="AD41" s="122" t="s">
        <v>164</v>
      </c>
      <c r="AE41" s="122" t="s">
        <v>164</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164</v>
      </c>
      <c r="G42" s="122">
        <v>90.0</v>
      </c>
      <c r="H42" s="122">
        <v>165.0</v>
      </c>
      <c r="I42" s="122">
        <v>124.0</v>
      </c>
      <c r="J42" s="122">
        <v>92.0</v>
      </c>
      <c r="K42" s="122">
        <v>101.0</v>
      </c>
      <c r="L42" s="122" t="s">
        <v>164</v>
      </c>
      <c r="M42" s="122" t="s">
        <v>164</v>
      </c>
      <c r="N42" s="122" t="s">
        <v>164</v>
      </c>
      <c r="O42" s="122">
        <v>0.0</v>
      </c>
      <c r="P42" s="122" t="s">
        <v>164</v>
      </c>
      <c r="Q42" s="122">
        <v>168.0</v>
      </c>
      <c r="R42" s="122">
        <v>102.0</v>
      </c>
      <c r="S42" s="122" t="s">
        <v>164</v>
      </c>
      <c r="T42" s="122" t="s">
        <v>164</v>
      </c>
      <c r="U42" s="122">
        <v>244.0</v>
      </c>
      <c r="V42" s="122" t="s">
        <v>164</v>
      </c>
      <c r="W42" s="122">
        <v>52.0</v>
      </c>
      <c r="X42" s="122">
        <v>65.0</v>
      </c>
      <c r="Y42" s="122">
        <v>182.0</v>
      </c>
      <c r="Z42" s="122">
        <v>154.0</v>
      </c>
      <c r="AA42" s="122">
        <v>230.0</v>
      </c>
      <c r="AB42" s="122">
        <v>69.0</v>
      </c>
      <c r="AC42" s="122">
        <v>206.0</v>
      </c>
      <c r="AD42" s="122" t="s">
        <v>164</v>
      </c>
      <c r="AE42" s="122" t="s">
        <v>164</v>
      </c>
      <c r="AF42" s="122">
        <v>125.0</v>
      </c>
      <c r="AG42" s="122">
        <v>114.0</v>
      </c>
      <c r="AH42" s="122">
        <v>95.0</v>
      </c>
      <c r="AI42" s="122">
        <v>48.0</v>
      </c>
      <c r="AJ42" s="122">
        <v>68.0</v>
      </c>
      <c r="AK42" s="122">
        <v>194.0</v>
      </c>
      <c r="AL42" s="122">
        <v>90.0</v>
      </c>
      <c r="AM42" s="122">
        <v>62.0</v>
      </c>
      <c r="AN42" s="122">
        <v>118.0</v>
      </c>
      <c r="AO42" s="122">
        <v>137.0</v>
      </c>
    </row>
    <row r="43">
      <c r="A43" s="120" t="s">
        <v>139</v>
      </c>
      <c r="B43" s="122">
        <v>130.0</v>
      </c>
      <c r="C43" s="122">
        <v>103.0</v>
      </c>
      <c r="D43" s="122">
        <v>115.0</v>
      </c>
      <c r="E43" s="122">
        <v>490.0</v>
      </c>
      <c r="F43" s="122">
        <v>90.0</v>
      </c>
      <c r="G43" s="122">
        <v>153.0</v>
      </c>
      <c r="H43" s="122">
        <v>278.0</v>
      </c>
      <c r="I43" s="122">
        <v>153.0</v>
      </c>
      <c r="J43" s="122">
        <v>283.0</v>
      </c>
      <c r="K43" s="122">
        <v>156.0</v>
      </c>
      <c r="L43" s="122" t="s">
        <v>164</v>
      </c>
      <c r="M43" s="122" t="s">
        <v>164</v>
      </c>
      <c r="N43" s="122">
        <v>189.0</v>
      </c>
      <c r="O43" s="122" t="s">
        <v>164</v>
      </c>
      <c r="P43" s="122">
        <v>0.0</v>
      </c>
      <c r="Q43" s="122">
        <v>277.0</v>
      </c>
      <c r="R43" s="122">
        <v>194.0</v>
      </c>
      <c r="S43" s="122" t="s">
        <v>164</v>
      </c>
      <c r="T43" s="122">
        <v>62.0</v>
      </c>
      <c r="U43" s="122">
        <v>244.0</v>
      </c>
      <c r="V43" s="122">
        <v>0.0</v>
      </c>
      <c r="W43" s="122">
        <v>81.0</v>
      </c>
      <c r="X43" s="122">
        <v>111.0</v>
      </c>
      <c r="Y43" s="122">
        <v>268.0</v>
      </c>
      <c r="Z43" s="122">
        <v>178.0</v>
      </c>
      <c r="AA43" s="122">
        <v>360.0</v>
      </c>
      <c r="AB43" s="122">
        <v>57.0</v>
      </c>
      <c r="AC43" s="122">
        <v>362.0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326.0</v>
      </c>
      <c r="I44" s="122">
        <v>240.0</v>
      </c>
      <c r="J44" s="122">
        <v>245.0</v>
      </c>
      <c r="K44" s="122">
        <v>202.0</v>
      </c>
      <c r="L44" s="122" t="s">
        <v>164</v>
      </c>
      <c r="M44" s="122">
        <v>277.0</v>
      </c>
      <c r="N44" s="122">
        <v>189.0</v>
      </c>
      <c r="O44" s="122">
        <v>99.0</v>
      </c>
      <c r="P44" s="122">
        <v>109.0</v>
      </c>
      <c r="Q44" s="122">
        <v>359.0</v>
      </c>
      <c r="R44" s="122">
        <v>231.0</v>
      </c>
      <c r="S44" s="122">
        <v>143.0</v>
      </c>
      <c r="T44" s="122">
        <v>155.0</v>
      </c>
      <c r="U44" s="122">
        <v>109.0</v>
      </c>
      <c r="V44" s="122" t="s">
        <v>164</v>
      </c>
      <c r="W44" s="122">
        <v>85.0</v>
      </c>
      <c r="X44" s="122">
        <v>134.0</v>
      </c>
      <c r="Y44" s="122">
        <v>385.0</v>
      </c>
      <c r="Z44" s="122">
        <v>105.0</v>
      </c>
      <c r="AA44" s="122">
        <v>369.0</v>
      </c>
      <c r="AB44" s="122">
        <v>155.0</v>
      </c>
      <c r="AC44" s="122">
        <v>359.0</v>
      </c>
      <c r="AD44" s="122" t="s">
        <v>164</v>
      </c>
      <c r="AE44" s="122">
        <v>170.0</v>
      </c>
      <c r="AF44" s="122">
        <v>166.0</v>
      </c>
      <c r="AG44" s="122">
        <v>65.0</v>
      </c>
      <c r="AH44" s="122">
        <v>190.0</v>
      </c>
      <c r="AI44" s="122">
        <v>315.0</v>
      </c>
      <c r="AJ44" s="122">
        <v>236.0</v>
      </c>
      <c r="AK44" s="122">
        <v>113.0</v>
      </c>
      <c r="AL44" s="122">
        <v>262.0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523.0</v>
      </c>
      <c r="R45" s="122">
        <v>240.0</v>
      </c>
      <c r="S45" s="122" t="s">
        <v>164</v>
      </c>
      <c r="T45" s="122">
        <v>137.0</v>
      </c>
      <c r="U45" s="122">
        <v>193.0</v>
      </c>
      <c r="V45" s="122" t="s">
        <v>164</v>
      </c>
      <c r="W45" s="122">
        <v>141.0</v>
      </c>
      <c r="X45" s="122">
        <v>195.0</v>
      </c>
      <c r="Y45" s="122">
        <v>360.0</v>
      </c>
      <c r="Z45" s="122">
        <v>194.0</v>
      </c>
      <c r="AA45" s="122">
        <v>450.0</v>
      </c>
      <c r="AB45" s="122">
        <v>98.0</v>
      </c>
      <c r="AC45" s="122">
        <v>483.0</v>
      </c>
      <c r="AD45" s="122">
        <v>118.0</v>
      </c>
      <c r="AE45" s="122">
        <v>245.0</v>
      </c>
      <c r="AF45" s="122">
        <v>259.0</v>
      </c>
      <c r="AG45" s="122">
        <v>104.0</v>
      </c>
      <c r="AH45" s="122">
        <v>158.0</v>
      </c>
      <c r="AI45" s="122">
        <v>362.0</v>
      </c>
      <c r="AJ45" s="122">
        <v>280.0</v>
      </c>
      <c r="AK45" s="122">
        <v>129.0</v>
      </c>
      <c r="AL45" s="122">
        <v>304.0</v>
      </c>
      <c r="AM45" s="122">
        <v>119.0</v>
      </c>
      <c r="AN45" s="122">
        <v>267.0</v>
      </c>
      <c r="AO45" s="122">
        <v>329.0</v>
      </c>
    </row>
    <row r="46">
      <c r="A46" s="120" t="s">
        <v>142</v>
      </c>
      <c r="B46" s="122">
        <v>284.0</v>
      </c>
      <c r="C46" s="122">
        <v>436.0</v>
      </c>
      <c r="D46" s="122">
        <v>225.0</v>
      </c>
      <c r="E46" s="122">
        <v>1140.0</v>
      </c>
      <c r="F46" s="122">
        <v>167.0</v>
      </c>
      <c r="G46" s="122">
        <v>431.0</v>
      </c>
      <c r="H46" s="122">
        <v>693.0</v>
      </c>
      <c r="I46" s="122">
        <v>375.0</v>
      </c>
      <c r="J46" s="122">
        <v>528.0</v>
      </c>
      <c r="K46" s="122">
        <v>426.0</v>
      </c>
      <c r="L46" s="122">
        <v>236.0</v>
      </c>
      <c r="M46" s="122">
        <v>448.0</v>
      </c>
      <c r="N46" s="122">
        <v>308.0</v>
      </c>
      <c r="O46" s="122">
        <v>222.0</v>
      </c>
      <c r="P46" s="122">
        <v>200.0</v>
      </c>
      <c r="Q46" s="122">
        <v>619.0</v>
      </c>
      <c r="R46" s="122">
        <v>481.0</v>
      </c>
      <c r="S46" s="122" t="s">
        <v>164</v>
      </c>
      <c r="T46" s="122">
        <v>143.0</v>
      </c>
      <c r="U46" s="122">
        <v>283.0</v>
      </c>
      <c r="V46" s="122" t="s">
        <v>164</v>
      </c>
      <c r="W46" s="122">
        <v>153.0</v>
      </c>
      <c r="X46" s="122">
        <v>439.0</v>
      </c>
      <c r="Y46" s="122">
        <v>610.0</v>
      </c>
      <c r="Z46" s="122">
        <v>194.0</v>
      </c>
      <c r="AA46" s="122">
        <v>655.0</v>
      </c>
      <c r="AB46" s="122">
        <v>184.0</v>
      </c>
      <c r="AC46" s="122">
        <v>699.0</v>
      </c>
      <c r="AD46" s="122">
        <v>328.0</v>
      </c>
      <c r="AE46" s="122">
        <v>236.0</v>
      </c>
      <c r="AF46" s="122">
        <v>541.0</v>
      </c>
      <c r="AG46" s="122">
        <v>215.0</v>
      </c>
      <c r="AH46" s="122">
        <v>202.0</v>
      </c>
      <c r="AI46" s="122">
        <v>372.0</v>
      </c>
      <c r="AJ46" s="122">
        <v>476.0</v>
      </c>
      <c r="AK46" s="122">
        <v>291.0</v>
      </c>
      <c r="AL46" s="122">
        <v>580.0</v>
      </c>
      <c r="AM46" s="122">
        <v>248.0</v>
      </c>
      <c r="AN46" s="122">
        <v>267.0</v>
      </c>
      <c r="AO46" s="122">
        <v>494.0</v>
      </c>
    </row>
    <row r="47">
      <c r="A47" s="120" t="s">
        <v>143</v>
      </c>
      <c r="B47" s="122">
        <v>309.0</v>
      </c>
      <c r="C47" s="122">
        <v>468.0</v>
      </c>
      <c r="D47" s="122">
        <v>346.0</v>
      </c>
      <c r="E47" s="122">
        <v>1001.0</v>
      </c>
      <c r="F47" s="122">
        <v>283.0</v>
      </c>
      <c r="G47" s="122">
        <v>590.0</v>
      </c>
      <c r="H47" s="122">
        <v>807.0</v>
      </c>
      <c r="I47" s="122">
        <v>416.0</v>
      </c>
      <c r="J47" s="122">
        <v>612.0</v>
      </c>
      <c r="K47" s="122">
        <v>497.0</v>
      </c>
      <c r="L47" s="122">
        <v>354.0</v>
      </c>
      <c r="M47" s="122">
        <v>384.0</v>
      </c>
      <c r="N47" s="122">
        <v>348.0</v>
      </c>
      <c r="O47" s="122">
        <v>370.0</v>
      </c>
      <c r="P47" s="122">
        <v>182.0</v>
      </c>
      <c r="Q47" s="122">
        <v>783.0</v>
      </c>
      <c r="R47" s="122">
        <v>490.0</v>
      </c>
      <c r="S47" s="122" t="s">
        <v>164</v>
      </c>
      <c r="T47" s="122">
        <v>155.0</v>
      </c>
      <c r="U47" s="122">
        <v>328.0</v>
      </c>
      <c r="V47" s="122" t="s">
        <v>164</v>
      </c>
      <c r="W47" s="122">
        <v>246.0</v>
      </c>
      <c r="X47" s="122">
        <v>450.0</v>
      </c>
      <c r="Y47" s="122">
        <v>693.0</v>
      </c>
      <c r="Z47" s="122">
        <v>300.0</v>
      </c>
      <c r="AA47" s="122">
        <v>701.0</v>
      </c>
      <c r="AB47" s="122">
        <v>155.0</v>
      </c>
      <c r="AC47" s="122">
        <v>801.0</v>
      </c>
      <c r="AD47" s="122">
        <v>157.0</v>
      </c>
      <c r="AE47" s="122">
        <v>396.0</v>
      </c>
      <c r="AF47" s="122">
        <v>620.0</v>
      </c>
      <c r="AG47" s="122">
        <v>172.0</v>
      </c>
      <c r="AH47" s="122">
        <v>234.0</v>
      </c>
      <c r="AI47" s="122">
        <v>324.0</v>
      </c>
      <c r="AJ47" s="122">
        <v>593.0</v>
      </c>
      <c r="AK47" s="122">
        <v>324.0</v>
      </c>
      <c r="AL47" s="122">
        <v>684.0</v>
      </c>
      <c r="AM47" s="122">
        <v>265.0</v>
      </c>
      <c r="AN47" s="122">
        <v>315.0</v>
      </c>
      <c r="AO47" s="122">
        <v>574.0</v>
      </c>
    </row>
    <row r="48">
      <c r="A48" s="120" t="s">
        <v>144</v>
      </c>
      <c r="B48" s="122">
        <v>291.0</v>
      </c>
      <c r="C48" s="122">
        <v>234.0</v>
      </c>
      <c r="D48" s="122">
        <v>529.0</v>
      </c>
      <c r="E48" s="122">
        <v>882.0</v>
      </c>
      <c r="F48" s="122">
        <v>347.0</v>
      </c>
      <c r="G48" s="122">
        <v>581.0</v>
      </c>
      <c r="H48" s="122">
        <v>632.0</v>
      </c>
      <c r="I48" s="122">
        <v>413.0</v>
      </c>
      <c r="J48" s="122">
        <v>513.0</v>
      </c>
      <c r="K48" s="122">
        <v>386.0</v>
      </c>
      <c r="L48" s="122">
        <v>369.0</v>
      </c>
      <c r="M48" s="122">
        <v>448.0</v>
      </c>
      <c r="N48" s="122">
        <v>288.0</v>
      </c>
      <c r="O48" s="122">
        <v>333.0</v>
      </c>
      <c r="P48" s="122">
        <v>200.0</v>
      </c>
      <c r="Q48" s="122">
        <v>650.0</v>
      </c>
      <c r="R48" s="122">
        <v>610.0</v>
      </c>
      <c r="S48" s="122">
        <v>143.0</v>
      </c>
      <c r="T48" s="122">
        <v>149.0</v>
      </c>
      <c r="U48" s="122">
        <v>232.0</v>
      </c>
      <c r="V48" s="122" t="s">
        <v>164</v>
      </c>
      <c r="W48" s="122">
        <v>194.0</v>
      </c>
      <c r="X48" s="122">
        <v>416.0</v>
      </c>
      <c r="Y48" s="122">
        <v>539.0</v>
      </c>
      <c r="Z48" s="122">
        <v>421.0</v>
      </c>
      <c r="AA48" s="122">
        <v>619.0</v>
      </c>
      <c r="AB48" s="122">
        <v>195.0</v>
      </c>
      <c r="AC48" s="122">
        <v>658.0</v>
      </c>
      <c r="AD48" s="122">
        <v>184.0</v>
      </c>
      <c r="AE48" s="122">
        <v>434.0</v>
      </c>
      <c r="AF48" s="122">
        <v>430.0</v>
      </c>
      <c r="AG48" s="122">
        <v>101.0</v>
      </c>
      <c r="AH48" s="122">
        <v>253.0</v>
      </c>
      <c r="AI48" s="122">
        <v>181.0</v>
      </c>
      <c r="AJ48" s="122">
        <v>535.0</v>
      </c>
      <c r="AK48" s="122">
        <v>518.0</v>
      </c>
      <c r="AL48" s="122">
        <v>497.0</v>
      </c>
      <c r="AM48" s="122">
        <v>239.0</v>
      </c>
      <c r="AN48" s="122">
        <v>395.0</v>
      </c>
      <c r="AO48" s="122">
        <v>500.0</v>
      </c>
    </row>
    <row r="49">
      <c r="A49" s="120" t="s">
        <v>145</v>
      </c>
      <c r="B49" s="122">
        <v>525.0</v>
      </c>
      <c r="C49" s="122">
        <v>400.0</v>
      </c>
      <c r="D49" s="122">
        <v>1033.0</v>
      </c>
      <c r="E49" s="122">
        <v>1114.0</v>
      </c>
      <c r="F49" s="122">
        <v>463.0</v>
      </c>
      <c r="G49" s="122">
        <v>821.0</v>
      </c>
      <c r="H49" s="122">
        <v>926.0</v>
      </c>
      <c r="I49" s="122">
        <v>756.0</v>
      </c>
      <c r="J49" s="122">
        <v>711.0</v>
      </c>
      <c r="K49" s="122">
        <v>744.0</v>
      </c>
      <c r="L49" s="122">
        <v>605.0</v>
      </c>
      <c r="M49" s="122">
        <v>661.0</v>
      </c>
      <c r="N49" s="122">
        <v>537.0</v>
      </c>
      <c r="O49" s="122">
        <v>629.0</v>
      </c>
      <c r="P49" s="122">
        <v>364.0</v>
      </c>
      <c r="Q49" s="122">
        <v>1269.0</v>
      </c>
      <c r="R49" s="122">
        <v>795.0</v>
      </c>
      <c r="S49" s="122" t="s">
        <v>164</v>
      </c>
      <c r="T49" s="122">
        <v>348.0</v>
      </c>
      <c r="U49" s="122">
        <v>354.0</v>
      </c>
      <c r="V49" s="122" t="s">
        <v>164</v>
      </c>
      <c r="W49" s="122">
        <v>307.0</v>
      </c>
      <c r="X49" s="122">
        <v>473.0</v>
      </c>
      <c r="Y49" s="122">
        <v>887.0</v>
      </c>
      <c r="Z49" s="122">
        <v>737.0</v>
      </c>
      <c r="AA49" s="122">
        <v>932.0</v>
      </c>
      <c r="AB49" s="122">
        <v>218.0</v>
      </c>
      <c r="AC49" s="122">
        <v>962.0</v>
      </c>
      <c r="AD49" s="122">
        <v>328.0</v>
      </c>
      <c r="AE49" s="122">
        <v>736.0</v>
      </c>
      <c r="AF49" s="122">
        <v>800.0</v>
      </c>
      <c r="AG49" s="122">
        <v>218.0</v>
      </c>
      <c r="AH49" s="122">
        <v>430.0</v>
      </c>
      <c r="AI49" s="122">
        <v>439.0</v>
      </c>
      <c r="AJ49" s="122">
        <v>693.0</v>
      </c>
      <c r="AK49" s="122">
        <v>518.0</v>
      </c>
      <c r="AL49" s="122">
        <v>753.0</v>
      </c>
      <c r="AM49" s="122">
        <v>354.0</v>
      </c>
      <c r="AN49" s="122">
        <v>652.0</v>
      </c>
      <c r="AO49" s="122">
        <v>774.0</v>
      </c>
    </row>
    <row r="50">
      <c r="A50" s="120" t="s">
        <v>146</v>
      </c>
      <c r="B50" s="122">
        <v>494.0</v>
      </c>
      <c r="C50" s="122">
        <v>387.0</v>
      </c>
      <c r="D50" s="122">
        <v>699.0</v>
      </c>
      <c r="E50" s="122">
        <v>758.0</v>
      </c>
      <c r="F50" s="122">
        <v>463.0</v>
      </c>
      <c r="G50" s="122">
        <v>642.0</v>
      </c>
      <c r="H50" s="122">
        <v>850.0</v>
      </c>
      <c r="I50" s="122">
        <v>814.0</v>
      </c>
      <c r="J50" s="122">
        <v>734.0</v>
      </c>
      <c r="K50" s="122">
        <v>830.0</v>
      </c>
      <c r="L50" s="122">
        <v>560.0</v>
      </c>
      <c r="M50" s="122">
        <v>597.0</v>
      </c>
      <c r="N50" s="122">
        <v>765.0</v>
      </c>
      <c r="O50" s="122">
        <v>518.0</v>
      </c>
      <c r="P50" s="122">
        <v>491.0</v>
      </c>
      <c r="Q50" s="122">
        <v>951.0</v>
      </c>
      <c r="R50" s="122">
        <v>693.0</v>
      </c>
      <c r="S50" s="122">
        <v>257.0</v>
      </c>
      <c r="T50" s="122">
        <v>348.0</v>
      </c>
      <c r="U50" s="122">
        <v>469.0</v>
      </c>
      <c r="V50" s="122">
        <v>1330.0</v>
      </c>
      <c r="W50" s="122">
        <v>408.0</v>
      </c>
      <c r="X50" s="122">
        <v>488.0</v>
      </c>
      <c r="Y50" s="122">
        <v>856.0</v>
      </c>
      <c r="Z50" s="122">
        <v>632.0</v>
      </c>
      <c r="AA50" s="122">
        <v>867.0</v>
      </c>
      <c r="AB50" s="122">
        <v>316.0</v>
      </c>
      <c r="AC50" s="122">
        <v>889.0</v>
      </c>
      <c r="AD50" s="122">
        <v>184.0</v>
      </c>
      <c r="AE50" s="122">
        <v>726.0</v>
      </c>
      <c r="AF50" s="122">
        <v>689.0</v>
      </c>
      <c r="AG50" s="122">
        <v>198.0</v>
      </c>
      <c r="AH50" s="122">
        <v>392.0</v>
      </c>
      <c r="AI50" s="122">
        <v>543.0</v>
      </c>
      <c r="AJ50" s="122">
        <v>615.0</v>
      </c>
      <c r="AK50" s="122">
        <v>469.0</v>
      </c>
      <c r="AL50" s="122">
        <v>639.0</v>
      </c>
      <c r="AM50" s="122">
        <v>442.0</v>
      </c>
      <c r="AN50" s="122">
        <v>676.0</v>
      </c>
      <c r="AO50" s="122">
        <v>724.0</v>
      </c>
    </row>
    <row r="51">
      <c r="A51" s="120" t="s">
        <v>147</v>
      </c>
      <c r="B51" s="122">
        <v>278.0</v>
      </c>
      <c r="C51" s="122">
        <v>409.0</v>
      </c>
      <c r="D51" s="122">
        <v>693.0</v>
      </c>
      <c r="E51" s="122">
        <v>578.0</v>
      </c>
      <c r="F51" s="122">
        <v>437.0</v>
      </c>
      <c r="G51" s="122">
        <v>625.0</v>
      </c>
      <c r="H51" s="122">
        <v>591.0</v>
      </c>
      <c r="I51" s="122">
        <v>560.0</v>
      </c>
      <c r="J51" s="122">
        <v>574.0</v>
      </c>
      <c r="K51" s="122">
        <v>554.0</v>
      </c>
      <c r="L51" s="122">
        <v>354.0</v>
      </c>
      <c r="M51" s="122">
        <v>299.0</v>
      </c>
      <c r="N51" s="122">
        <v>437.0</v>
      </c>
      <c r="O51" s="122">
        <v>419.0</v>
      </c>
      <c r="P51" s="122">
        <v>182.0</v>
      </c>
      <c r="Q51" s="122">
        <v>660.0</v>
      </c>
      <c r="R51" s="122">
        <v>550.0</v>
      </c>
      <c r="S51" s="122">
        <v>342.0</v>
      </c>
      <c r="T51" s="122">
        <v>429.0</v>
      </c>
      <c r="U51" s="122">
        <v>360.0</v>
      </c>
      <c r="V51" s="122" t="s">
        <v>164</v>
      </c>
      <c r="W51" s="122">
        <v>307.0</v>
      </c>
      <c r="X51" s="122">
        <v>309.0</v>
      </c>
      <c r="Y51" s="122">
        <v>465.0</v>
      </c>
      <c r="Z51" s="122">
        <v>567.0</v>
      </c>
      <c r="AA51" s="122">
        <v>577.0</v>
      </c>
      <c r="AB51" s="122">
        <v>431.0</v>
      </c>
      <c r="AC51" s="122">
        <v>582.0</v>
      </c>
      <c r="AD51" s="122">
        <v>118.0</v>
      </c>
      <c r="AE51" s="122">
        <v>406.0</v>
      </c>
      <c r="AF51" s="122">
        <v>509.0</v>
      </c>
      <c r="AG51" s="122">
        <v>137.0</v>
      </c>
      <c r="AH51" s="122">
        <v>411.0</v>
      </c>
      <c r="AI51" s="122">
        <v>734.0</v>
      </c>
      <c r="AJ51" s="122">
        <v>448.0</v>
      </c>
      <c r="AK51" s="122">
        <v>388.0</v>
      </c>
      <c r="AL51" s="122">
        <v>404.0</v>
      </c>
      <c r="AM51" s="122">
        <v>513.0</v>
      </c>
      <c r="AN51" s="122">
        <v>686.0</v>
      </c>
      <c r="AO51" s="122">
        <v>527.0</v>
      </c>
    </row>
    <row r="52">
      <c r="A52" s="120" t="s">
        <v>148</v>
      </c>
      <c r="B52" s="122">
        <v>544.0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444.0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127.0</v>
      </c>
      <c r="AH52" s="122">
        <v>462.0</v>
      </c>
      <c r="AI52" s="122">
        <v>601.0</v>
      </c>
      <c r="AJ52" s="122">
        <v>319.0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164</v>
      </c>
      <c r="W53" s="122">
        <v>582.0</v>
      </c>
      <c r="X53" s="122">
        <v>431.0</v>
      </c>
      <c r="Y53" s="122">
        <v>465.0</v>
      </c>
      <c r="Z53" s="122">
        <v>615.0</v>
      </c>
      <c r="AA53" s="122">
        <v>595.0</v>
      </c>
      <c r="AB53" s="122">
        <v>637.0</v>
      </c>
      <c r="AC53" s="122">
        <v>566.0</v>
      </c>
      <c r="AD53" s="122">
        <v>315.0</v>
      </c>
      <c r="AE53" s="122">
        <v>443.0</v>
      </c>
      <c r="AF53" s="122">
        <v>661.0</v>
      </c>
      <c r="AG53" s="122">
        <v>267.0</v>
      </c>
      <c r="AH53" s="122">
        <v>575.0</v>
      </c>
      <c r="AI53" s="122">
        <v>1116.0</v>
      </c>
      <c r="AJ53" s="122">
        <v>502.0</v>
      </c>
      <c r="AK53" s="122">
        <v>502.0</v>
      </c>
      <c r="AL53" s="122">
        <v>563.0</v>
      </c>
      <c r="AM53" s="122">
        <v>376.0</v>
      </c>
      <c r="AN53" s="122">
        <v>624.0</v>
      </c>
      <c r="AO53" s="122">
        <v>606.0</v>
      </c>
    </row>
    <row r="54">
      <c r="A54" s="120" t="s">
        <v>150</v>
      </c>
      <c r="B54" s="122">
        <v>569.0</v>
      </c>
      <c r="C54" s="122">
        <v>850.0</v>
      </c>
      <c r="D54" s="122">
        <v>614.0</v>
      </c>
      <c r="E54" s="122">
        <v>712.0</v>
      </c>
      <c r="F54" s="122">
        <v>373.0</v>
      </c>
      <c r="G54" s="122">
        <v>593.0</v>
      </c>
      <c r="H54" s="122">
        <v>691.0</v>
      </c>
      <c r="I54" s="122">
        <v>652.0</v>
      </c>
      <c r="J54" s="122">
        <v>903.0</v>
      </c>
      <c r="K54" s="122">
        <v>662.0</v>
      </c>
      <c r="L54" s="122">
        <v>457.0</v>
      </c>
      <c r="M54" s="122">
        <v>917.0</v>
      </c>
      <c r="N54" s="122">
        <v>487.0</v>
      </c>
      <c r="O54" s="122">
        <v>296.0</v>
      </c>
      <c r="P54" s="122">
        <v>600.0</v>
      </c>
      <c r="Q54" s="122">
        <v>903.0</v>
      </c>
      <c r="R54" s="122">
        <v>758.0</v>
      </c>
      <c r="S54" s="122">
        <v>542.0</v>
      </c>
      <c r="T54" s="122">
        <v>491.0</v>
      </c>
      <c r="U54" s="122">
        <v>617.0</v>
      </c>
      <c r="V54" s="122" t="s">
        <v>164</v>
      </c>
      <c r="W54" s="122">
        <v>582.0</v>
      </c>
      <c r="X54" s="122">
        <v>496.0</v>
      </c>
      <c r="Y54" s="122">
        <v>733.0</v>
      </c>
      <c r="Z54" s="122">
        <v>599.0</v>
      </c>
      <c r="AA54" s="122">
        <v>754.0</v>
      </c>
      <c r="AB54" s="122">
        <v>810.0</v>
      </c>
      <c r="AC54" s="122">
        <v>753.0</v>
      </c>
      <c r="AD54" s="122">
        <v>354.0</v>
      </c>
      <c r="AE54" s="122">
        <v>453.0</v>
      </c>
      <c r="AF54" s="122">
        <v>620.0</v>
      </c>
      <c r="AG54" s="122">
        <v>208.0</v>
      </c>
      <c r="AH54" s="122">
        <v>544.0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569.0</v>
      </c>
      <c r="AD55" s="122">
        <v>197.0</v>
      </c>
      <c r="AE55" s="122">
        <v>481.0</v>
      </c>
      <c r="AF55" s="122">
        <v>546.0</v>
      </c>
      <c r="AG55" s="122">
        <v>94.0</v>
      </c>
      <c r="AH55" s="122">
        <v>493.0</v>
      </c>
      <c r="AI55" s="122">
        <v>467.0</v>
      </c>
      <c r="AJ55" s="122">
        <v>451.0</v>
      </c>
      <c r="AK55" s="122">
        <v>599.0</v>
      </c>
      <c r="AL55" s="122">
        <v>504.0</v>
      </c>
      <c r="AM55" s="122">
        <v>464.0</v>
      </c>
      <c r="AN55" s="122">
        <v>701.0</v>
      </c>
      <c r="AO55" s="122">
        <v>523.0</v>
      </c>
    </row>
    <row r="56">
      <c r="A56" s="120" t="s">
        <v>152</v>
      </c>
      <c r="B56" s="122">
        <v>383.0</v>
      </c>
      <c r="C56" s="122">
        <v>468.0</v>
      </c>
      <c r="D56" s="122">
        <v>577.0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164</v>
      </c>
      <c r="T56" s="122">
        <v>460.0</v>
      </c>
      <c r="U56" s="122">
        <v>238.0</v>
      </c>
      <c r="V56" s="122" t="s">
        <v>164</v>
      </c>
      <c r="W56" s="122">
        <v>384.0</v>
      </c>
      <c r="X56" s="122">
        <v>328.0</v>
      </c>
      <c r="Y56" s="122">
        <v>447.0</v>
      </c>
      <c r="Z56" s="122">
        <v>607.0</v>
      </c>
      <c r="AA56" s="122">
        <v>478.0</v>
      </c>
      <c r="AB56" s="122">
        <v>333.0</v>
      </c>
      <c r="AC56" s="122">
        <v>437.0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338.0</v>
      </c>
      <c r="O57" s="122">
        <v>284.0</v>
      </c>
      <c r="P57" s="122">
        <v>146.0</v>
      </c>
      <c r="Q57" s="122">
        <v>328.0</v>
      </c>
      <c r="R57" s="122">
        <v>370.0</v>
      </c>
      <c r="S57" s="122">
        <v>143.0</v>
      </c>
      <c r="T57" s="122">
        <v>330.0</v>
      </c>
      <c r="U57" s="122">
        <v>277.0</v>
      </c>
      <c r="V57" s="122">
        <v>0.0</v>
      </c>
      <c r="W57" s="122">
        <v>456.0</v>
      </c>
      <c r="X57" s="122">
        <v>301.0</v>
      </c>
      <c r="Y57" s="122">
        <v>287.0</v>
      </c>
      <c r="Z57" s="122">
        <v>462.0</v>
      </c>
      <c r="AA57" s="122">
        <v>369.0</v>
      </c>
      <c r="AB57" s="122">
        <v>189.0</v>
      </c>
      <c r="AC57" s="122">
        <v>344.0</v>
      </c>
      <c r="AD57" s="122">
        <v>170.0</v>
      </c>
      <c r="AE57" s="122">
        <v>245.0</v>
      </c>
      <c r="AF57" s="122">
        <v>453.0</v>
      </c>
      <c r="AG57" s="122">
        <v>221.0</v>
      </c>
      <c r="AH57" s="122">
        <v>291.0</v>
      </c>
      <c r="AI57" s="122">
        <v>296.0</v>
      </c>
      <c r="AJ57" s="122">
        <v>311.0</v>
      </c>
      <c r="AK57" s="122">
        <v>372.0</v>
      </c>
      <c r="AL57" s="122">
        <v>311.0</v>
      </c>
      <c r="AM57" s="122">
        <v>318.0</v>
      </c>
      <c r="AN57" s="122">
        <v>431.0</v>
      </c>
      <c r="AO57" s="122">
        <v>356.0</v>
      </c>
    </row>
    <row r="58">
      <c r="A58" s="120" t="s">
        <v>154</v>
      </c>
      <c r="B58" s="122">
        <v>142.0</v>
      </c>
      <c r="C58" s="122">
        <v>333.0</v>
      </c>
      <c r="D58" s="122">
        <v>383.0</v>
      </c>
      <c r="E58" s="122">
        <v>222.0</v>
      </c>
      <c r="F58" s="122">
        <v>231.0</v>
      </c>
      <c r="G58" s="122">
        <v>255.0</v>
      </c>
      <c r="H58" s="122">
        <v>282.0</v>
      </c>
      <c r="I58" s="122">
        <v>274.0</v>
      </c>
      <c r="J58" s="122">
        <v>283.0</v>
      </c>
      <c r="K58" s="122">
        <v>251.0</v>
      </c>
      <c r="L58" s="122">
        <v>192.0</v>
      </c>
      <c r="M58" s="122">
        <v>469.0</v>
      </c>
      <c r="N58" s="122">
        <v>278.0</v>
      </c>
      <c r="O58" s="122">
        <v>234.0</v>
      </c>
      <c r="P58" s="122">
        <v>109.0</v>
      </c>
      <c r="Q58" s="122">
        <v>383.0</v>
      </c>
      <c r="R58" s="122">
        <v>305.0</v>
      </c>
      <c r="S58" s="122" t="s">
        <v>164</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166.0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164</v>
      </c>
      <c r="T59" s="122">
        <v>174.0</v>
      </c>
      <c r="U59" s="122">
        <v>514.0</v>
      </c>
      <c r="V59" s="122">
        <v>0.0</v>
      </c>
      <c r="W59" s="122">
        <v>218.0</v>
      </c>
      <c r="X59" s="122">
        <v>122.0</v>
      </c>
      <c r="Y59" s="122">
        <v>280.0</v>
      </c>
      <c r="Z59" s="122">
        <v>227.0</v>
      </c>
      <c r="AA59" s="122">
        <v>248.0</v>
      </c>
      <c r="AB59" s="122">
        <v>115.0</v>
      </c>
      <c r="AC59" s="122">
        <v>274.0</v>
      </c>
      <c r="AD59" s="122">
        <v>79.0</v>
      </c>
      <c r="AE59" s="122">
        <v>189.0</v>
      </c>
      <c r="AF59" s="122">
        <v>227.0</v>
      </c>
      <c r="AG59" s="122">
        <v>163.0</v>
      </c>
      <c r="AH59" s="122">
        <v>190.0</v>
      </c>
      <c r="AI59" s="122">
        <v>143.0</v>
      </c>
      <c r="AJ59" s="122">
        <v>174.0</v>
      </c>
      <c r="AK59" s="122">
        <v>129.0</v>
      </c>
      <c r="AL59" s="122">
        <v>190.0</v>
      </c>
      <c r="AM59" s="122">
        <v>230.0</v>
      </c>
      <c r="AN59" s="122">
        <v>217.0</v>
      </c>
      <c r="AO59" s="122">
        <v>226.0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164</v>
      </c>
      <c r="N60" s="122">
        <v>149.0</v>
      </c>
      <c r="O60" s="122">
        <v>160.0</v>
      </c>
      <c r="P60" s="122" t="s">
        <v>164</v>
      </c>
      <c r="Q60" s="122">
        <v>239.0</v>
      </c>
      <c r="R60" s="122">
        <v>157.0</v>
      </c>
      <c r="S60" s="122">
        <v>171.0</v>
      </c>
      <c r="T60" s="122">
        <v>68.0</v>
      </c>
      <c r="U60" s="122">
        <v>322.0</v>
      </c>
      <c r="V60" s="122" t="s">
        <v>164</v>
      </c>
      <c r="W60" s="122">
        <v>166.0</v>
      </c>
      <c r="X60" s="122">
        <v>145.0</v>
      </c>
      <c r="Y60" s="122">
        <v>243.0</v>
      </c>
      <c r="Z60" s="122">
        <v>154.0</v>
      </c>
      <c r="AA60" s="122">
        <v>213.0</v>
      </c>
      <c r="AB60" s="122">
        <v>52.0</v>
      </c>
      <c r="AC60" s="122">
        <v>240.0</v>
      </c>
      <c r="AD60" s="122">
        <v>131.0</v>
      </c>
      <c r="AE60" s="122">
        <v>57.0</v>
      </c>
      <c r="AF60" s="122">
        <v>453.0</v>
      </c>
      <c r="AG60" s="122">
        <v>215.0</v>
      </c>
      <c r="AH60" s="122">
        <v>240.0</v>
      </c>
      <c r="AI60" s="122">
        <v>191.0</v>
      </c>
      <c r="AJ60" s="122">
        <v>143.0</v>
      </c>
      <c r="AK60" s="122">
        <v>129.0</v>
      </c>
      <c r="AL60" s="122">
        <v>190.0</v>
      </c>
      <c r="AM60" s="122">
        <v>199.0</v>
      </c>
      <c r="AN60" s="122">
        <v>154.0</v>
      </c>
      <c r="AO60" s="122">
        <v>199.0</v>
      </c>
    </row>
    <row r="61">
      <c r="A61" s="120" t="s">
        <v>157</v>
      </c>
      <c r="B61" s="122">
        <v>167.0</v>
      </c>
      <c r="C61" s="122">
        <v>139.0</v>
      </c>
      <c r="D61" s="122">
        <v>219.0</v>
      </c>
      <c r="E61" s="122">
        <v>212.0</v>
      </c>
      <c r="F61" s="122">
        <v>193.0</v>
      </c>
      <c r="G61" s="122">
        <v>139.0</v>
      </c>
      <c r="H61" s="122">
        <v>196.0</v>
      </c>
      <c r="I61" s="122">
        <v>214.0</v>
      </c>
      <c r="J61" s="122">
        <v>298.0</v>
      </c>
      <c r="K61" s="122">
        <v>173.0</v>
      </c>
      <c r="L61" s="122">
        <v>162.0</v>
      </c>
      <c r="M61" s="122">
        <v>149.0</v>
      </c>
      <c r="N61" s="122" t="s">
        <v>164</v>
      </c>
      <c r="O61" s="122">
        <v>173.0</v>
      </c>
      <c r="P61" s="122" t="s">
        <v>164</v>
      </c>
      <c r="Q61" s="122">
        <v>222.0</v>
      </c>
      <c r="R61" s="122">
        <v>134.0</v>
      </c>
      <c r="S61" s="122" t="s">
        <v>164</v>
      </c>
      <c r="T61" s="122">
        <v>106.0</v>
      </c>
      <c r="U61" s="122">
        <v>405.0</v>
      </c>
      <c r="V61" s="122">
        <v>0.0</v>
      </c>
      <c r="W61" s="122">
        <v>137.0</v>
      </c>
      <c r="X61" s="122">
        <v>160.0</v>
      </c>
      <c r="Y61" s="122">
        <v>348.0</v>
      </c>
      <c r="Z61" s="122">
        <v>194.0</v>
      </c>
      <c r="AA61" s="122">
        <v>213.0</v>
      </c>
      <c r="AB61" s="122">
        <v>138.0</v>
      </c>
      <c r="AC61" s="122">
        <v>254.0</v>
      </c>
      <c r="AD61" s="122">
        <v>66.0</v>
      </c>
      <c r="AE61" s="122">
        <v>94.0</v>
      </c>
      <c r="AF61" s="122">
        <v>818.0</v>
      </c>
      <c r="AG61" s="122">
        <v>338.0</v>
      </c>
      <c r="AH61" s="122">
        <v>120.0</v>
      </c>
      <c r="AI61" s="122">
        <v>95.0</v>
      </c>
      <c r="AJ61" s="122">
        <v>187.0</v>
      </c>
      <c r="AK61" s="122">
        <v>162.0</v>
      </c>
      <c r="AL61" s="122">
        <v>155.0</v>
      </c>
      <c r="AM61" s="122">
        <v>168.0</v>
      </c>
      <c r="AN61" s="122">
        <v>152.0</v>
      </c>
      <c r="AO61" s="122">
        <v>225.0</v>
      </c>
    </row>
    <row r="62">
      <c r="A62" s="120" t="s">
        <v>158</v>
      </c>
      <c r="B62" s="122">
        <v>148.0</v>
      </c>
      <c r="C62" s="122">
        <v>189.0</v>
      </c>
      <c r="D62" s="122">
        <v>170.0</v>
      </c>
      <c r="E62" s="122">
        <v>108.0</v>
      </c>
      <c r="F62" s="122">
        <v>180.0</v>
      </c>
      <c r="G62" s="122">
        <v>162.0</v>
      </c>
      <c r="H62" s="122">
        <v>234.0</v>
      </c>
      <c r="I62" s="122">
        <v>164.0</v>
      </c>
      <c r="J62" s="122">
        <v>161.0</v>
      </c>
      <c r="K62" s="122">
        <v>150.0</v>
      </c>
      <c r="L62" s="122">
        <v>103.0</v>
      </c>
      <c r="M62" s="122">
        <v>277.0</v>
      </c>
      <c r="N62" s="122">
        <v>139.0</v>
      </c>
      <c r="O62" s="122">
        <v>197.0</v>
      </c>
      <c r="P62" s="122">
        <v>91.0</v>
      </c>
      <c r="Q62" s="122">
        <v>226.0</v>
      </c>
      <c r="R62" s="122">
        <v>139.0</v>
      </c>
      <c r="S62" s="122">
        <v>143.0</v>
      </c>
      <c r="T62" s="122">
        <v>81.0</v>
      </c>
      <c r="U62" s="122">
        <v>495.0</v>
      </c>
      <c r="V62" s="122" t="s">
        <v>164</v>
      </c>
      <c r="W62" s="122">
        <v>218.0</v>
      </c>
      <c r="X62" s="122">
        <v>168.0</v>
      </c>
      <c r="Y62" s="122">
        <v>203.0</v>
      </c>
      <c r="Z62" s="122">
        <v>105.0</v>
      </c>
      <c r="AA62" s="122">
        <v>201.0</v>
      </c>
      <c r="AB62" s="122">
        <v>184.0</v>
      </c>
      <c r="AC62" s="122">
        <v>223.0</v>
      </c>
      <c r="AD62" s="122" t="s">
        <v>164</v>
      </c>
      <c r="AE62" s="122">
        <v>104.0</v>
      </c>
      <c r="AF62" s="122">
        <v>481.0</v>
      </c>
      <c r="AG62" s="122">
        <v>325.0</v>
      </c>
      <c r="AH62" s="122">
        <v>120.0</v>
      </c>
      <c r="AI62" s="122">
        <v>67.0</v>
      </c>
      <c r="AJ62" s="122">
        <v>138.0</v>
      </c>
      <c r="AK62" s="122">
        <v>210.0</v>
      </c>
      <c r="AL62" s="122">
        <v>124.0</v>
      </c>
      <c r="AM62" s="122">
        <v>172.0</v>
      </c>
      <c r="AN62" s="122">
        <v>270.0</v>
      </c>
      <c r="AO62" s="122">
        <v>207.0</v>
      </c>
    </row>
    <row r="63">
      <c r="A63" s="120" t="s">
        <v>159</v>
      </c>
      <c r="B63" s="122">
        <v>210.0</v>
      </c>
      <c r="C63" s="122">
        <v>166.0</v>
      </c>
      <c r="D63" s="122">
        <v>188.0</v>
      </c>
      <c r="E63" s="122">
        <v>139.0</v>
      </c>
      <c r="F63" s="122">
        <v>244.0</v>
      </c>
      <c r="G63" s="122">
        <v>176.0</v>
      </c>
      <c r="H63" s="122">
        <v>249.0</v>
      </c>
      <c r="I63" s="122">
        <v>277.0</v>
      </c>
      <c r="J63" s="122">
        <v>161.0</v>
      </c>
      <c r="K63" s="122">
        <v>131.0</v>
      </c>
      <c r="L63" s="122">
        <v>265.0</v>
      </c>
      <c r="M63" s="122">
        <v>277.0</v>
      </c>
      <c r="N63" s="122">
        <v>169.0</v>
      </c>
      <c r="O63" s="122">
        <v>173.0</v>
      </c>
      <c r="P63" s="122" t="s">
        <v>164</v>
      </c>
      <c r="Q63" s="122">
        <v>168.0</v>
      </c>
      <c r="R63" s="122">
        <v>185.0</v>
      </c>
      <c r="S63" s="122" t="s">
        <v>164</v>
      </c>
      <c r="T63" s="122">
        <v>143.0</v>
      </c>
      <c r="U63" s="122">
        <v>289.0</v>
      </c>
      <c r="V63" s="122" t="s">
        <v>164</v>
      </c>
      <c r="W63" s="122">
        <v>166.0</v>
      </c>
      <c r="X63" s="122">
        <v>290.0</v>
      </c>
      <c r="Y63" s="122">
        <v>243.0</v>
      </c>
      <c r="Z63" s="122">
        <v>162.0</v>
      </c>
      <c r="AA63" s="122">
        <v>148.0</v>
      </c>
      <c r="AB63" s="122">
        <v>138.0</v>
      </c>
      <c r="AC63" s="122">
        <v>212.0</v>
      </c>
      <c r="AD63" s="122">
        <v>131.0</v>
      </c>
      <c r="AE63" s="122">
        <v>207.0</v>
      </c>
      <c r="AF63" s="122">
        <v>411.0</v>
      </c>
      <c r="AG63" s="122">
        <v>244.0</v>
      </c>
      <c r="AH63" s="122">
        <v>126.0</v>
      </c>
      <c r="AI63" s="122">
        <v>86.0</v>
      </c>
      <c r="AJ63" s="122">
        <v>164.0</v>
      </c>
      <c r="AK63" s="122">
        <v>259.0</v>
      </c>
      <c r="AL63" s="122">
        <v>142.0</v>
      </c>
      <c r="AM63" s="122">
        <v>177.0</v>
      </c>
      <c r="AN63" s="122">
        <v>224.0</v>
      </c>
      <c r="AO63" s="122">
        <v>209.0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316</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317</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318</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319</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320</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273</v>
      </c>
      <c r="C8" s="221" t="s">
        <v>274</v>
      </c>
      <c r="D8" s="221" t="s">
        <v>275</v>
      </c>
      <c r="E8" s="221" t="s">
        <v>276</v>
      </c>
      <c r="F8" s="221" t="s">
        <v>277</v>
      </c>
      <c r="G8" s="221" t="s">
        <v>278</v>
      </c>
      <c r="H8" s="221" t="s">
        <v>279</v>
      </c>
      <c r="I8" s="221" t="s">
        <v>280</v>
      </c>
      <c r="J8" s="221" t="s">
        <v>281</v>
      </c>
      <c r="K8" s="221" t="s">
        <v>282</v>
      </c>
      <c r="L8" s="221" t="s">
        <v>283</v>
      </c>
      <c r="M8" s="221" t="s">
        <v>284</v>
      </c>
      <c r="N8" s="221" t="s">
        <v>285</v>
      </c>
      <c r="O8" s="221" t="s">
        <v>286</v>
      </c>
      <c r="P8" s="221" t="s">
        <v>287</v>
      </c>
      <c r="Q8" s="221" t="s">
        <v>288</v>
      </c>
      <c r="R8" s="221" t="s">
        <v>289</v>
      </c>
      <c r="S8" s="221" t="s">
        <v>290</v>
      </c>
      <c r="T8" s="221" t="s">
        <v>291</v>
      </c>
      <c r="U8" s="221" t="s">
        <v>292</v>
      </c>
      <c r="V8" s="221" t="s">
        <v>293</v>
      </c>
      <c r="W8" s="221" t="s">
        <v>294</v>
      </c>
      <c r="X8" s="221" t="s">
        <v>295</v>
      </c>
      <c r="Y8" s="221" t="s">
        <v>296</v>
      </c>
      <c r="Z8" s="221" t="s">
        <v>297</v>
      </c>
      <c r="AA8" s="221" t="s">
        <v>298</v>
      </c>
      <c r="AB8" s="221" t="s">
        <v>299</v>
      </c>
      <c r="AC8" s="221" t="s">
        <v>300</v>
      </c>
      <c r="AD8" s="221" t="s">
        <v>301</v>
      </c>
      <c r="AE8" s="221" t="s">
        <v>302</v>
      </c>
      <c r="AF8" s="221" t="s">
        <v>303</v>
      </c>
      <c r="AG8" s="221" t="s">
        <v>304</v>
      </c>
      <c r="AH8" s="221" t="s">
        <v>305</v>
      </c>
      <c r="AI8" s="221" t="s">
        <v>306</v>
      </c>
      <c r="AJ8" s="221" t="s">
        <v>307</v>
      </c>
      <c r="AK8" s="221" t="s">
        <v>308</v>
      </c>
      <c r="AL8" s="221" t="s">
        <v>309</v>
      </c>
      <c r="AM8" s="221" t="s">
        <v>310</v>
      </c>
      <c r="AN8" s="221" t="s">
        <v>311</v>
      </c>
      <c r="AO8" s="221" t="s">
        <v>312</v>
      </c>
      <c r="AP8" s="221" t="s">
        <v>267</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321</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322</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323</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319</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324</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273</v>
      </c>
      <c r="C8" s="232" t="s">
        <v>274</v>
      </c>
      <c r="D8" s="232" t="s">
        <v>275</v>
      </c>
      <c r="E8" s="232" t="s">
        <v>276</v>
      </c>
      <c r="F8" s="232" t="s">
        <v>277</v>
      </c>
      <c r="G8" s="232" t="s">
        <v>278</v>
      </c>
      <c r="H8" s="232" t="s">
        <v>279</v>
      </c>
      <c r="I8" s="232" t="s">
        <v>280</v>
      </c>
      <c r="J8" s="232" t="s">
        <v>281</v>
      </c>
      <c r="K8" s="232" t="s">
        <v>282</v>
      </c>
      <c r="L8" s="232" t="s">
        <v>283</v>
      </c>
      <c r="M8" s="232" t="s">
        <v>284</v>
      </c>
      <c r="N8" s="232" t="s">
        <v>285</v>
      </c>
      <c r="O8" s="232" t="s">
        <v>286</v>
      </c>
      <c r="P8" s="232" t="s">
        <v>287</v>
      </c>
      <c r="Q8" s="232" t="s">
        <v>288</v>
      </c>
      <c r="R8" s="232" t="s">
        <v>289</v>
      </c>
      <c r="S8" s="232" t="s">
        <v>290</v>
      </c>
      <c r="T8" s="232" t="s">
        <v>291</v>
      </c>
      <c r="U8" s="232" t="s">
        <v>292</v>
      </c>
      <c r="V8" s="232" t="s">
        <v>293</v>
      </c>
      <c r="W8" s="232" t="s">
        <v>294</v>
      </c>
      <c r="X8" s="232" t="s">
        <v>295</v>
      </c>
      <c r="Y8" s="232" t="s">
        <v>296</v>
      </c>
      <c r="Z8" s="232" t="s">
        <v>297</v>
      </c>
      <c r="AA8" s="232" t="s">
        <v>298</v>
      </c>
      <c r="AB8" s="232" t="s">
        <v>299</v>
      </c>
      <c r="AC8" s="232" t="s">
        <v>300</v>
      </c>
      <c r="AD8" s="232" t="s">
        <v>301</v>
      </c>
      <c r="AE8" s="232" t="s">
        <v>302</v>
      </c>
      <c r="AF8" s="232" t="s">
        <v>303</v>
      </c>
      <c r="AG8" s="232" t="s">
        <v>304</v>
      </c>
      <c r="AH8" s="232" t="s">
        <v>305</v>
      </c>
      <c r="AI8" s="232" t="s">
        <v>306</v>
      </c>
      <c r="AJ8" s="232" t="s">
        <v>307</v>
      </c>
      <c r="AK8" s="232" t="s">
        <v>308</v>
      </c>
      <c r="AL8" s="232" t="s">
        <v>309</v>
      </c>
      <c r="AM8" s="232" t="s">
        <v>310</v>
      </c>
      <c r="AN8" s="232" t="s">
        <v>311</v>
      </c>
      <c r="AO8" s="232" t="s">
        <v>267</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164</v>
      </c>
      <c r="C17" s="234">
        <v>0.045</v>
      </c>
      <c r="D17" s="234">
        <v>0.052</v>
      </c>
      <c r="E17" s="234">
        <v>0.225</v>
      </c>
      <c r="F17" s="233" t="s">
        <v>164</v>
      </c>
      <c r="G17" s="234">
        <v>0.044</v>
      </c>
      <c r="H17" s="234">
        <v>0.103</v>
      </c>
      <c r="I17" s="234">
        <v>0.047</v>
      </c>
      <c r="J17" s="234">
        <v>0.046</v>
      </c>
      <c r="K17" s="234">
        <v>0.058</v>
      </c>
      <c r="L17" s="233" t="s">
        <v>164</v>
      </c>
      <c r="M17" s="233" t="s">
        <v>164</v>
      </c>
      <c r="N17" s="233" t="s">
        <v>164</v>
      </c>
      <c r="O17" s="234">
        <v>0.0</v>
      </c>
      <c r="P17" s="234">
        <v>0.0</v>
      </c>
      <c r="Q17" s="234">
        <v>0.071</v>
      </c>
      <c r="R17" s="234">
        <v>0.073</v>
      </c>
      <c r="S17" s="234">
        <v>0.0</v>
      </c>
      <c r="T17" s="233" t="s">
        <v>164</v>
      </c>
      <c r="U17" s="233" t="s">
        <v>164</v>
      </c>
      <c r="V17" s="234">
        <v>0.0</v>
      </c>
      <c r="W17" s="234">
        <v>0.037</v>
      </c>
      <c r="X17" s="234">
        <v>0.021</v>
      </c>
      <c r="Y17" s="234">
        <v>0.1</v>
      </c>
      <c r="Z17" s="233" t="s">
        <v>164</v>
      </c>
      <c r="AA17" s="234">
        <v>0.155</v>
      </c>
      <c r="AB17" s="233" t="s">
        <v>164</v>
      </c>
      <c r="AC17" s="234">
        <v>0.21</v>
      </c>
      <c r="AD17" s="234">
        <v>0.116</v>
      </c>
      <c r="AE17" s="233" t="s">
        <v>164</v>
      </c>
      <c r="AF17" s="234">
        <v>0.077</v>
      </c>
      <c r="AG17" s="233" t="s">
        <v>164</v>
      </c>
      <c r="AH17" s="234">
        <v>0.049</v>
      </c>
      <c r="AI17" s="233" t="s">
        <v>164</v>
      </c>
      <c r="AJ17" s="234">
        <v>0.074</v>
      </c>
      <c r="AK17" s="233" t="s">
        <v>164</v>
      </c>
      <c r="AL17" s="234">
        <v>0.086</v>
      </c>
      <c r="AM17" s="234">
        <v>0.074</v>
      </c>
      <c r="AN17" s="234">
        <v>0.107</v>
      </c>
      <c r="AO17" s="234">
        <v>0.114</v>
      </c>
    </row>
    <row r="18">
      <c r="A18" s="228" t="s">
        <v>115</v>
      </c>
      <c r="B18" s="233" t="s">
        <v>164</v>
      </c>
      <c r="C18" s="234">
        <v>0.039</v>
      </c>
      <c r="D18" s="233" t="s">
        <v>164</v>
      </c>
      <c r="E18" s="234">
        <v>0.193</v>
      </c>
      <c r="F18" s="233" t="s">
        <v>164</v>
      </c>
      <c r="G18" s="234">
        <v>0.037</v>
      </c>
      <c r="H18" s="234">
        <v>0.071</v>
      </c>
      <c r="I18" s="234">
        <v>0.061</v>
      </c>
      <c r="J18" s="234">
        <v>0.032</v>
      </c>
      <c r="K18" s="234">
        <v>0.071</v>
      </c>
      <c r="L18" s="234">
        <v>0.15</v>
      </c>
      <c r="M18" s="233" t="s">
        <v>164</v>
      </c>
      <c r="N18" s="233" t="s">
        <v>164</v>
      </c>
      <c r="O18" s="233" t="s">
        <v>164</v>
      </c>
      <c r="P18" s="233" t="s">
        <v>164</v>
      </c>
      <c r="Q18" s="234">
        <v>0.077</v>
      </c>
      <c r="R18" s="234">
        <v>0.066</v>
      </c>
      <c r="S18" s="233" t="s">
        <v>164</v>
      </c>
      <c r="T18" s="233" t="s">
        <v>164</v>
      </c>
      <c r="U18" s="233" t="s">
        <v>164</v>
      </c>
      <c r="V18" s="234">
        <v>0.0</v>
      </c>
      <c r="W18" s="234">
        <v>0.036</v>
      </c>
      <c r="X18" s="234">
        <v>0.035</v>
      </c>
      <c r="Y18" s="234">
        <v>0.079</v>
      </c>
      <c r="Z18" s="233" t="s">
        <v>164</v>
      </c>
      <c r="AA18" s="234">
        <v>0.129</v>
      </c>
      <c r="AB18" s="233" t="s">
        <v>164</v>
      </c>
      <c r="AC18" s="234">
        <v>0.157</v>
      </c>
      <c r="AD18" s="233" t="s">
        <v>164</v>
      </c>
      <c r="AE18" s="233" t="s">
        <v>164</v>
      </c>
      <c r="AF18" s="234">
        <v>0.08</v>
      </c>
      <c r="AG18" s="233" t="s">
        <v>164</v>
      </c>
      <c r="AH18" s="234">
        <v>0.029</v>
      </c>
      <c r="AI18" s="233" t="s">
        <v>164</v>
      </c>
      <c r="AJ18" s="234">
        <v>0.049</v>
      </c>
      <c r="AK18" s="234">
        <v>0.0</v>
      </c>
      <c r="AL18" s="234">
        <v>0.085</v>
      </c>
      <c r="AM18" s="233" t="s">
        <v>164</v>
      </c>
      <c r="AN18" s="234">
        <v>0.115</v>
      </c>
      <c r="AO18" s="234">
        <v>0.089</v>
      </c>
    </row>
    <row r="19">
      <c r="A19" s="228" t="s">
        <v>116</v>
      </c>
      <c r="B19" s="234">
        <v>0.058</v>
      </c>
      <c r="C19" s="234">
        <v>0.028</v>
      </c>
      <c r="D19" s="233" t="s">
        <v>164</v>
      </c>
      <c r="E19" s="234">
        <v>0.151</v>
      </c>
      <c r="F19" s="234">
        <v>0.0</v>
      </c>
      <c r="G19" s="234">
        <v>0.027</v>
      </c>
      <c r="H19" s="234">
        <v>0.066</v>
      </c>
      <c r="I19" s="234">
        <v>0.029</v>
      </c>
      <c r="J19" s="234">
        <v>0.022</v>
      </c>
      <c r="K19" s="234">
        <v>0.048</v>
      </c>
      <c r="L19" s="233" t="s">
        <v>164</v>
      </c>
      <c r="M19" s="233" t="s">
        <v>164</v>
      </c>
      <c r="N19" s="234">
        <v>0.087</v>
      </c>
      <c r="O19" s="233" t="s">
        <v>164</v>
      </c>
      <c r="P19" s="234">
        <v>0.0</v>
      </c>
      <c r="Q19" s="234">
        <v>0.053</v>
      </c>
      <c r="R19" s="234">
        <v>0.042</v>
      </c>
      <c r="S19" s="234">
        <v>0.0</v>
      </c>
      <c r="T19" s="234">
        <v>0.0</v>
      </c>
      <c r="U19" s="233" t="s">
        <v>164</v>
      </c>
      <c r="V19" s="233" t="s">
        <v>164</v>
      </c>
      <c r="W19" s="233" t="s">
        <v>164</v>
      </c>
      <c r="X19" s="234">
        <v>0.016</v>
      </c>
      <c r="Y19" s="234">
        <v>0.074</v>
      </c>
      <c r="Z19" s="234">
        <v>0.031</v>
      </c>
      <c r="AA19" s="234">
        <v>0.085</v>
      </c>
      <c r="AB19" s="233" t="s">
        <v>164</v>
      </c>
      <c r="AC19" s="234">
        <v>0.131</v>
      </c>
      <c r="AD19" s="233" t="s">
        <v>164</v>
      </c>
      <c r="AE19" s="234">
        <v>0.036</v>
      </c>
      <c r="AF19" s="234">
        <v>0.069</v>
      </c>
      <c r="AG19" s="233" t="s">
        <v>164</v>
      </c>
      <c r="AH19" s="234">
        <v>0.051</v>
      </c>
      <c r="AI19" s="234">
        <v>0.083</v>
      </c>
      <c r="AJ19" s="234">
        <v>0.034</v>
      </c>
      <c r="AK19" s="233" t="s">
        <v>164</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164</v>
      </c>
      <c r="K20" s="234">
        <v>0.024</v>
      </c>
      <c r="L20" s="233" t="s">
        <v>164</v>
      </c>
      <c r="M20" s="233" t="s">
        <v>164</v>
      </c>
      <c r="N20" s="233" t="s">
        <v>164</v>
      </c>
      <c r="O20" s="233" t="s">
        <v>164</v>
      </c>
      <c r="P20" s="233" t="s">
        <v>164</v>
      </c>
      <c r="Q20" s="234">
        <v>0.045</v>
      </c>
      <c r="R20" s="234">
        <v>0.035</v>
      </c>
      <c r="S20" s="233" t="s">
        <v>164</v>
      </c>
      <c r="T20" s="233" t="s">
        <v>164</v>
      </c>
      <c r="U20" s="233" t="s">
        <v>164</v>
      </c>
      <c r="V20" s="234">
        <v>0.0</v>
      </c>
      <c r="W20" s="233" t="s">
        <v>164</v>
      </c>
      <c r="X20" s="234">
        <v>0.017</v>
      </c>
      <c r="Y20" s="234">
        <v>0.045</v>
      </c>
      <c r="Z20" s="234">
        <v>0.035</v>
      </c>
      <c r="AA20" s="234">
        <v>0.071</v>
      </c>
      <c r="AB20" s="234">
        <v>0.047</v>
      </c>
      <c r="AC20" s="234">
        <v>0.108</v>
      </c>
      <c r="AD20" s="233" t="s">
        <v>164</v>
      </c>
      <c r="AE20" s="233" t="s">
        <v>164</v>
      </c>
      <c r="AF20" s="234">
        <v>0.046</v>
      </c>
      <c r="AG20" s="233" t="s">
        <v>164</v>
      </c>
      <c r="AH20" s="234">
        <v>0.053</v>
      </c>
      <c r="AI20" s="234">
        <v>0.028</v>
      </c>
      <c r="AJ20" s="234">
        <v>0.037</v>
      </c>
      <c r="AK20" s="233" t="s">
        <v>164</v>
      </c>
      <c r="AL20" s="234">
        <v>0.034</v>
      </c>
      <c r="AM20" s="233" t="s">
        <v>164</v>
      </c>
      <c r="AN20" s="234">
        <v>0.061</v>
      </c>
      <c r="AO20" s="234">
        <v>0.057</v>
      </c>
    </row>
    <row r="21">
      <c r="A21" s="228" t="s">
        <v>118</v>
      </c>
      <c r="B21" s="233" t="s">
        <v>164</v>
      </c>
      <c r="C21" s="234">
        <v>0.023</v>
      </c>
      <c r="D21" s="233" t="s">
        <v>164</v>
      </c>
      <c r="E21" s="234">
        <v>0.088</v>
      </c>
      <c r="F21" s="233" t="s">
        <v>164</v>
      </c>
      <c r="G21" s="234">
        <v>0.022</v>
      </c>
      <c r="H21" s="234">
        <v>0.047</v>
      </c>
      <c r="I21" s="234">
        <v>0.019</v>
      </c>
      <c r="J21" s="234">
        <v>0.0</v>
      </c>
      <c r="K21" s="234">
        <v>0.034</v>
      </c>
      <c r="L21" s="234">
        <v>0.0</v>
      </c>
      <c r="M21" s="233" t="s">
        <v>164</v>
      </c>
      <c r="N21" s="233" t="s">
        <v>164</v>
      </c>
      <c r="O21" s="234">
        <v>0.0</v>
      </c>
      <c r="P21" s="233" t="s">
        <v>164</v>
      </c>
      <c r="Q21" s="234">
        <v>0.093</v>
      </c>
      <c r="R21" s="234">
        <v>0.042</v>
      </c>
      <c r="S21" s="234">
        <v>0.0</v>
      </c>
      <c r="T21" s="235">
        <v>0.025</v>
      </c>
      <c r="U21" s="233" t="s">
        <v>164</v>
      </c>
      <c r="V21" s="234">
        <v>0.0</v>
      </c>
      <c r="W21" s="234">
        <v>0.041</v>
      </c>
      <c r="X21" s="234">
        <v>0.019</v>
      </c>
      <c r="Y21" s="234">
        <v>0.038</v>
      </c>
      <c r="Z21" s="233" t="s">
        <v>164</v>
      </c>
      <c r="AA21" s="234">
        <v>0.066</v>
      </c>
      <c r="AB21" s="234">
        <v>0.041</v>
      </c>
      <c r="AC21" s="234">
        <v>0.117</v>
      </c>
      <c r="AD21" s="233" t="s">
        <v>164</v>
      </c>
      <c r="AE21" s="233" t="s">
        <v>164</v>
      </c>
      <c r="AF21" s="234">
        <v>0.0</v>
      </c>
      <c r="AG21" s="234">
        <v>0.0</v>
      </c>
      <c r="AH21" s="233" t="s">
        <v>164</v>
      </c>
      <c r="AI21" s="234">
        <v>0.0</v>
      </c>
      <c r="AJ21" s="234">
        <v>0.02</v>
      </c>
      <c r="AK21" s="233" t="s">
        <v>164</v>
      </c>
      <c r="AL21" s="234">
        <v>0.026</v>
      </c>
      <c r="AM21" s="233" t="s">
        <v>164</v>
      </c>
      <c r="AN21" s="234">
        <v>0.068</v>
      </c>
      <c r="AO21" s="234">
        <v>0.052</v>
      </c>
    </row>
    <row r="22">
      <c r="A22" s="228" t="s">
        <v>119</v>
      </c>
      <c r="B22" s="233" t="s">
        <v>164</v>
      </c>
      <c r="C22" s="233" t="s">
        <v>164</v>
      </c>
      <c r="D22" s="233" t="s">
        <v>164</v>
      </c>
      <c r="E22" s="234">
        <v>0.086</v>
      </c>
      <c r="F22" s="234">
        <v>0.0</v>
      </c>
      <c r="G22" s="233" t="s">
        <v>164</v>
      </c>
      <c r="H22" s="234">
        <v>0.031</v>
      </c>
      <c r="I22" s="234">
        <v>0.03</v>
      </c>
      <c r="J22" s="233" t="s">
        <v>164</v>
      </c>
      <c r="K22" s="234">
        <v>0.014</v>
      </c>
      <c r="L22" s="233" t="s">
        <v>164</v>
      </c>
      <c r="M22" s="234">
        <v>0.0</v>
      </c>
      <c r="N22" s="233" t="s">
        <v>164</v>
      </c>
      <c r="O22" s="234">
        <v>0.0</v>
      </c>
      <c r="P22" s="233" t="s">
        <v>164</v>
      </c>
      <c r="Q22" s="234">
        <v>0.028</v>
      </c>
      <c r="R22" s="233" t="s">
        <v>164</v>
      </c>
      <c r="S22" s="234">
        <v>0.0</v>
      </c>
      <c r="T22" s="233" t="s">
        <v>164</v>
      </c>
      <c r="U22" s="233" t="s">
        <v>164</v>
      </c>
      <c r="V22" s="234">
        <v>0.0</v>
      </c>
      <c r="W22" s="233" t="s">
        <v>164</v>
      </c>
      <c r="X22" s="233" t="s">
        <v>164</v>
      </c>
      <c r="Y22" s="234">
        <v>0.036</v>
      </c>
      <c r="Z22" s="233" t="s">
        <v>164</v>
      </c>
      <c r="AA22" s="234">
        <v>0.041</v>
      </c>
      <c r="AB22" s="234">
        <v>0.027</v>
      </c>
      <c r="AC22" s="234">
        <v>0.078</v>
      </c>
      <c r="AD22" s="234">
        <v>0.0</v>
      </c>
      <c r="AE22" s="233" t="s">
        <v>164</v>
      </c>
      <c r="AF22" s="233" t="s">
        <v>164</v>
      </c>
      <c r="AG22" s="234">
        <v>0.0</v>
      </c>
      <c r="AH22" s="233" t="s">
        <v>164</v>
      </c>
      <c r="AI22" s="233" t="s">
        <v>164</v>
      </c>
      <c r="AJ22" s="234">
        <v>0.017</v>
      </c>
      <c r="AK22" s="234">
        <v>0.0</v>
      </c>
      <c r="AL22" s="234">
        <v>0.02</v>
      </c>
      <c r="AM22" s="234">
        <v>0.0</v>
      </c>
      <c r="AN22" s="234">
        <v>0.043</v>
      </c>
      <c r="AO22" s="234">
        <v>0.033</v>
      </c>
    </row>
    <row r="23">
      <c r="A23" s="228" t="s">
        <v>120</v>
      </c>
      <c r="B23" s="233" t="s">
        <v>164</v>
      </c>
      <c r="C23" s="233" t="s">
        <v>164</v>
      </c>
      <c r="D23" s="233" t="s">
        <v>164</v>
      </c>
      <c r="E23" s="234">
        <v>0.084</v>
      </c>
      <c r="F23" s="233" t="s">
        <v>164</v>
      </c>
      <c r="G23" s="233" t="s">
        <v>164</v>
      </c>
      <c r="H23" s="234">
        <v>0.032</v>
      </c>
      <c r="I23" s="234">
        <v>0.02</v>
      </c>
      <c r="J23" s="233" t="s">
        <v>164</v>
      </c>
      <c r="K23" s="234">
        <v>0.019</v>
      </c>
      <c r="L23" s="233" t="s">
        <v>164</v>
      </c>
      <c r="M23" s="234">
        <v>0.0</v>
      </c>
      <c r="N23" s="233" t="s">
        <v>164</v>
      </c>
      <c r="O23" s="234">
        <v>0.0</v>
      </c>
      <c r="P23" s="234">
        <v>0.0</v>
      </c>
      <c r="Q23" s="234">
        <v>0.037</v>
      </c>
      <c r="R23" s="234">
        <v>0.015</v>
      </c>
      <c r="S23" s="234">
        <v>0.0</v>
      </c>
      <c r="T23" s="233" t="s">
        <v>164</v>
      </c>
      <c r="U23" s="234">
        <v>0.0</v>
      </c>
      <c r="V23" s="234">
        <v>0.0</v>
      </c>
      <c r="W23" s="233" t="s">
        <v>164</v>
      </c>
      <c r="X23" s="233" t="s">
        <v>164</v>
      </c>
      <c r="Y23" s="234">
        <v>0.018</v>
      </c>
      <c r="Z23" s="234">
        <v>0.043</v>
      </c>
      <c r="AA23" s="234">
        <v>0.037</v>
      </c>
      <c r="AB23" s="234">
        <v>0.0</v>
      </c>
      <c r="AC23" s="234">
        <v>0.053</v>
      </c>
      <c r="AD23" s="234">
        <v>0.0</v>
      </c>
      <c r="AE23" s="233" t="s">
        <v>164</v>
      </c>
      <c r="AF23" s="233" t="s">
        <v>164</v>
      </c>
      <c r="AG23" s="233" t="s">
        <v>164</v>
      </c>
      <c r="AH23" s="233" t="s">
        <v>164</v>
      </c>
      <c r="AI23" s="233" t="s">
        <v>164</v>
      </c>
      <c r="AJ23" s="234">
        <v>0.011</v>
      </c>
      <c r="AK23" s="234">
        <v>0.0</v>
      </c>
      <c r="AL23" s="233" t="s">
        <v>164</v>
      </c>
      <c r="AM23" s="234">
        <v>0.0</v>
      </c>
      <c r="AN23" s="234">
        <v>0.037</v>
      </c>
      <c r="AO23" s="234">
        <v>0.027</v>
      </c>
    </row>
    <row r="24">
      <c r="A24" s="228" t="s">
        <v>121</v>
      </c>
      <c r="B24" s="234">
        <v>0.0</v>
      </c>
      <c r="C24" s="233" t="s">
        <v>164</v>
      </c>
      <c r="D24" s="233" t="s">
        <v>164</v>
      </c>
      <c r="E24" s="234">
        <v>0.074</v>
      </c>
      <c r="F24" s="233" t="s">
        <v>164</v>
      </c>
      <c r="G24" s="234">
        <v>0.0</v>
      </c>
      <c r="H24" s="234">
        <v>0.019</v>
      </c>
      <c r="I24" s="233" t="s">
        <v>164</v>
      </c>
      <c r="J24" s="233" t="s">
        <v>164</v>
      </c>
      <c r="K24" s="234">
        <v>0.014</v>
      </c>
      <c r="L24" s="234">
        <v>0.0</v>
      </c>
      <c r="M24" s="234">
        <v>0.0</v>
      </c>
      <c r="N24" s="234">
        <v>0.0</v>
      </c>
      <c r="O24" s="234">
        <v>0.0</v>
      </c>
      <c r="P24" s="233" t="s">
        <v>164</v>
      </c>
      <c r="Q24" s="234">
        <v>0.015</v>
      </c>
      <c r="R24" s="234">
        <v>0.024</v>
      </c>
      <c r="S24" s="234">
        <v>0.0</v>
      </c>
      <c r="T24" s="233" t="s">
        <v>164</v>
      </c>
      <c r="U24" s="233" t="s">
        <v>164</v>
      </c>
      <c r="V24" s="234">
        <v>0.0</v>
      </c>
      <c r="W24" s="234">
        <v>0.016</v>
      </c>
      <c r="X24" s="233" t="s">
        <v>164</v>
      </c>
      <c r="Y24" s="233" t="s">
        <v>164</v>
      </c>
      <c r="Z24" s="233" t="s">
        <v>164</v>
      </c>
      <c r="AA24" s="234">
        <v>0.032</v>
      </c>
      <c r="AB24" s="234">
        <v>0.0</v>
      </c>
      <c r="AC24" s="234">
        <v>0.043</v>
      </c>
      <c r="AD24" s="233" t="s">
        <v>164</v>
      </c>
      <c r="AE24" s="233" t="s">
        <v>164</v>
      </c>
      <c r="AF24" s="233" t="s">
        <v>164</v>
      </c>
      <c r="AG24" s="234">
        <v>0.0</v>
      </c>
      <c r="AH24" s="234">
        <v>0.0</v>
      </c>
      <c r="AI24" s="233" t="s">
        <v>164</v>
      </c>
      <c r="AJ24" s="234">
        <v>0.013</v>
      </c>
      <c r="AK24" s="234">
        <v>0.0</v>
      </c>
      <c r="AL24" s="234">
        <v>0.027</v>
      </c>
      <c r="AM24" s="233" t="s">
        <v>164</v>
      </c>
      <c r="AN24" s="234">
        <v>0.036</v>
      </c>
      <c r="AO24" s="234">
        <v>0.021</v>
      </c>
    </row>
    <row r="25">
      <c r="A25" s="228" t="s">
        <v>122</v>
      </c>
      <c r="B25" s="233" t="s">
        <v>164</v>
      </c>
      <c r="C25" s="233" t="s">
        <v>164</v>
      </c>
      <c r="D25" s="233" t="s">
        <v>164</v>
      </c>
      <c r="E25" s="234">
        <v>0.044</v>
      </c>
      <c r="F25" s="233" t="s">
        <v>164</v>
      </c>
      <c r="G25" s="233" t="s">
        <v>164</v>
      </c>
      <c r="H25" s="234">
        <v>0.009</v>
      </c>
      <c r="I25" s="234">
        <v>0.02</v>
      </c>
      <c r="J25" s="233" t="s">
        <v>164</v>
      </c>
      <c r="K25" s="234">
        <v>0.01</v>
      </c>
      <c r="L25" s="234">
        <v>0.0</v>
      </c>
      <c r="M25" s="233" t="s">
        <v>164</v>
      </c>
      <c r="N25" s="233" t="s">
        <v>164</v>
      </c>
      <c r="O25" s="233" t="s">
        <v>164</v>
      </c>
      <c r="P25" s="234">
        <v>0.0</v>
      </c>
      <c r="Q25" s="234">
        <v>0.021</v>
      </c>
      <c r="R25" s="234">
        <v>0.019</v>
      </c>
      <c r="S25" s="234">
        <v>0.0</v>
      </c>
      <c r="T25" s="234">
        <v>0.025</v>
      </c>
      <c r="U25" s="234">
        <v>0.0</v>
      </c>
      <c r="V25" s="234">
        <v>0.0</v>
      </c>
      <c r="W25" s="234">
        <v>0.029</v>
      </c>
      <c r="X25" s="233" t="s">
        <v>164</v>
      </c>
      <c r="Y25" s="234">
        <v>0.022</v>
      </c>
      <c r="Z25" s="233" t="s">
        <v>164</v>
      </c>
      <c r="AA25" s="234">
        <v>0.038</v>
      </c>
      <c r="AB25" s="233" t="s">
        <v>164</v>
      </c>
      <c r="AC25" s="234">
        <v>0.039</v>
      </c>
      <c r="AD25" s="234">
        <v>0.0</v>
      </c>
      <c r="AE25" s="233" t="s">
        <v>164</v>
      </c>
      <c r="AF25" s="233" t="s">
        <v>164</v>
      </c>
      <c r="AG25" s="233" t="s">
        <v>164</v>
      </c>
      <c r="AH25" s="233" t="s">
        <v>164</v>
      </c>
      <c r="AI25" s="233" t="s">
        <v>164</v>
      </c>
      <c r="AJ25" s="234">
        <v>0.009</v>
      </c>
      <c r="AK25" s="233" t="s">
        <v>164</v>
      </c>
      <c r="AL25" s="234">
        <v>0.024</v>
      </c>
      <c r="AM25" s="233" t="s">
        <v>164</v>
      </c>
      <c r="AN25" s="234">
        <v>0.026</v>
      </c>
      <c r="AO25" s="234">
        <v>0.02</v>
      </c>
    </row>
    <row r="26">
      <c r="A26" s="228" t="s">
        <v>123</v>
      </c>
      <c r="B26" s="233" t="s">
        <v>164</v>
      </c>
      <c r="C26" s="233" t="s">
        <v>164</v>
      </c>
      <c r="D26" s="233" t="s">
        <v>164</v>
      </c>
      <c r="E26" s="234">
        <v>0.024</v>
      </c>
      <c r="F26" s="233" t="s">
        <v>164</v>
      </c>
      <c r="G26" s="234">
        <v>0.021</v>
      </c>
      <c r="H26" s="234">
        <v>0.037</v>
      </c>
      <c r="I26" s="233" t="s">
        <v>164</v>
      </c>
      <c r="J26" s="233" t="s">
        <v>164</v>
      </c>
      <c r="K26" s="234">
        <v>0.01</v>
      </c>
      <c r="L26" s="234">
        <v>0.0</v>
      </c>
      <c r="M26" s="233" t="s">
        <v>164</v>
      </c>
      <c r="N26" s="233" t="s">
        <v>164</v>
      </c>
      <c r="O26" s="233" t="s">
        <v>164</v>
      </c>
      <c r="P26" s="233" t="s">
        <v>164</v>
      </c>
      <c r="Q26" s="234">
        <v>0.029</v>
      </c>
      <c r="R26" s="233" t="s">
        <v>164</v>
      </c>
      <c r="S26" s="233" t="s">
        <v>164</v>
      </c>
      <c r="T26" s="234">
        <v>0.019</v>
      </c>
      <c r="U26" s="234">
        <v>0.0</v>
      </c>
      <c r="V26" s="234">
        <v>0.0</v>
      </c>
      <c r="W26" s="234">
        <v>0.019</v>
      </c>
      <c r="X26" s="233" t="s">
        <v>164</v>
      </c>
      <c r="Y26" s="234">
        <v>0.026</v>
      </c>
      <c r="Z26" s="233" t="s">
        <v>164</v>
      </c>
      <c r="AA26" s="234">
        <v>0.015</v>
      </c>
      <c r="AB26" s="233" t="s">
        <v>164</v>
      </c>
      <c r="AC26" s="234">
        <v>0.034</v>
      </c>
      <c r="AD26" s="234">
        <v>0.0</v>
      </c>
      <c r="AE26" s="233" t="s">
        <v>164</v>
      </c>
      <c r="AF26" s="234">
        <v>0.028</v>
      </c>
      <c r="AG26" s="233" t="s">
        <v>164</v>
      </c>
      <c r="AH26" s="233" t="s">
        <v>164</v>
      </c>
      <c r="AI26" s="233" t="s">
        <v>164</v>
      </c>
      <c r="AJ26" s="234">
        <v>0.01</v>
      </c>
      <c r="AK26" s="234">
        <v>0.0</v>
      </c>
      <c r="AL26" s="234">
        <v>0.02</v>
      </c>
      <c r="AM26" s="234">
        <v>0.018</v>
      </c>
      <c r="AN26" s="234">
        <v>0.014</v>
      </c>
      <c r="AO26" s="234">
        <v>0.019</v>
      </c>
    </row>
    <row r="27">
      <c r="A27" s="228" t="s">
        <v>124</v>
      </c>
      <c r="B27" s="233" t="s">
        <v>164</v>
      </c>
      <c r="C27" s="234">
        <v>0.017</v>
      </c>
      <c r="D27" s="233" t="s">
        <v>164</v>
      </c>
      <c r="E27" s="234">
        <v>0.05</v>
      </c>
      <c r="F27" s="233" t="s">
        <v>164</v>
      </c>
      <c r="G27" s="234">
        <v>0.015</v>
      </c>
      <c r="H27" s="234">
        <v>0.019</v>
      </c>
      <c r="I27" s="233" t="s">
        <v>164</v>
      </c>
      <c r="J27" s="234">
        <v>0.015</v>
      </c>
      <c r="K27" s="234">
        <v>0.008</v>
      </c>
      <c r="L27" s="234">
        <v>0.0</v>
      </c>
      <c r="M27" s="234">
        <v>0.0</v>
      </c>
      <c r="N27" s="233" t="s">
        <v>164</v>
      </c>
      <c r="O27" s="233" t="s">
        <v>164</v>
      </c>
      <c r="P27" s="233" t="s">
        <v>164</v>
      </c>
      <c r="Q27" s="234">
        <v>0.014</v>
      </c>
      <c r="R27" s="234">
        <v>0.019</v>
      </c>
      <c r="S27" s="234">
        <v>0.0</v>
      </c>
      <c r="T27" s="234">
        <v>0.021</v>
      </c>
      <c r="U27" s="233" t="s">
        <v>164</v>
      </c>
      <c r="V27" s="233" t="s">
        <v>164</v>
      </c>
      <c r="W27" s="234">
        <v>0.017</v>
      </c>
      <c r="X27" s="234">
        <v>0.0</v>
      </c>
      <c r="Y27" s="234">
        <v>0.028</v>
      </c>
      <c r="Z27" s="234">
        <v>0.034</v>
      </c>
      <c r="AA27" s="234">
        <v>0.024</v>
      </c>
      <c r="AB27" s="233" t="s">
        <v>164</v>
      </c>
      <c r="AC27" s="234">
        <v>0.03</v>
      </c>
      <c r="AD27" s="234">
        <v>0.0</v>
      </c>
      <c r="AE27" s="233" t="s">
        <v>164</v>
      </c>
      <c r="AF27" s="234">
        <v>0.016</v>
      </c>
      <c r="AG27" s="233" t="s">
        <v>164</v>
      </c>
      <c r="AH27" s="233" t="s">
        <v>164</v>
      </c>
      <c r="AI27" s="233" t="s">
        <v>164</v>
      </c>
      <c r="AJ27" s="234">
        <v>0.014</v>
      </c>
      <c r="AK27" s="233" t="s">
        <v>164</v>
      </c>
      <c r="AL27" s="234">
        <v>0.026</v>
      </c>
      <c r="AM27" s="233" t="s">
        <v>164</v>
      </c>
      <c r="AN27" s="234">
        <v>0.021</v>
      </c>
      <c r="AO27" s="234">
        <v>0.018</v>
      </c>
    </row>
    <row r="28">
      <c r="A28" s="228" t="s">
        <v>125</v>
      </c>
      <c r="B28" s="233" t="s">
        <v>164</v>
      </c>
      <c r="C28" s="234">
        <v>0.023</v>
      </c>
      <c r="D28" s="233" t="s">
        <v>164</v>
      </c>
      <c r="E28" s="234">
        <v>0.062</v>
      </c>
      <c r="F28" s="233" t="s">
        <v>164</v>
      </c>
      <c r="G28" s="233" t="s">
        <v>164</v>
      </c>
      <c r="H28" s="234">
        <v>0.029</v>
      </c>
      <c r="I28" s="234">
        <v>0.023</v>
      </c>
      <c r="J28" s="233" t="s">
        <v>164</v>
      </c>
      <c r="K28" s="234">
        <v>0.02</v>
      </c>
      <c r="L28" s="234">
        <v>0.0</v>
      </c>
      <c r="M28" s="233" t="s">
        <v>164</v>
      </c>
      <c r="N28" s="234">
        <v>0.0</v>
      </c>
      <c r="O28" s="234">
        <v>0.0</v>
      </c>
      <c r="P28" s="234">
        <v>0.0</v>
      </c>
      <c r="Q28" s="234">
        <v>0.028</v>
      </c>
      <c r="R28" s="234">
        <v>0.017</v>
      </c>
      <c r="S28" s="233" t="s">
        <v>164</v>
      </c>
      <c r="T28" s="233" t="s">
        <v>164</v>
      </c>
      <c r="U28" s="233" t="s">
        <v>164</v>
      </c>
      <c r="V28" s="234">
        <v>0.0</v>
      </c>
      <c r="W28" s="233" t="s">
        <v>164</v>
      </c>
      <c r="X28" s="233" t="s">
        <v>164</v>
      </c>
      <c r="Y28" s="234">
        <v>0.026</v>
      </c>
      <c r="Z28" s="233" t="s">
        <v>164</v>
      </c>
      <c r="AA28" s="234">
        <v>0.046</v>
      </c>
      <c r="AB28" s="233" t="s">
        <v>164</v>
      </c>
      <c r="AC28" s="234">
        <v>0.038</v>
      </c>
      <c r="AD28" s="234">
        <v>0.0</v>
      </c>
      <c r="AE28" s="233" t="s">
        <v>164</v>
      </c>
      <c r="AF28" s="234">
        <v>0.05</v>
      </c>
      <c r="AG28" s="233" t="s">
        <v>164</v>
      </c>
      <c r="AH28" s="233" t="s">
        <v>164</v>
      </c>
      <c r="AI28" s="233" t="s">
        <v>164</v>
      </c>
      <c r="AJ28" s="234">
        <v>0.017</v>
      </c>
      <c r="AK28" s="234">
        <v>0.0</v>
      </c>
      <c r="AL28" s="234">
        <v>0.019</v>
      </c>
      <c r="AM28" s="233" t="s">
        <v>164</v>
      </c>
      <c r="AN28" s="234">
        <v>0.029</v>
      </c>
      <c r="AO28" s="234">
        <v>0.024</v>
      </c>
    </row>
    <row r="29">
      <c r="A29" s="236" t="s">
        <v>126</v>
      </c>
      <c r="B29" s="234">
        <v>0.0</v>
      </c>
      <c r="C29" s="234">
        <v>0.017</v>
      </c>
      <c r="D29" s="233" t="s">
        <v>164</v>
      </c>
      <c r="E29" s="234">
        <v>0.077</v>
      </c>
      <c r="F29" s="233" t="s">
        <v>164</v>
      </c>
      <c r="G29" s="234">
        <v>0.013</v>
      </c>
      <c r="H29" s="234">
        <v>0.029</v>
      </c>
      <c r="I29" s="234">
        <v>0.02</v>
      </c>
      <c r="J29" s="234">
        <v>0.009</v>
      </c>
      <c r="K29" s="234">
        <v>0.019</v>
      </c>
      <c r="L29" s="233" t="s">
        <v>164</v>
      </c>
      <c r="M29" s="234">
        <v>0.0</v>
      </c>
      <c r="N29" s="233" t="s">
        <v>164</v>
      </c>
      <c r="O29" s="233" t="s">
        <v>164</v>
      </c>
      <c r="P29" s="233" t="s">
        <v>164</v>
      </c>
      <c r="Q29" s="234">
        <v>0.036</v>
      </c>
      <c r="R29" s="234">
        <v>0.015</v>
      </c>
      <c r="S29" s="234">
        <v>0.0</v>
      </c>
      <c r="T29" s="233" t="s">
        <v>164</v>
      </c>
      <c r="U29" s="233" t="s">
        <v>164</v>
      </c>
      <c r="V29" s="233" t="s">
        <v>164</v>
      </c>
      <c r="W29" s="234">
        <v>0.011</v>
      </c>
      <c r="X29" s="234">
        <v>0.008</v>
      </c>
      <c r="Y29" s="234">
        <v>0.051</v>
      </c>
      <c r="Z29" s="235">
        <v>0.046</v>
      </c>
      <c r="AA29" s="234">
        <v>0.058</v>
      </c>
      <c r="AB29" s="233" t="s">
        <v>164</v>
      </c>
      <c r="AC29" s="234">
        <v>0.044</v>
      </c>
      <c r="AD29" s="234">
        <v>0.0</v>
      </c>
      <c r="AE29" s="233" t="s">
        <v>164</v>
      </c>
      <c r="AF29" s="234">
        <v>0.034</v>
      </c>
      <c r="AG29" s="233" t="s">
        <v>164</v>
      </c>
      <c r="AH29" s="233" t="s">
        <v>164</v>
      </c>
      <c r="AI29" s="234">
        <v>0.038</v>
      </c>
      <c r="AJ29" s="234">
        <v>0.023</v>
      </c>
      <c r="AK29" s="233" t="s">
        <v>164</v>
      </c>
      <c r="AL29" s="234">
        <v>0.017</v>
      </c>
      <c r="AM29" s="233" t="s">
        <v>164</v>
      </c>
      <c r="AN29" s="234">
        <v>0.023</v>
      </c>
      <c r="AO29" s="234">
        <v>0.027</v>
      </c>
    </row>
    <row r="30">
      <c r="A30" s="228" t="s">
        <v>127</v>
      </c>
      <c r="B30" s="233" t="s">
        <v>164</v>
      </c>
      <c r="C30" s="234">
        <v>0.012</v>
      </c>
      <c r="D30" s="234">
        <v>0.035</v>
      </c>
      <c r="E30" s="234">
        <v>0.075</v>
      </c>
      <c r="F30" s="233" t="s">
        <v>164</v>
      </c>
      <c r="G30" s="234">
        <v>0.008</v>
      </c>
      <c r="H30" s="234">
        <v>0.052</v>
      </c>
      <c r="I30" s="234">
        <v>0.017</v>
      </c>
      <c r="J30" s="234">
        <v>0.019</v>
      </c>
      <c r="K30" s="234">
        <v>0.013</v>
      </c>
      <c r="L30" s="233" t="s">
        <v>164</v>
      </c>
      <c r="M30" s="233" t="s">
        <v>164</v>
      </c>
      <c r="N30" s="233" t="s">
        <v>164</v>
      </c>
      <c r="O30" s="233" t="s">
        <v>164</v>
      </c>
      <c r="P30" s="233" t="s">
        <v>164</v>
      </c>
      <c r="Q30" s="234">
        <v>0.026</v>
      </c>
      <c r="R30" s="234">
        <v>0.038</v>
      </c>
      <c r="S30" s="234">
        <v>0.0</v>
      </c>
      <c r="T30" s="234">
        <v>0.018</v>
      </c>
      <c r="U30" s="234">
        <v>0.0</v>
      </c>
      <c r="V30" s="233" t="s">
        <v>164</v>
      </c>
      <c r="W30" s="234">
        <v>0.013</v>
      </c>
      <c r="X30" s="234">
        <v>0.011</v>
      </c>
      <c r="Y30" s="234">
        <v>0.054</v>
      </c>
      <c r="Z30" s="233" t="s">
        <v>164</v>
      </c>
      <c r="AA30" s="234">
        <v>0.058</v>
      </c>
      <c r="AB30" s="234">
        <v>0.0</v>
      </c>
      <c r="AC30" s="234">
        <v>0.049</v>
      </c>
      <c r="AD30" s="233" t="s">
        <v>164</v>
      </c>
      <c r="AE30" s="233" t="s">
        <v>164</v>
      </c>
      <c r="AF30" s="233" t="s">
        <v>164</v>
      </c>
      <c r="AG30" s="233" t="s">
        <v>164</v>
      </c>
      <c r="AH30" s="233" t="s">
        <v>164</v>
      </c>
      <c r="AI30" s="233" t="s">
        <v>164</v>
      </c>
      <c r="AJ30" s="234">
        <v>0.021</v>
      </c>
      <c r="AK30" s="233" t="s">
        <v>164</v>
      </c>
      <c r="AL30" s="234">
        <v>0.034</v>
      </c>
      <c r="AM30" s="233" t="s">
        <v>164</v>
      </c>
      <c r="AN30" s="234">
        <v>0.023</v>
      </c>
      <c r="AO30" s="234">
        <v>0.029</v>
      </c>
    </row>
    <row r="31">
      <c r="A31" s="237" t="s">
        <v>128</v>
      </c>
      <c r="B31" s="233" t="s">
        <v>164</v>
      </c>
      <c r="C31" s="234">
        <v>0.005</v>
      </c>
      <c r="D31" s="233" t="s">
        <v>164</v>
      </c>
      <c r="E31" s="234">
        <v>0.073</v>
      </c>
      <c r="F31" s="234">
        <v>0.0</v>
      </c>
      <c r="G31" s="234">
        <v>0.011</v>
      </c>
      <c r="H31" s="234">
        <v>0.057</v>
      </c>
      <c r="I31" s="234">
        <v>0.018</v>
      </c>
      <c r="J31" s="233" t="s">
        <v>164</v>
      </c>
      <c r="K31" s="234">
        <v>0.017</v>
      </c>
      <c r="L31" s="233" t="s">
        <v>164</v>
      </c>
      <c r="M31" s="233" t="s">
        <v>164</v>
      </c>
      <c r="N31" s="233" t="s">
        <v>164</v>
      </c>
      <c r="O31" s="233" t="s">
        <v>164</v>
      </c>
      <c r="P31" s="234">
        <v>0.0</v>
      </c>
      <c r="Q31" s="234">
        <v>0.033</v>
      </c>
      <c r="R31" s="234">
        <v>0.036</v>
      </c>
      <c r="S31" s="234">
        <v>0.0</v>
      </c>
      <c r="T31" s="233" t="s">
        <v>164</v>
      </c>
      <c r="U31" s="233" t="s">
        <v>164</v>
      </c>
      <c r="V31" s="233" t="s">
        <v>164</v>
      </c>
      <c r="W31" s="234">
        <v>0.008</v>
      </c>
      <c r="X31" s="234">
        <v>0.015</v>
      </c>
      <c r="Y31" s="234">
        <v>0.042</v>
      </c>
      <c r="Z31" s="233" t="s">
        <v>164</v>
      </c>
      <c r="AA31" s="234">
        <v>0.052</v>
      </c>
      <c r="AB31" s="233" t="s">
        <v>164</v>
      </c>
      <c r="AC31" s="234">
        <v>0.051</v>
      </c>
      <c r="AD31" s="233" t="s">
        <v>164</v>
      </c>
      <c r="AE31" s="234">
        <v>0.024</v>
      </c>
      <c r="AF31" s="234">
        <v>0.026</v>
      </c>
      <c r="AG31" s="233" t="s">
        <v>164</v>
      </c>
      <c r="AH31" s="234">
        <v>0.0</v>
      </c>
      <c r="AI31" s="234">
        <v>0.0</v>
      </c>
      <c r="AJ31" s="234">
        <v>0.021</v>
      </c>
      <c r="AK31" s="234">
        <v>0.0</v>
      </c>
      <c r="AL31" s="234">
        <v>0.021</v>
      </c>
      <c r="AM31" s="234">
        <v>0.013</v>
      </c>
      <c r="AN31" s="234">
        <v>0.027</v>
      </c>
      <c r="AO31" s="234">
        <v>0.026</v>
      </c>
    </row>
    <row r="32">
      <c r="A32" s="237" t="s">
        <v>129</v>
      </c>
      <c r="B32" s="233" t="s">
        <v>164</v>
      </c>
      <c r="C32" s="234">
        <v>0.007</v>
      </c>
      <c r="D32" s="233" t="s">
        <v>164</v>
      </c>
      <c r="E32" s="234">
        <v>0.067</v>
      </c>
      <c r="F32" s="233" t="s">
        <v>164</v>
      </c>
      <c r="G32" s="234">
        <v>0.011</v>
      </c>
      <c r="H32" s="234">
        <v>0.024</v>
      </c>
      <c r="I32" s="234">
        <v>0.02</v>
      </c>
      <c r="J32" s="234">
        <v>0.011</v>
      </c>
      <c r="K32" s="234">
        <v>0.013</v>
      </c>
      <c r="L32" s="233" t="s">
        <v>164</v>
      </c>
      <c r="M32" s="233" t="s">
        <v>164</v>
      </c>
      <c r="N32" s="233" t="s">
        <v>164</v>
      </c>
      <c r="O32" s="234">
        <v>0.0</v>
      </c>
      <c r="P32" s="233" t="s">
        <v>164</v>
      </c>
      <c r="Q32" s="234">
        <v>0.023</v>
      </c>
      <c r="R32" s="234">
        <v>0.012</v>
      </c>
      <c r="S32" s="234">
        <v>0.0</v>
      </c>
      <c r="T32" s="234">
        <v>0.0</v>
      </c>
      <c r="U32" s="234">
        <v>0.07</v>
      </c>
      <c r="V32" s="233" t="s">
        <v>164</v>
      </c>
      <c r="W32" s="235">
        <v>0.009</v>
      </c>
      <c r="X32" s="234">
        <v>0.023</v>
      </c>
      <c r="Y32" s="234">
        <v>0.03</v>
      </c>
      <c r="Z32" s="234">
        <v>0.0</v>
      </c>
      <c r="AA32" s="234">
        <v>0.034</v>
      </c>
      <c r="AB32" s="233" t="s">
        <v>164</v>
      </c>
      <c r="AC32" s="234">
        <v>0.054</v>
      </c>
      <c r="AD32" s="233" t="s">
        <v>164</v>
      </c>
      <c r="AE32" s="233" t="s">
        <v>164</v>
      </c>
      <c r="AF32" s="234">
        <v>0.034</v>
      </c>
      <c r="AG32" s="234">
        <v>0.033</v>
      </c>
      <c r="AH32" s="233" t="s">
        <v>164</v>
      </c>
      <c r="AI32" s="234">
        <v>0.0</v>
      </c>
      <c r="AJ32" s="234">
        <v>0.014</v>
      </c>
      <c r="AK32" s="233" t="s">
        <v>164</v>
      </c>
      <c r="AL32" s="234">
        <v>0.029</v>
      </c>
      <c r="AM32" s="234">
        <v>0.0</v>
      </c>
      <c r="AN32" s="234">
        <v>0.023</v>
      </c>
      <c r="AO32" s="234">
        <v>0.024</v>
      </c>
    </row>
    <row r="33">
      <c r="A33" s="237" t="s">
        <v>130</v>
      </c>
      <c r="B33" s="234">
        <v>0.0</v>
      </c>
      <c r="C33" s="234">
        <v>0.004</v>
      </c>
      <c r="D33" s="233" t="s">
        <v>164</v>
      </c>
      <c r="E33" s="234">
        <v>0.087</v>
      </c>
      <c r="F33" s="234">
        <v>0.0</v>
      </c>
      <c r="G33" s="234">
        <v>0.016</v>
      </c>
      <c r="H33" s="234">
        <v>0.034</v>
      </c>
      <c r="I33" s="234">
        <v>0.026</v>
      </c>
      <c r="J33" s="234">
        <v>0.017</v>
      </c>
      <c r="K33" s="234">
        <v>0.013</v>
      </c>
      <c r="L33" s="233" t="s">
        <v>164</v>
      </c>
      <c r="M33" s="233" t="s">
        <v>164</v>
      </c>
      <c r="N33" s="233" t="s">
        <v>164</v>
      </c>
      <c r="O33" s="233" t="s">
        <v>164</v>
      </c>
      <c r="P33" s="233" t="s">
        <v>164</v>
      </c>
      <c r="Q33" s="234">
        <v>0.047</v>
      </c>
      <c r="R33" s="234">
        <v>0.021</v>
      </c>
      <c r="S33" s="234">
        <v>0.0</v>
      </c>
      <c r="T33" s="234">
        <v>0.018</v>
      </c>
      <c r="U33" s="234">
        <v>0.028</v>
      </c>
      <c r="V33" s="234">
        <v>0.0</v>
      </c>
      <c r="W33" s="233" t="s">
        <v>164</v>
      </c>
      <c r="X33" s="234">
        <v>0.03</v>
      </c>
      <c r="Y33" s="234">
        <v>0.034</v>
      </c>
      <c r="Z33" s="233" t="s">
        <v>164</v>
      </c>
      <c r="AA33" s="234">
        <v>0.035</v>
      </c>
      <c r="AB33" s="233" t="s">
        <v>164</v>
      </c>
      <c r="AC33" s="234">
        <v>0.044</v>
      </c>
      <c r="AD33" s="234">
        <v>0.0</v>
      </c>
      <c r="AE33" s="233" t="s">
        <v>164</v>
      </c>
      <c r="AF33" s="234">
        <v>0.005</v>
      </c>
      <c r="AG33" s="234">
        <v>0.014</v>
      </c>
      <c r="AH33" s="234">
        <v>0.028</v>
      </c>
      <c r="AI33" s="233" t="s">
        <v>164</v>
      </c>
      <c r="AJ33" s="234">
        <v>0.024</v>
      </c>
      <c r="AK33" s="233" t="s">
        <v>164</v>
      </c>
      <c r="AL33" s="233" t="s">
        <v>164</v>
      </c>
      <c r="AM33" s="233" t="s">
        <v>164</v>
      </c>
      <c r="AN33" s="234">
        <v>0.02</v>
      </c>
      <c r="AO33" s="234">
        <v>0.021</v>
      </c>
    </row>
    <row r="34">
      <c r="A34" s="237" t="s">
        <v>131</v>
      </c>
      <c r="B34" s="233" t="s">
        <v>164</v>
      </c>
      <c r="C34" s="234">
        <v>0.001</v>
      </c>
      <c r="D34" s="233" t="s">
        <v>164</v>
      </c>
      <c r="E34" s="234">
        <v>0.049</v>
      </c>
      <c r="F34" s="233" t="s">
        <v>164</v>
      </c>
      <c r="G34" s="234">
        <v>0.013</v>
      </c>
      <c r="H34" s="234">
        <v>0.025</v>
      </c>
      <c r="I34" s="234">
        <v>0.014</v>
      </c>
      <c r="J34" s="234">
        <v>0.014</v>
      </c>
      <c r="K34" s="234">
        <v>0.005</v>
      </c>
      <c r="L34" s="234">
        <v>0.0</v>
      </c>
      <c r="M34" s="233" t="s">
        <v>164</v>
      </c>
      <c r="N34" s="233" t="s">
        <v>164</v>
      </c>
      <c r="O34" s="233" t="s">
        <v>164</v>
      </c>
      <c r="P34" s="234">
        <v>0.0</v>
      </c>
      <c r="Q34" s="234">
        <v>0.027</v>
      </c>
      <c r="R34" s="234">
        <v>0.017</v>
      </c>
      <c r="S34" s="234">
        <v>0.0</v>
      </c>
      <c r="T34" s="233" t="s">
        <v>164</v>
      </c>
      <c r="U34" s="234">
        <v>0.021</v>
      </c>
      <c r="V34" s="234">
        <v>0.0</v>
      </c>
      <c r="W34" s="234">
        <v>0.006</v>
      </c>
      <c r="X34" s="234">
        <v>0.011</v>
      </c>
      <c r="Y34" s="234">
        <v>0.026</v>
      </c>
      <c r="Z34" s="233" t="s">
        <v>164</v>
      </c>
      <c r="AA34" s="234">
        <v>0.025</v>
      </c>
      <c r="AB34" s="234">
        <v>0.02</v>
      </c>
      <c r="AC34" s="234">
        <v>0.028</v>
      </c>
      <c r="AD34" s="233" t="s">
        <v>164</v>
      </c>
      <c r="AE34" s="233" t="s">
        <v>164</v>
      </c>
      <c r="AF34" s="234">
        <v>0.002</v>
      </c>
      <c r="AG34" s="233" t="s">
        <v>164</v>
      </c>
      <c r="AH34" s="234">
        <v>0.023</v>
      </c>
      <c r="AI34" s="233" t="s">
        <v>164</v>
      </c>
      <c r="AJ34" s="234">
        <v>0.01</v>
      </c>
      <c r="AK34" s="233" t="s">
        <v>164</v>
      </c>
      <c r="AL34" s="234">
        <v>0.011</v>
      </c>
      <c r="AM34" s="233" t="s">
        <v>164</v>
      </c>
      <c r="AN34" s="234">
        <v>0.021</v>
      </c>
      <c r="AO34" s="234">
        <v>0.013</v>
      </c>
    </row>
    <row r="35">
      <c r="A35" s="237" t="s">
        <v>132</v>
      </c>
      <c r="B35" s="233" t="s">
        <v>164</v>
      </c>
      <c r="C35" s="233" t="s">
        <v>164</v>
      </c>
      <c r="D35" s="233" t="s">
        <v>164</v>
      </c>
      <c r="E35" s="233" t="s">
        <v>164</v>
      </c>
      <c r="F35" s="234">
        <v>0.0</v>
      </c>
      <c r="G35" s="233" t="s">
        <v>164</v>
      </c>
      <c r="H35" s="234">
        <v>0.022</v>
      </c>
      <c r="I35" s="234">
        <v>0.016</v>
      </c>
      <c r="J35" s="234">
        <v>0.0</v>
      </c>
      <c r="K35" s="234">
        <v>0.009</v>
      </c>
      <c r="L35" s="234">
        <v>0.0</v>
      </c>
      <c r="M35" s="233" t="s">
        <v>164</v>
      </c>
      <c r="N35" s="233" t="s">
        <v>164</v>
      </c>
      <c r="O35" s="234">
        <v>0.0</v>
      </c>
      <c r="P35" s="233" t="s">
        <v>164</v>
      </c>
      <c r="Q35" s="234">
        <v>0.023</v>
      </c>
      <c r="R35" s="234">
        <v>0.011</v>
      </c>
      <c r="S35" s="234">
        <v>0.0</v>
      </c>
      <c r="T35" s="233" t="s">
        <v>164</v>
      </c>
      <c r="U35" s="233" t="s">
        <v>164</v>
      </c>
      <c r="V35" s="234">
        <v>0.0</v>
      </c>
      <c r="W35" s="234">
        <v>0.005</v>
      </c>
      <c r="X35" s="234">
        <v>0.009</v>
      </c>
      <c r="Y35" s="234">
        <v>0.041</v>
      </c>
      <c r="Z35" s="233" t="s">
        <v>164</v>
      </c>
      <c r="AA35" s="234">
        <v>0.02</v>
      </c>
      <c r="AB35" s="233" t="s">
        <v>164</v>
      </c>
      <c r="AC35" s="234">
        <v>0.015</v>
      </c>
      <c r="AD35" s="234">
        <v>0.0</v>
      </c>
      <c r="AE35" s="233" t="s">
        <v>164</v>
      </c>
      <c r="AF35" s="234">
        <v>0.002</v>
      </c>
      <c r="AG35" s="234">
        <v>0.0</v>
      </c>
      <c r="AH35" s="234">
        <v>0.023</v>
      </c>
      <c r="AI35" s="233" t="s">
        <v>164</v>
      </c>
      <c r="AJ35" s="234">
        <v>0.017</v>
      </c>
      <c r="AK35" s="234">
        <v>0.0</v>
      </c>
      <c r="AL35" s="233" t="s">
        <v>164</v>
      </c>
      <c r="AM35" s="233" t="s">
        <v>164</v>
      </c>
      <c r="AN35" s="234">
        <v>0.011</v>
      </c>
      <c r="AO35" s="234">
        <v>0.01</v>
      </c>
    </row>
    <row r="36">
      <c r="A36" s="237" t="s">
        <v>133</v>
      </c>
      <c r="B36" s="234">
        <v>0.01</v>
      </c>
      <c r="C36" s="234">
        <v>0.001</v>
      </c>
      <c r="D36" s="234">
        <v>0.027</v>
      </c>
      <c r="E36" s="234">
        <v>0.049</v>
      </c>
      <c r="F36" s="233" t="s">
        <v>164</v>
      </c>
      <c r="G36" s="233" t="s">
        <v>164</v>
      </c>
      <c r="H36" s="234">
        <v>0.02</v>
      </c>
      <c r="I36" s="234">
        <v>0.041</v>
      </c>
      <c r="J36" s="233" t="s">
        <v>164</v>
      </c>
      <c r="K36" s="234">
        <v>0.015</v>
      </c>
      <c r="L36" s="234">
        <v>0.0</v>
      </c>
      <c r="M36" s="233" t="s">
        <v>164</v>
      </c>
      <c r="N36" s="234">
        <v>0.0</v>
      </c>
      <c r="O36" s="234">
        <v>0.0</v>
      </c>
      <c r="P36" s="234">
        <v>0.0</v>
      </c>
      <c r="Q36" s="234">
        <v>0.017</v>
      </c>
      <c r="R36" s="233" t="s">
        <v>164</v>
      </c>
      <c r="S36" s="234">
        <v>0.0</v>
      </c>
      <c r="T36" s="233" t="s">
        <v>164</v>
      </c>
      <c r="U36" s="234">
        <v>0.019</v>
      </c>
      <c r="V36" s="234">
        <v>0.0</v>
      </c>
      <c r="W36" s="234">
        <v>0.008</v>
      </c>
      <c r="X36" s="234">
        <v>0.011</v>
      </c>
      <c r="Y36" s="234">
        <v>0.019</v>
      </c>
      <c r="Z36" s="233" t="s">
        <v>164</v>
      </c>
      <c r="AA36" s="234">
        <v>0.035</v>
      </c>
      <c r="AB36" s="233" t="s">
        <v>164</v>
      </c>
      <c r="AC36" s="234">
        <v>0.015</v>
      </c>
      <c r="AD36" s="234">
        <v>0.0</v>
      </c>
      <c r="AE36" s="233" t="s">
        <v>164</v>
      </c>
      <c r="AF36" s="234">
        <v>0.002</v>
      </c>
      <c r="AG36" s="233" t="s">
        <v>164</v>
      </c>
      <c r="AH36" s="233" t="s">
        <v>164</v>
      </c>
      <c r="AI36" s="234">
        <v>0.0</v>
      </c>
      <c r="AJ36" s="234">
        <v>0.016</v>
      </c>
      <c r="AK36" s="233" t="s">
        <v>164</v>
      </c>
      <c r="AL36" s="234">
        <v>0.025</v>
      </c>
      <c r="AM36" s="234">
        <v>0.018</v>
      </c>
      <c r="AN36" s="234">
        <v>0.024</v>
      </c>
      <c r="AO36" s="234">
        <v>0.011</v>
      </c>
    </row>
    <row r="37">
      <c r="A37" s="237" t="s">
        <v>134</v>
      </c>
      <c r="B37" s="234">
        <v>0.009</v>
      </c>
      <c r="C37" s="234">
        <v>0.001</v>
      </c>
      <c r="D37" s="234">
        <v>0.032</v>
      </c>
      <c r="E37" s="234">
        <v>0.052</v>
      </c>
      <c r="F37" s="233" t="s">
        <v>164</v>
      </c>
      <c r="G37" s="234">
        <v>0.028</v>
      </c>
      <c r="H37" s="234">
        <v>0.022</v>
      </c>
      <c r="I37" s="234">
        <v>0.019</v>
      </c>
      <c r="J37" s="233" t="s">
        <v>164</v>
      </c>
      <c r="K37" s="234">
        <v>0.008</v>
      </c>
      <c r="L37" s="233" t="s">
        <v>164</v>
      </c>
      <c r="M37" s="234">
        <v>0.0</v>
      </c>
      <c r="N37" s="234">
        <v>0.0</v>
      </c>
      <c r="O37" s="233" t="s">
        <v>164</v>
      </c>
      <c r="P37" s="233" t="s">
        <v>164</v>
      </c>
      <c r="Q37" s="234">
        <v>0.031</v>
      </c>
      <c r="R37" s="234">
        <v>0.008</v>
      </c>
      <c r="S37" s="234">
        <v>0.0</v>
      </c>
      <c r="T37" s="234">
        <v>0.0</v>
      </c>
      <c r="U37" s="234">
        <v>0.088</v>
      </c>
      <c r="V37" s="234">
        <v>0.0</v>
      </c>
      <c r="W37" s="234">
        <v>0.011</v>
      </c>
      <c r="X37" s="234">
        <v>0.007</v>
      </c>
      <c r="Y37" s="234">
        <v>0.028</v>
      </c>
      <c r="Z37" s="234">
        <v>0.018</v>
      </c>
      <c r="AA37" s="234">
        <v>0.023</v>
      </c>
      <c r="AB37" s="233" t="s">
        <v>164</v>
      </c>
      <c r="AC37" s="234">
        <v>0.023</v>
      </c>
      <c r="AD37" s="233" t="s">
        <v>164</v>
      </c>
      <c r="AE37" s="233" t="s">
        <v>164</v>
      </c>
      <c r="AF37" s="234">
        <v>0.003</v>
      </c>
      <c r="AG37" s="234">
        <v>0.01</v>
      </c>
      <c r="AH37" s="234">
        <v>0.018</v>
      </c>
      <c r="AI37" s="233" t="s">
        <v>164</v>
      </c>
      <c r="AJ37" s="234">
        <v>0.02</v>
      </c>
      <c r="AK37" s="233" t="s">
        <v>164</v>
      </c>
      <c r="AL37" s="234">
        <v>0.017</v>
      </c>
      <c r="AM37" s="234">
        <v>0.023</v>
      </c>
      <c r="AN37" s="234">
        <v>0.017</v>
      </c>
      <c r="AO37" s="234">
        <v>0.015</v>
      </c>
    </row>
    <row r="38">
      <c r="A38" s="237" t="s">
        <v>135</v>
      </c>
      <c r="B38" s="233" t="s">
        <v>164</v>
      </c>
      <c r="C38" s="233" t="s">
        <v>164</v>
      </c>
      <c r="D38" s="234">
        <v>0.018</v>
      </c>
      <c r="E38" s="234">
        <v>0.067</v>
      </c>
      <c r="F38" s="233" t="s">
        <v>164</v>
      </c>
      <c r="G38" s="234">
        <v>0.007</v>
      </c>
      <c r="H38" s="234">
        <v>0.021</v>
      </c>
      <c r="I38" s="234">
        <v>0.014</v>
      </c>
      <c r="J38" s="233" t="s">
        <v>164</v>
      </c>
      <c r="K38" s="234">
        <v>0.006</v>
      </c>
      <c r="L38" s="233" t="s">
        <v>164</v>
      </c>
      <c r="M38" s="234">
        <v>0.0</v>
      </c>
      <c r="N38" s="233" t="s">
        <v>164</v>
      </c>
      <c r="O38" s="233" t="s">
        <v>164</v>
      </c>
      <c r="P38" s="233" t="s">
        <v>164</v>
      </c>
      <c r="Q38" s="234">
        <v>0.038</v>
      </c>
      <c r="R38" s="234">
        <v>0.021</v>
      </c>
      <c r="S38" s="234">
        <v>0.0</v>
      </c>
      <c r="T38" s="233" t="s">
        <v>164</v>
      </c>
      <c r="U38" s="234">
        <v>0.084</v>
      </c>
      <c r="V38" s="234">
        <v>0.0</v>
      </c>
      <c r="W38" s="233" t="s">
        <v>164</v>
      </c>
      <c r="X38" s="234">
        <v>0.006</v>
      </c>
      <c r="Y38" s="234">
        <v>0.025</v>
      </c>
      <c r="Z38" s="234">
        <v>0.022</v>
      </c>
      <c r="AA38" s="234">
        <v>0.04</v>
      </c>
      <c r="AB38" s="234">
        <v>0.0</v>
      </c>
      <c r="AC38" s="234">
        <v>0.018</v>
      </c>
      <c r="AD38" s="233" t="s">
        <v>164</v>
      </c>
      <c r="AE38" s="233" t="s">
        <v>164</v>
      </c>
      <c r="AF38" s="234">
        <v>0.003</v>
      </c>
      <c r="AG38" s="233" t="s">
        <v>164</v>
      </c>
      <c r="AH38" s="233" t="s">
        <v>164</v>
      </c>
      <c r="AI38" s="234">
        <v>0.025</v>
      </c>
      <c r="AJ38" s="234">
        <v>0.013</v>
      </c>
      <c r="AK38" s="233" t="s">
        <v>164</v>
      </c>
      <c r="AL38" s="234">
        <v>0.015</v>
      </c>
      <c r="AM38" s="234">
        <v>0.017</v>
      </c>
      <c r="AN38" s="234">
        <v>0.012</v>
      </c>
      <c r="AO38" s="234">
        <v>0.013</v>
      </c>
    </row>
    <row r="39">
      <c r="A39" s="237" t="s">
        <v>136</v>
      </c>
      <c r="B39" s="233" t="s">
        <v>164</v>
      </c>
      <c r="C39" s="234">
        <v>0.001</v>
      </c>
      <c r="D39" s="235">
        <v>0.01</v>
      </c>
      <c r="E39" s="234">
        <v>0.055</v>
      </c>
      <c r="F39" s="233" t="s">
        <v>164</v>
      </c>
      <c r="G39" s="234">
        <v>0.015</v>
      </c>
      <c r="H39" s="234">
        <v>0.031</v>
      </c>
      <c r="I39" s="234">
        <v>0.021</v>
      </c>
      <c r="J39" s="234">
        <v>0.014</v>
      </c>
      <c r="K39" s="234">
        <v>0.022</v>
      </c>
      <c r="L39" s="233" t="s">
        <v>164</v>
      </c>
      <c r="M39" s="233" t="s">
        <v>164</v>
      </c>
      <c r="N39" s="233" t="s">
        <v>164</v>
      </c>
      <c r="O39" s="233" t="s">
        <v>164</v>
      </c>
      <c r="P39" s="233" t="s">
        <v>164</v>
      </c>
      <c r="Q39" s="234">
        <v>0.031</v>
      </c>
      <c r="R39" s="234">
        <v>0.022</v>
      </c>
      <c r="S39" s="233" t="s">
        <v>164</v>
      </c>
      <c r="T39" s="233" t="s">
        <v>164</v>
      </c>
      <c r="U39" s="234">
        <v>0.097</v>
      </c>
      <c r="V39" s="234">
        <v>0.0</v>
      </c>
      <c r="W39" s="233" t="s">
        <v>164</v>
      </c>
      <c r="X39" s="234">
        <v>0.015</v>
      </c>
      <c r="Y39" s="234">
        <v>0.039</v>
      </c>
      <c r="Z39" s="234">
        <v>0.015</v>
      </c>
      <c r="AA39" s="234">
        <v>0.048</v>
      </c>
      <c r="AB39" s="234">
        <v>0.015</v>
      </c>
      <c r="AC39" s="234">
        <v>0.02</v>
      </c>
      <c r="AD39" s="233" t="s">
        <v>164</v>
      </c>
      <c r="AE39" s="233" t="s">
        <v>164</v>
      </c>
      <c r="AF39" s="234">
        <v>0.004</v>
      </c>
      <c r="AG39" s="234">
        <v>0.021</v>
      </c>
      <c r="AH39" s="233" t="s">
        <v>164</v>
      </c>
      <c r="AI39" s="234">
        <v>0.0</v>
      </c>
      <c r="AJ39" s="234">
        <v>0.021</v>
      </c>
      <c r="AK39" s="233" t="s">
        <v>164</v>
      </c>
      <c r="AL39" s="234">
        <v>0.022</v>
      </c>
      <c r="AM39" s="234">
        <v>0.025</v>
      </c>
      <c r="AN39" s="234">
        <v>0.027</v>
      </c>
      <c r="AO39" s="234">
        <v>0.018</v>
      </c>
    </row>
    <row r="40">
      <c r="A40" s="237" t="s">
        <v>137</v>
      </c>
      <c r="B40" s="234">
        <v>0.008</v>
      </c>
      <c r="C40" s="234">
        <v>0.002</v>
      </c>
      <c r="D40" s="234">
        <v>0.016</v>
      </c>
      <c r="E40" s="234">
        <v>0.081</v>
      </c>
      <c r="F40" s="233" t="s">
        <v>164</v>
      </c>
      <c r="G40" s="234">
        <v>0.02</v>
      </c>
      <c r="H40" s="234">
        <v>0.042</v>
      </c>
      <c r="I40" s="234">
        <v>0.025</v>
      </c>
      <c r="J40" s="234">
        <v>0.008</v>
      </c>
      <c r="K40" s="234">
        <v>0.023</v>
      </c>
      <c r="L40" s="234">
        <v>0.023</v>
      </c>
      <c r="M40" s="234">
        <v>0.037</v>
      </c>
      <c r="N40" s="233" t="s">
        <v>164</v>
      </c>
      <c r="O40" s="233" t="s">
        <v>164</v>
      </c>
      <c r="P40" s="234">
        <v>0.024</v>
      </c>
      <c r="Q40" s="234">
        <v>0.025</v>
      </c>
      <c r="R40" s="234">
        <v>0.026</v>
      </c>
      <c r="S40" s="233" t="s">
        <v>164</v>
      </c>
      <c r="T40" s="233" t="s">
        <v>164</v>
      </c>
      <c r="U40" s="234">
        <v>0.194</v>
      </c>
      <c r="V40" s="234">
        <v>0.0</v>
      </c>
      <c r="W40" s="234">
        <v>0.008</v>
      </c>
      <c r="X40" s="234">
        <v>0.023</v>
      </c>
      <c r="Y40" s="234">
        <v>0.045</v>
      </c>
      <c r="Z40" s="234">
        <v>0.021</v>
      </c>
      <c r="AA40" s="234">
        <v>0.05</v>
      </c>
      <c r="AB40" s="234">
        <v>0.01</v>
      </c>
      <c r="AC40" s="234">
        <v>0.019</v>
      </c>
      <c r="AD40" s="233" t="s">
        <v>164</v>
      </c>
      <c r="AE40" s="233" t="s">
        <v>164</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164</v>
      </c>
      <c r="G41" s="234">
        <v>0.026</v>
      </c>
      <c r="H41" s="234">
        <v>0.055</v>
      </c>
      <c r="I41" s="234">
        <v>0.037</v>
      </c>
      <c r="J41" s="234">
        <v>0.015</v>
      </c>
      <c r="K41" s="234">
        <v>0.031</v>
      </c>
      <c r="L41" s="233" t="s">
        <v>164</v>
      </c>
      <c r="M41" s="233" t="s">
        <v>164</v>
      </c>
      <c r="N41" s="233" t="s">
        <v>164</v>
      </c>
      <c r="O41" s="234">
        <v>0.0</v>
      </c>
      <c r="P41" s="233" t="s">
        <v>164</v>
      </c>
      <c r="Q41" s="234">
        <v>0.047</v>
      </c>
      <c r="R41" s="234">
        <v>0.029</v>
      </c>
      <c r="S41" s="233" t="s">
        <v>164</v>
      </c>
      <c r="T41" s="233" t="s">
        <v>164</v>
      </c>
      <c r="U41" s="234">
        <v>0.082</v>
      </c>
      <c r="V41" s="233" t="s">
        <v>164</v>
      </c>
      <c r="W41" s="234">
        <v>0.013</v>
      </c>
      <c r="X41" s="234">
        <v>0.015</v>
      </c>
      <c r="Y41" s="234">
        <v>0.056</v>
      </c>
      <c r="Z41" s="234">
        <v>0.038</v>
      </c>
      <c r="AA41" s="234">
        <v>0.069</v>
      </c>
      <c r="AB41" s="234">
        <v>0.024</v>
      </c>
      <c r="AC41" s="234">
        <v>0.026</v>
      </c>
      <c r="AD41" s="233" t="s">
        <v>164</v>
      </c>
      <c r="AE41" s="233" t="s">
        <v>164</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164</v>
      </c>
      <c r="M42" s="233" t="s">
        <v>164</v>
      </c>
      <c r="N42" s="234">
        <v>0.057</v>
      </c>
      <c r="O42" s="233" t="s">
        <v>164</v>
      </c>
      <c r="P42" s="234">
        <v>0.0</v>
      </c>
      <c r="Q42" s="234">
        <v>0.067</v>
      </c>
      <c r="R42" s="234">
        <v>0.047</v>
      </c>
      <c r="S42" s="233" t="s">
        <v>164</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164</v>
      </c>
      <c r="M43" s="234">
        <v>0.06</v>
      </c>
      <c r="N43" s="234">
        <v>0.051</v>
      </c>
      <c r="O43" s="235">
        <v>0.025</v>
      </c>
      <c r="P43" s="234">
        <v>0.028</v>
      </c>
      <c r="Q43" s="234">
        <v>0.089</v>
      </c>
      <c r="R43" s="234">
        <v>0.049</v>
      </c>
      <c r="S43" s="235">
        <v>0.035</v>
      </c>
      <c r="T43" s="234">
        <v>0.03</v>
      </c>
      <c r="U43" s="234">
        <v>0.037</v>
      </c>
      <c r="V43" s="233" t="s">
        <v>164</v>
      </c>
      <c r="W43" s="234">
        <v>0.017</v>
      </c>
      <c r="X43" s="234">
        <v>0.026</v>
      </c>
      <c r="Y43" s="234">
        <v>0.096</v>
      </c>
      <c r="Z43" s="234">
        <v>0.024</v>
      </c>
      <c r="AA43" s="234">
        <v>0.088</v>
      </c>
      <c r="AB43" s="234">
        <v>0.04</v>
      </c>
      <c r="AC43" s="234">
        <v>0.04</v>
      </c>
      <c r="AD43" s="233" t="s">
        <v>164</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164</v>
      </c>
      <c r="T44" s="234">
        <v>0.022</v>
      </c>
      <c r="U44" s="234">
        <v>0.059</v>
      </c>
      <c r="V44" s="233" t="s">
        <v>164</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164</v>
      </c>
      <c r="T45" s="234">
        <v>0.029</v>
      </c>
      <c r="U45" s="234">
        <v>0.082</v>
      </c>
      <c r="V45" s="233" t="s">
        <v>164</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164</v>
      </c>
      <c r="T46" s="234">
        <v>0.027</v>
      </c>
      <c r="U46" s="234">
        <v>0.068</v>
      </c>
      <c r="V46" s="233" t="s">
        <v>164</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164</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164</v>
      </c>
      <c r="T48" s="234">
        <v>0.072</v>
      </c>
      <c r="U48" s="234">
        <v>0.087</v>
      </c>
      <c r="V48" s="233" t="s">
        <v>164</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164</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164</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164</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326</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327</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329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331</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327</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164</v>
      </c>
      <c r="G9" s="122">
        <v>35.0</v>
      </c>
      <c r="H9" s="122">
        <v>54.0</v>
      </c>
      <c r="I9" s="122">
        <v>46.0</v>
      </c>
      <c r="J9" s="122">
        <v>0.0</v>
      </c>
      <c r="K9" s="122">
        <v>42.0</v>
      </c>
      <c r="L9" s="122" t="s">
        <v>164</v>
      </c>
      <c r="M9" s="122" t="s">
        <v>164</v>
      </c>
      <c r="N9" s="122" t="s">
        <v>164</v>
      </c>
      <c r="O9" s="122" t="s">
        <v>164</v>
      </c>
      <c r="P9" s="122" t="s">
        <v>164</v>
      </c>
      <c r="Q9" s="122">
        <v>27.0</v>
      </c>
      <c r="R9" s="122">
        <v>60.0</v>
      </c>
      <c r="S9" s="122" t="s">
        <v>164</v>
      </c>
      <c r="T9" s="122">
        <v>44.0</v>
      </c>
      <c r="U9" s="122" t="s">
        <v>164</v>
      </c>
      <c r="V9" s="122">
        <v>0.0</v>
      </c>
      <c r="W9" s="122">
        <v>32.0</v>
      </c>
      <c r="X9" s="122">
        <v>34.0</v>
      </c>
      <c r="Y9" s="122">
        <v>46.0</v>
      </c>
      <c r="Z9" s="122">
        <v>40.0</v>
      </c>
      <c r="AA9" s="122">
        <v>60.0</v>
      </c>
      <c r="AB9" s="122">
        <v>29.0</v>
      </c>
      <c r="AC9" s="122">
        <v>55.0</v>
      </c>
      <c r="AD9" s="122">
        <v>0.0</v>
      </c>
      <c r="AE9" s="122">
        <v>66.0</v>
      </c>
      <c r="AF9" s="122">
        <v>37.0</v>
      </c>
      <c r="AG9" s="122">
        <v>29.0</v>
      </c>
      <c r="AH9" s="122">
        <v>44.0</v>
      </c>
      <c r="AI9" s="122" t="s">
        <v>164</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164</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164</v>
      </c>
      <c r="G11" s="122">
        <v>156.0</v>
      </c>
      <c r="H11" s="122">
        <v>387.0</v>
      </c>
      <c r="I11" s="122">
        <v>156.0</v>
      </c>
      <c r="J11" s="122">
        <v>130.0</v>
      </c>
      <c r="K11" s="122">
        <v>291.0</v>
      </c>
      <c r="L11" s="122">
        <v>133.0</v>
      </c>
      <c r="M11" s="122">
        <v>192.0</v>
      </c>
      <c r="N11" s="122">
        <v>179.0</v>
      </c>
      <c r="O11" s="122">
        <v>62.0</v>
      </c>
      <c r="P11" s="122">
        <v>91.0</v>
      </c>
      <c r="Q11" s="122">
        <v>397.0</v>
      </c>
      <c r="R11" s="122">
        <v>263.0</v>
      </c>
      <c r="S11" s="122" t="s">
        <v>164</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164</v>
      </c>
      <c r="M12" s="122" t="s">
        <v>164</v>
      </c>
      <c r="N12" s="122" t="s">
        <v>164</v>
      </c>
      <c r="O12" s="122" t="s">
        <v>164</v>
      </c>
      <c r="P12" s="122" t="s">
        <v>164</v>
      </c>
      <c r="Q12" s="122">
        <v>147.0</v>
      </c>
      <c r="R12" s="122">
        <v>92.0</v>
      </c>
      <c r="S12" s="122">
        <v>0.0</v>
      </c>
      <c r="T12" s="122">
        <v>75.0</v>
      </c>
      <c r="U12" s="122" t="s">
        <v>164</v>
      </c>
      <c r="V12" s="122">
        <v>0.0</v>
      </c>
      <c r="W12" s="122">
        <v>117.0</v>
      </c>
      <c r="X12" s="122">
        <v>42.0</v>
      </c>
      <c r="Y12" s="122">
        <v>114.0</v>
      </c>
      <c r="Z12" s="122">
        <v>105.0</v>
      </c>
      <c r="AA12" s="122">
        <v>217.0</v>
      </c>
      <c r="AB12" s="122">
        <v>29.0</v>
      </c>
      <c r="AC12" s="122">
        <v>376.0</v>
      </c>
      <c r="AD12" s="122" t="s">
        <v>164</v>
      </c>
      <c r="AE12" s="122">
        <v>57.0</v>
      </c>
      <c r="AF12" s="122">
        <v>55.0</v>
      </c>
      <c r="AG12" s="122" t="s">
        <v>164</v>
      </c>
      <c r="AH12" s="122">
        <v>32.0</v>
      </c>
      <c r="AI12" s="122">
        <v>67.0</v>
      </c>
      <c r="AJ12" s="122">
        <v>60.0</v>
      </c>
      <c r="AK12" s="122" t="s">
        <v>164</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164</v>
      </c>
      <c r="M13" s="122" t="s">
        <v>164</v>
      </c>
      <c r="N13" s="122">
        <v>50.0</v>
      </c>
      <c r="O13" s="122">
        <v>62.0</v>
      </c>
      <c r="P13" s="122">
        <v>109.0</v>
      </c>
      <c r="Q13" s="122">
        <v>181.0</v>
      </c>
      <c r="R13" s="122">
        <v>129.0</v>
      </c>
      <c r="S13" s="122" t="s">
        <v>164</v>
      </c>
      <c r="T13" s="122">
        <v>131.0</v>
      </c>
      <c r="U13" s="122">
        <v>51.0</v>
      </c>
      <c r="V13" s="122" t="s">
        <v>164</v>
      </c>
      <c r="W13" s="122">
        <v>129.0</v>
      </c>
      <c r="X13" s="122">
        <v>42.0</v>
      </c>
      <c r="Y13" s="122">
        <v>320.0</v>
      </c>
      <c r="Z13" s="122">
        <v>170.0</v>
      </c>
      <c r="AA13" s="122">
        <v>379.0</v>
      </c>
      <c r="AB13" s="122">
        <v>57.0</v>
      </c>
      <c r="AC13" s="122">
        <v>343.0</v>
      </c>
      <c r="AD13" s="122" t="s">
        <v>164</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164</v>
      </c>
      <c r="C14" s="122">
        <v>148.0</v>
      </c>
      <c r="D14" s="122">
        <v>67.0</v>
      </c>
      <c r="E14" s="122">
        <v>686.0</v>
      </c>
      <c r="F14" s="122" t="s">
        <v>164</v>
      </c>
      <c r="G14" s="122">
        <v>98.0</v>
      </c>
      <c r="H14" s="122">
        <v>291.0</v>
      </c>
      <c r="I14" s="122">
        <v>173.0</v>
      </c>
      <c r="J14" s="122">
        <v>184.0</v>
      </c>
      <c r="K14" s="122">
        <v>116.0</v>
      </c>
      <c r="L14" s="122">
        <v>118.0</v>
      </c>
      <c r="M14" s="122">
        <v>149.0</v>
      </c>
      <c r="N14" s="122">
        <v>129.0</v>
      </c>
      <c r="O14" s="122" t="s">
        <v>164</v>
      </c>
      <c r="P14" s="122" t="s">
        <v>164</v>
      </c>
      <c r="Q14" s="122">
        <v>243.0</v>
      </c>
      <c r="R14" s="122">
        <v>171.0</v>
      </c>
      <c r="S14" s="122">
        <v>0.0</v>
      </c>
      <c r="T14" s="122">
        <v>68.0</v>
      </c>
      <c r="U14" s="122">
        <v>219.0</v>
      </c>
      <c r="V14" s="122" t="s">
        <v>164</v>
      </c>
      <c r="W14" s="122">
        <v>85.0</v>
      </c>
      <c r="X14" s="122">
        <v>183.0</v>
      </c>
      <c r="Y14" s="122">
        <v>277.0</v>
      </c>
      <c r="Z14" s="122">
        <v>65.0</v>
      </c>
      <c r="AA14" s="122">
        <v>360.0</v>
      </c>
      <c r="AB14" s="122">
        <v>69.0</v>
      </c>
      <c r="AC14" s="122">
        <v>511.0</v>
      </c>
      <c r="AD14" s="122" t="s">
        <v>164</v>
      </c>
      <c r="AE14" s="122">
        <v>104.0</v>
      </c>
      <c r="AF14" s="122">
        <v>166.0</v>
      </c>
      <c r="AG14" s="122">
        <v>98.0</v>
      </c>
      <c r="AH14" s="122">
        <v>89.0</v>
      </c>
      <c r="AI14" s="122" t="s">
        <v>164</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164</v>
      </c>
      <c r="M15" s="122" t="s">
        <v>164</v>
      </c>
      <c r="N15" s="122" t="s">
        <v>164</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164</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164</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164</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333</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334</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335</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6"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164</v>
      </c>
      <c r="C9" s="122" t="s">
        <v>164</v>
      </c>
      <c r="D9" s="122" t="s">
        <v>164</v>
      </c>
      <c r="E9" s="122" t="s">
        <v>164</v>
      </c>
      <c r="F9" s="122">
        <v>0.0</v>
      </c>
      <c r="G9" s="122" t="s">
        <v>164</v>
      </c>
      <c r="H9" s="122">
        <v>17.0</v>
      </c>
      <c r="I9" s="122" t="s">
        <v>164</v>
      </c>
      <c r="J9" s="122">
        <v>0.0</v>
      </c>
      <c r="K9" s="122">
        <v>13.0</v>
      </c>
      <c r="L9" s="122">
        <v>0.0</v>
      </c>
      <c r="M9" s="122">
        <v>0.0</v>
      </c>
      <c r="N9" s="122">
        <v>0.0</v>
      </c>
      <c r="O9" s="122">
        <v>0.0</v>
      </c>
      <c r="P9" s="122" t="s">
        <v>164</v>
      </c>
      <c r="Q9" s="122" t="s">
        <v>164</v>
      </c>
      <c r="R9" s="122" t="s">
        <v>164</v>
      </c>
      <c r="S9" s="122">
        <v>0.0</v>
      </c>
      <c r="T9" s="122" t="s">
        <v>164</v>
      </c>
      <c r="U9" s="122">
        <v>0.0</v>
      </c>
      <c r="V9" s="122">
        <v>0.0</v>
      </c>
      <c r="W9" s="122" t="s">
        <v>164</v>
      </c>
      <c r="X9" s="122" t="s">
        <v>164</v>
      </c>
      <c r="Y9" s="122">
        <v>15.0</v>
      </c>
      <c r="Z9" s="122" t="s">
        <v>164</v>
      </c>
      <c r="AA9" s="122">
        <v>15.0</v>
      </c>
      <c r="AB9" s="122" t="s">
        <v>164</v>
      </c>
      <c r="AC9" s="122">
        <v>18.0</v>
      </c>
      <c r="AD9" s="122">
        <v>0.0</v>
      </c>
      <c r="AE9" s="122">
        <v>0.0</v>
      </c>
      <c r="AF9" s="122" t="s">
        <v>164</v>
      </c>
      <c r="AG9" s="122" t="s">
        <v>164</v>
      </c>
      <c r="AH9" s="122">
        <v>0.0</v>
      </c>
      <c r="AI9" s="122">
        <v>0.0</v>
      </c>
      <c r="AJ9" s="122" t="s">
        <v>164</v>
      </c>
      <c r="AK9" s="122">
        <v>0.0</v>
      </c>
      <c r="AL9" s="122" t="s">
        <v>164</v>
      </c>
      <c r="AM9" s="122" t="s">
        <v>164</v>
      </c>
      <c r="AN9" s="122" t="s">
        <v>164</v>
      </c>
      <c r="AO9" s="122">
        <v>11.0</v>
      </c>
    </row>
    <row r="10">
      <c r="A10" s="240">
        <v>43922.0</v>
      </c>
      <c r="B10" s="122">
        <v>0.0</v>
      </c>
      <c r="C10" s="122">
        <v>27.0</v>
      </c>
      <c r="D10" s="122" t="s">
        <v>164</v>
      </c>
      <c r="E10" s="122">
        <v>201.0</v>
      </c>
      <c r="F10" s="122">
        <v>0.0</v>
      </c>
      <c r="G10" s="122" t="s">
        <v>164</v>
      </c>
      <c r="H10" s="122">
        <v>50.0</v>
      </c>
      <c r="I10" s="122">
        <v>35.0</v>
      </c>
      <c r="J10" s="122">
        <v>0.0</v>
      </c>
      <c r="K10" s="122">
        <v>34.0</v>
      </c>
      <c r="L10" s="122">
        <v>0.0</v>
      </c>
      <c r="M10" s="122">
        <v>0.0</v>
      </c>
      <c r="N10" s="122">
        <v>0.0</v>
      </c>
      <c r="O10" s="122" t="s">
        <v>164</v>
      </c>
      <c r="P10" s="122" t="s">
        <v>164</v>
      </c>
      <c r="Q10" s="122">
        <v>51.0</v>
      </c>
      <c r="R10" s="122">
        <v>28.0</v>
      </c>
      <c r="S10" s="122">
        <v>0.0</v>
      </c>
      <c r="T10" s="122" t="s">
        <v>164</v>
      </c>
      <c r="U10" s="122" t="s">
        <v>164</v>
      </c>
      <c r="V10" s="122">
        <v>0.0</v>
      </c>
      <c r="W10" s="122">
        <v>0.0</v>
      </c>
      <c r="X10" s="122" t="s">
        <v>164</v>
      </c>
      <c r="Y10" s="122">
        <v>99.0</v>
      </c>
      <c r="Z10" s="122" t="s">
        <v>164</v>
      </c>
      <c r="AA10" s="122">
        <v>84.0</v>
      </c>
      <c r="AB10" s="122">
        <v>0.0</v>
      </c>
      <c r="AC10" s="122">
        <v>157.0</v>
      </c>
      <c r="AD10" s="122" t="s">
        <v>164</v>
      </c>
      <c r="AE10" s="122">
        <v>0.0</v>
      </c>
      <c r="AF10" s="122">
        <v>28.0</v>
      </c>
      <c r="AG10" s="122">
        <v>23.0</v>
      </c>
      <c r="AH10" s="122">
        <v>0.0</v>
      </c>
      <c r="AI10" s="122" t="s">
        <v>164</v>
      </c>
      <c r="AJ10" s="122">
        <v>26.0</v>
      </c>
      <c r="AK10" s="122">
        <v>0.0</v>
      </c>
      <c r="AL10" s="122" t="s">
        <v>164</v>
      </c>
      <c r="AM10" s="122" t="s">
        <v>164</v>
      </c>
      <c r="AN10" s="122">
        <v>48.0</v>
      </c>
      <c r="AO10" s="122">
        <v>59.0</v>
      </c>
    </row>
    <row r="11">
      <c r="A11" s="240">
        <v>43952.0</v>
      </c>
      <c r="B11" s="122" t="s">
        <v>164</v>
      </c>
      <c r="C11" s="122" t="s">
        <v>164</v>
      </c>
      <c r="D11" s="122" t="s">
        <v>164</v>
      </c>
      <c r="E11" s="122">
        <v>196.0</v>
      </c>
      <c r="F11" s="122">
        <v>0.0</v>
      </c>
      <c r="G11" s="122" t="s">
        <v>164</v>
      </c>
      <c r="H11" s="122">
        <v>37.0</v>
      </c>
      <c r="I11" s="122">
        <v>20.0</v>
      </c>
      <c r="J11" s="122">
        <v>0.0</v>
      </c>
      <c r="K11" s="122">
        <v>11.0</v>
      </c>
      <c r="L11" s="122" t="s">
        <v>164</v>
      </c>
      <c r="M11" s="122" t="s">
        <v>164</v>
      </c>
      <c r="N11" s="122" t="s">
        <v>164</v>
      </c>
      <c r="O11" s="122">
        <v>0.0</v>
      </c>
      <c r="P11" s="122" t="s">
        <v>164</v>
      </c>
      <c r="Q11" s="122">
        <v>58.0</v>
      </c>
      <c r="R11" s="122">
        <v>23.0</v>
      </c>
      <c r="S11" s="122">
        <v>0.0</v>
      </c>
      <c r="T11" s="122" t="s">
        <v>164</v>
      </c>
      <c r="U11" s="122" t="s">
        <v>164</v>
      </c>
      <c r="V11" s="122">
        <v>0.0</v>
      </c>
      <c r="W11" s="122" t="s">
        <v>164</v>
      </c>
      <c r="X11" s="122" t="s">
        <v>164</v>
      </c>
      <c r="Y11" s="122">
        <v>59.0</v>
      </c>
      <c r="Z11" s="122">
        <v>49.0</v>
      </c>
      <c r="AA11" s="122">
        <v>61.0</v>
      </c>
      <c r="AB11" s="122">
        <v>0.0</v>
      </c>
      <c r="AC11" s="122">
        <v>97.0</v>
      </c>
      <c r="AD11" s="122" t="s">
        <v>164</v>
      </c>
      <c r="AE11" s="122">
        <v>0.0</v>
      </c>
      <c r="AF11" s="122" t="s">
        <v>164</v>
      </c>
      <c r="AG11" s="122">
        <v>20.0</v>
      </c>
      <c r="AH11" s="122" t="s">
        <v>164</v>
      </c>
      <c r="AI11" s="122" t="s">
        <v>164</v>
      </c>
      <c r="AJ11" s="122">
        <v>20.0</v>
      </c>
      <c r="AK11" s="122">
        <v>0.0</v>
      </c>
      <c r="AL11" s="122">
        <v>24.0</v>
      </c>
      <c r="AM11" s="122">
        <v>0.0</v>
      </c>
      <c r="AN11" s="122">
        <v>51.0</v>
      </c>
      <c r="AO11" s="122">
        <v>43.0</v>
      </c>
    </row>
    <row r="12">
      <c r="A12" s="240">
        <v>43983.0</v>
      </c>
      <c r="B12" s="122">
        <v>0.0</v>
      </c>
      <c r="C12" s="122" t="s">
        <v>164</v>
      </c>
      <c r="D12" s="122">
        <v>0.0</v>
      </c>
      <c r="E12" s="122">
        <v>57.0</v>
      </c>
      <c r="F12" s="122" t="s">
        <v>164</v>
      </c>
      <c r="G12" s="122">
        <v>0.0</v>
      </c>
      <c r="H12" s="122">
        <v>12.0</v>
      </c>
      <c r="I12" s="122" t="s">
        <v>164</v>
      </c>
      <c r="J12" s="122" t="s">
        <v>164</v>
      </c>
      <c r="K12" s="122">
        <v>11.0</v>
      </c>
      <c r="L12" s="122">
        <v>0.0</v>
      </c>
      <c r="M12" s="122">
        <v>0.0</v>
      </c>
      <c r="N12" s="122">
        <v>0.0</v>
      </c>
      <c r="O12" s="122">
        <v>0.0</v>
      </c>
      <c r="P12" s="122">
        <v>0.0</v>
      </c>
      <c r="Q12" s="122" t="s">
        <v>164</v>
      </c>
      <c r="R12" s="122" t="s">
        <v>164</v>
      </c>
      <c r="S12" s="122">
        <v>0.0</v>
      </c>
      <c r="T12" s="122">
        <v>0.0</v>
      </c>
      <c r="U12" s="122">
        <v>0.0</v>
      </c>
      <c r="V12" s="122">
        <v>0.0</v>
      </c>
      <c r="W12" s="122">
        <v>24.0</v>
      </c>
      <c r="X12" s="122">
        <v>0.0</v>
      </c>
      <c r="Y12" s="122" t="s">
        <v>164</v>
      </c>
      <c r="Z12" s="122" t="s">
        <v>164</v>
      </c>
      <c r="AA12" s="122">
        <v>25.0</v>
      </c>
      <c r="AB12" s="122">
        <v>0.0</v>
      </c>
      <c r="AC12" s="122">
        <v>47.0</v>
      </c>
      <c r="AD12" s="122">
        <v>0.0</v>
      </c>
      <c r="AE12" s="122">
        <v>0.0</v>
      </c>
      <c r="AF12" s="122" t="s">
        <v>164</v>
      </c>
      <c r="AG12" s="122">
        <v>0.0</v>
      </c>
      <c r="AH12" s="122">
        <v>0.0</v>
      </c>
      <c r="AI12" s="122" t="s">
        <v>164</v>
      </c>
      <c r="AJ12" s="122">
        <v>7.0</v>
      </c>
      <c r="AK12" s="122">
        <v>0.0</v>
      </c>
      <c r="AL12" s="122">
        <v>17.0</v>
      </c>
      <c r="AM12" s="122" t="s">
        <v>164</v>
      </c>
      <c r="AN12" s="122">
        <v>36.0</v>
      </c>
      <c r="AO12" s="122">
        <v>18.0</v>
      </c>
    </row>
    <row r="13">
      <c r="A13" s="240">
        <v>44013.0</v>
      </c>
      <c r="B13" s="122" t="s">
        <v>164</v>
      </c>
      <c r="C13" s="122">
        <v>0.0</v>
      </c>
      <c r="D13" s="122" t="s">
        <v>164</v>
      </c>
      <c r="E13" s="122" t="s">
        <v>164</v>
      </c>
      <c r="F13" s="122" t="s">
        <v>164</v>
      </c>
      <c r="G13" s="122" t="s">
        <v>164</v>
      </c>
      <c r="H13" s="122">
        <v>17.0</v>
      </c>
      <c r="I13" s="122" t="s">
        <v>164</v>
      </c>
      <c r="J13" s="122" t="s">
        <v>164</v>
      </c>
      <c r="K13" s="122">
        <v>13.0</v>
      </c>
      <c r="L13" s="122">
        <v>0.0</v>
      </c>
      <c r="M13" s="122">
        <v>0.0</v>
      </c>
      <c r="N13" s="122">
        <v>0.0</v>
      </c>
      <c r="O13" s="122">
        <v>0.0</v>
      </c>
      <c r="P13" s="122">
        <v>0.0</v>
      </c>
      <c r="Q13" s="122">
        <v>0.0</v>
      </c>
      <c r="R13" s="122" t="s">
        <v>164</v>
      </c>
      <c r="S13" s="122">
        <v>0.0</v>
      </c>
      <c r="T13" s="122" t="s">
        <v>164</v>
      </c>
      <c r="U13" s="122" t="s">
        <v>164</v>
      </c>
      <c r="V13" s="122">
        <v>0.0</v>
      </c>
      <c r="W13" s="122" t="s">
        <v>164</v>
      </c>
      <c r="X13" s="122" t="s">
        <v>164</v>
      </c>
      <c r="Y13" s="122" t="s">
        <v>164</v>
      </c>
      <c r="Z13" s="122" t="s">
        <v>164</v>
      </c>
      <c r="AA13" s="122">
        <v>20.0</v>
      </c>
      <c r="AB13" s="122">
        <v>0.0</v>
      </c>
      <c r="AC13" s="122">
        <v>33.0</v>
      </c>
      <c r="AD13" s="122">
        <v>0.0</v>
      </c>
      <c r="AE13" s="122">
        <v>0.0</v>
      </c>
      <c r="AF13" s="122">
        <v>32.0</v>
      </c>
      <c r="AG13" s="122">
        <v>0.0</v>
      </c>
      <c r="AH13" s="122">
        <v>0.0</v>
      </c>
      <c r="AI13" s="122">
        <v>0.0</v>
      </c>
      <c r="AJ13" s="122">
        <v>14.0</v>
      </c>
      <c r="AK13" s="122">
        <v>0.0</v>
      </c>
      <c r="AL13" s="122">
        <v>35.0</v>
      </c>
      <c r="AM13" s="122" t="s">
        <v>164</v>
      </c>
      <c r="AN13" s="122">
        <v>43.0</v>
      </c>
      <c r="AO13" s="122">
        <v>16.0</v>
      </c>
    </row>
    <row r="14">
      <c r="A14" s="240">
        <v>44044.0</v>
      </c>
      <c r="B14" s="122">
        <v>0.0</v>
      </c>
      <c r="C14" s="122" t="s">
        <v>164</v>
      </c>
      <c r="D14" s="122" t="s">
        <v>164</v>
      </c>
      <c r="E14" s="122">
        <v>57.0</v>
      </c>
      <c r="F14" s="122">
        <v>0.0</v>
      </c>
      <c r="G14" s="122" t="s">
        <v>164</v>
      </c>
      <c r="H14" s="122">
        <v>21.0</v>
      </c>
      <c r="I14" s="122" t="s">
        <v>164</v>
      </c>
      <c r="J14" s="122" t="s">
        <v>164</v>
      </c>
      <c r="K14" s="122" t="s">
        <v>164</v>
      </c>
      <c r="L14" s="122" t="s">
        <v>164</v>
      </c>
      <c r="M14" s="122">
        <v>0.0</v>
      </c>
      <c r="N14" s="122">
        <v>0.0</v>
      </c>
      <c r="O14" s="122">
        <v>0.0</v>
      </c>
      <c r="P14" s="122">
        <v>0.0</v>
      </c>
      <c r="Q14" s="122" t="s">
        <v>164</v>
      </c>
      <c r="R14" s="122" t="s">
        <v>164</v>
      </c>
      <c r="S14" s="122">
        <v>0.0</v>
      </c>
      <c r="T14" s="122">
        <v>0.0</v>
      </c>
      <c r="U14" s="122" t="s">
        <v>164</v>
      </c>
      <c r="V14" s="122">
        <v>0.0</v>
      </c>
      <c r="W14" s="122" t="s">
        <v>164</v>
      </c>
      <c r="X14" s="122" t="s">
        <v>164</v>
      </c>
      <c r="Y14" s="122">
        <v>40.0</v>
      </c>
      <c r="Z14" s="122">
        <v>0.0</v>
      </c>
      <c r="AA14" s="122">
        <v>31.0</v>
      </c>
      <c r="AB14" s="122">
        <v>0.0</v>
      </c>
      <c r="AC14" s="122">
        <v>53.0</v>
      </c>
      <c r="AD14" s="122">
        <v>0.0</v>
      </c>
      <c r="AE14" s="122">
        <v>0.0</v>
      </c>
      <c r="AF14" s="122" t="s">
        <v>164</v>
      </c>
      <c r="AG14" s="122" t="s">
        <v>164</v>
      </c>
      <c r="AH14" s="122" t="s">
        <v>164</v>
      </c>
      <c r="AI14" s="122" t="s">
        <v>164</v>
      </c>
      <c r="AJ14" s="122">
        <v>16.0</v>
      </c>
      <c r="AK14" s="122">
        <v>0.0</v>
      </c>
      <c r="AL14" s="122">
        <v>17.0</v>
      </c>
      <c r="AM14" s="122" t="s">
        <v>164</v>
      </c>
      <c r="AN14" s="122">
        <v>24.0</v>
      </c>
      <c r="AO14" s="122">
        <v>21.0</v>
      </c>
    </row>
    <row r="15">
      <c r="A15" s="240">
        <v>44075.0</v>
      </c>
      <c r="B15" s="122">
        <v>0.0</v>
      </c>
      <c r="C15" s="122">
        <v>0.0</v>
      </c>
      <c r="D15" s="122" t="s">
        <v>164</v>
      </c>
      <c r="E15" s="122" t="s">
        <v>164</v>
      </c>
      <c r="F15" s="122" t="s">
        <v>164</v>
      </c>
      <c r="G15" s="122" t="s">
        <v>164</v>
      </c>
      <c r="H15" s="122">
        <v>18.0</v>
      </c>
      <c r="I15" s="122">
        <v>20.0</v>
      </c>
      <c r="J15" s="122" t="s">
        <v>164</v>
      </c>
      <c r="K15" s="122" t="s">
        <v>164</v>
      </c>
      <c r="L15" s="122">
        <v>0.0</v>
      </c>
      <c r="M15" s="122">
        <v>0.0</v>
      </c>
      <c r="N15" s="122" t="s">
        <v>164</v>
      </c>
      <c r="O15" s="122">
        <v>0.0</v>
      </c>
      <c r="P15" s="122">
        <v>0.0</v>
      </c>
      <c r="Q15" s="122">
        <v>48.0</v>
      </c>
      <c r="R15" s="122" t="s">
        <v>164</v>
      </c>
      <c r="S15" s="122">
        <v>0.0</v>
      </c>
      <c r="T15" s="122">
        <v>0.0</v>
      </c>
      <c r="U15" s="122" t="s">
        <v>164</v>
      </c>
      <c r="V15" s="122">
        <v>0.0</v>
      </c>
      <c r="W15" s="122" t="s">
        <v>164</v>
      </c>
      <c r="X15" s="122" t="s">
        <v>164</v>
      </c>
      <c r="Y15" s="122">
        <v>18.0</v>
      </c>
      <c r="Z15" s="122" t="s">
        <v>164</v>
      </c>
      <c r="AA15" s="122">
        <v>22.0</v>
      </c>
      <c r="AB15" s="122">
        <v>0.0</v>
      </c>
      <c r="AC15" s="122">
        <v>28.0</v>
      </c>
      <c r="AD15" s="122" t="s">
        <v>164</v>
      </c>
      <c r="AE15" s="122" t="s">
        <v>164</v>
      </c>
      <c r="AF15" s="122" t="s">
        <v>164</v>
      </c>
      <c r="AG15" s="122" t="s">
        <v>164</v>
      </c>
      <c r="AH15" s="122">
        <v>0.0</v>
      </c>
      <c r="AI15" s="122">
        <v>0.0</v>
      </c>
      <c r="AJ15" s="122">
        <v>7.0</v>
      </c>
      <c r="AK15" s="122">
        <v>0.0</v>
      </c>
      <c r="AL15" s="122" t="s">
        <v>164</v>
      </c>
      <c r="AM15" s="122" t="s">
        <v>164</v>
      </c>
      <c r="AN15" s="122">
        <v>17.0</v>
      </c>
      <c r="AO15" s="122">
        <v>15.0</v>
      </c>
    </row>
    <row r="16">
      <c r="A16" s="240">
        <v>44105.0</v>
      </c>
      <c r="B16" s="122" t="s">
        <v>164</v>
      </c>
      <c r="C16" s="122" t="s">
        <v>164</v>
      </c>
      <c r="D16" s="122" t="s">
        <v>164</v>
      </c>
      <c r="E16" s="122">
        <v>93.0</v>
      </c>
      <c r="F16" s="122" t="s">
        <v>164</v>
      </c>
      <c r="G16" s="122">
        <v>38.0</v>
      </c>
      <c r="H16" s="122">
        <v>52.0</v>
      </c>
      <c r="I16" s="122">
        <v>40.0</v>
      </c>
      <c r="J16" s="122">
        <v>38.0</v>
      </c>
      <c r="K16" s="122">
        <v>38.0</v>
      </c>
      <c r="L16" s="122" t="s">
        <v>164</v>
      </c>
      <c r="M16" s="122">
        <v>0.0</v>
      </c>
      <c r="N16" s="122">
        <v>50.0</v>
      </c>
      <c r="O16" s="122" t="s">
        <v>164</v>
      </c>
      <c r="P16" s="122">
        <v>0.0</v>
      </c>
      <c r="Q16" s="122">
        <v>55.0</v>
      </c>
      <c r="R16" s="122">
        <v>28.0</v>
      </c>
      <c r="S16" s="122">
        <v>0.0</v>
      </c>
      <c r="T16" s="122" t="s">
        <v>164</v>
      </c>
      <c r="U16" s="122" t="s">
        <v>164</v>
      </c>
      <c r="V16" s="122">
        <v>0.0</v>
      </c>
      <c r="W16" s="122" t="s">
        <v>164</v>
      </c>
      <c r="X16" s="122">
        <v>23.0</v>
      </c>
      <c r="Y16" s="122">
        <v>55.0</v>
      </c>
      <c r="Z16" s="122" t="s">
        <v>164</v>
      </c>
      <c r="AA16" s="122">
        <v>68.0</v>
      </c>
      <c r="AB16" s="122" t="s">
        <v>164</v>
      </c>
      <c r="AC16" s="122">
        <v>82.0</v>
      </c>
      <c r="AD16" s="122" t="s">
        <v>164</v>
      </c>
      <c r="AE16" s="122" t="s">
        <v>164</v>
      </c>
      <c r="AF16" s="122" t="s">
        <v>164</v>
      </c>
      <c r="AG16" s="122" t="s">
        <v>164</v>
      </c>
      <c r="AH16" s="122">
        <v>0.0</v>
      </c>
      <c r="AI16" s="122" t="s">
        <v>164</v>
      </c>
      <c r="AJ16" s="122">
        <v>36.0</v>
      </c>
      <c r="AK16" s="122" t="s">
        <v>164</v>
      </c>
      <c r="AL16" s="122">
        <v>31.0</v>
      </c>
      <c r="AM16" s="122">
        <v>0.0</v>
      </c>
      <c r="AN16" s="122">
        <v>41.0</v>
      </c>
      <c r="AO16" s="122">
        <v>44.0</v>
      </c>
    </row>
    <row r="17">
      <c r="A17" s="240">
        <v>44136.0</v>
      </c>
      <c r="B17" s="122">
        <v>62.0</v>
      </c>
      <c r="C17" s="122">
        <v>67.0</v>
      </c>
      <c r="D17" s="122">
        <v>103.0</v>
      </c>
      <c r="E17" s="122">
        <v>93.0</v>
      </c>
      <c r="F17" s="122" t="s">
        <v>164</v>
      </c>
      <c r="G17" s="122">
        <v>84.0</v>
      </c>
      <c r="H17" s="122">
        <v>147.0</v>
      </c>
      <c r="I17" s="122">
        <v>87.0</v>
      </c>
      <c r="J17" s="122">
        <v>46.0</v>
      </c>
      <c r="K17" s="122">
        <v>114.0</v>
      </c>
      <c r="L17" s="122" t="s">
        <v>164</v>
      </c>
      <c r="M17" s="122" t="s">
        <v>164</v>
      </c>
      <c r="N17" s="122">
        <v>70.0</v>
      </c>
      <c r="O17" s="122">
        <v>74.0</v>
      </c>
      <c r="P17" s="122" t="s">
        <v>164</v>
      </c>
      <c r="Q17" s="122">
        <v>130.0</v>
      </c>
      <c r="R17" s="122">
        <v>162.0</v>
      </c>
      <c r="S17" s="122">
        <v>0.0</v>
      </c>
      <c r="T17" s="122">
        <v>31.0</v>
      </c>
      <c r="U17" s="122">
        <v>77.0</v>
      </c>
      <c r="V17" s="122">
        <v>0.0</v>
      </c>
      <c r="W17" s="122">
        <v>44.0</v>
      </c>
      <c r="X17" s="122">
        <v>80.0</v>
      </c>
      <c r="Y17" s="122">
        <v>126.0</v>
      </c>
      <c r="Z17" s="122">
        <v>97.0</v>
      </c>
      <c r="AA17" s="122">
        <v>151.0</v>
      </c>
      <c r="AB17" s="122" t="s">
        <v>164</v>
      </c>
      <c r="AC17" s="122">
        <v>162.0</v>
      </c>
      <c r="AD17" s="122" t="s">
        <v>164</v>
      </c>
      <c r="AE17" s="122">
        <v>75.0</v>
      </c>
      <c r="AF17" s="122">
        <v>65.0</v>
      </c>
      <c r="AG17" s="122">
        <v>33.0</v>
      </c>
      <c r="AH17" s="122" t="s">
        <v>164</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164</v>
      </c>
      <c r="N18" s="122">
        <v>50.0</v>
      </c>
      <c r="O18" s="122">
        <v>86.0</v>
      </c>
      <c r="P18" s="122" t="s">
        <v>164</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164</v>
      </c>
      <c r="AE18" s="122">
        <v>85.0</v>
      </c>
      <c r="AF18" s="122">
        <v>139.0</v>
      </c>
      <c r="AG18" s="122">
        <v>20.0</v>
      </c>
      <c r="AH18" s="122">
        <v>32.0</v>
      </c>
      <c r="AI18" s="122">
        <v>105.0</v>
      </c>
      <c r="AJ18" s="122">
        <v>152.0</v>
      </c>
      <c r="AK18" s="122" t="s">
        <v>164</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164</v>
      </c>
      <c r="Q19" s="122">
        <v>161.0</v>
      </c>
      <c r="R19" s="122">
        <v>97.0</v>
      </c>
      <c r="S19" s="122" t="s">
        <v>164</v>
      </c>
      <c r="T19" s="122">
        <v>100.0</v>
      </c>
      <c r="U19" s="122">
        <v>71.0</v>
      </c>
      <c r="V19" s="122">
        <v>0.0</v>
      </c>
      <c r="W19" s="122">
        <v>89.0</v>
      </c>
      <c r="X19" s="122">
        <v>69.0</v>
      </c>
      <c r="Y19" s="122">
        <v>123.0</v>
      </c>
      <c r="Z19" s="122">
        <v>105.0</v>
      </c>
      <c r="AA19" s="122">
        <v>166.0</v>
      </c>
      <c r="AB19" s="122">
        <v>34.0</v>
      </c>
      <c r="AC19" s="122">
        <v>165.0</v>
      </c>
      <c r="AD19" s="122" t="s">
        <v>164</v>
      </c>
      <c r="AE19" s="122">
        <v>94.0</v>
      </c>
      <c r="AF19" s="122">
        <v>125.0</v>
      </c>
      <c r="AG19" s="122">
        <v>33.0</v>
      </c>
      <c r="AH19" s="122" t="s">
        <v>164</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164</v>
      </c>
      <c r="G20" s="122">
        <v>58.0</v>
      </c>
      <c r="H20" s="122">
        <v>80.0</v>
      </c>
      <c r="I20" s="122">
        <v>17.0</v>
      </c>
      <c r="J20" s="122">
        <v>84.0</v>
      </c>
      <c r="K20" s="122">
        <v>72.0</v>
      </c>
      <c r="L20" s="122" t="s">
        <v>164</v>
      </c>
      <c r="M20" s="122" t="s">
        <v>164</v>
      </c>
      <c r="N20" s="122" t="s">
        <v>164</v>
      </c>
      <c r="O20" s="122" t="s">
        <v>164</v>
      </c>
      <c r="P20" s="122" t="s">
        <v>164</v>
      </c>
      <c r="Q20" s="122">
        <v>86.0</v>
      </c>
      <c r="R20" s="122">
        <v>28.0</v>
      </c>
      <c r="S20" s="122">
        <v>0.0</v>
      </c>
      <c r="T20" s="122" t="s">
        <v>164</v>
      </c>
      <c r="U20" s="122" t="s">
        <v>164</v>
      </c>
      <c r="V20" s="122">
        <v>0.0</v>
      </c>
      <c r="W20" s="122" t="s">
        <v>164</v>
      </c>
      <c r="X20" s="122">
        <v>31.0</v>
      </c>
      <c r="Y20" s="122">
        <v>92.0</v>
      </c>
      <c r="Z20" s="122">
        <v>49.0</v>
      </c>
      <c r="AA20" s="122">
        <v>61.0</v>
      </c>
      <c r="AB20" s="122" t="s">
        <v>164</v>
      </c>
      <c r="AC20" s="122">
        <v>76.0</v>
      </c>
      <c r="AD20" s="122">
        <v>0.0</v>
      </c>
      <c r="AE20" s="122" t="s">
        <v>164</v>
      </c>
      <c r="AF20" s="122">
        <v>46.0</v>
      </c>
      <c r="AG20" s="122" t="s">
        <v>164</v>
      </c>
      <c r="AH20" s="122" t="s">
        <v>164</v>
      </c>
      <c r="AI20" s="122">
        <v>67.0</v>
      </c>
      <c r="AJ20" s="122">
        <v>54.0</v>
      </c>
      <c r="AK20" s="122" t="s">
        <v>164</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164</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337</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338</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335</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339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340</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341</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168</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328</v>
      </c>
      <c r="AP7" s="239" t="s">
        <v>267</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343</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344</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168</v>
      </c>
      <c r="B7" s="239" t="s">
        <v>273</v>
      </c>
      <c r="C7" s="239" t="s">
        <v>274</v>
      </c>
      <c r="D7" s="239" t="s">
        <v>275</v>
      </c>
      <c r="E7" s="239" t="s">
        <v>276</v>
      </c>
      <c r="F7" s="239" t="s">
        <v>277</v>
      </c>
      <c r="G7" s="239" t="s">
        <v>278</v>
      </c>
      <c r="H7" s="239" t="s">
        <v>279</v>
      </c>
      <c r="I7" s="239" t="s">
        <v>280</v>
      </c>
      <c r="J7" s="239" t="s">
        <v>281</v>
      </c>
      <c r="K7" s="239" t="s">
        <v>282</v>
      </c>
      <c r="L7" s="239" t="s">
        <v>283</v>
      </c>
      <c r="M7" s="239" t="s">
        <v>284</v>
      </c>
      <c r="N7" s="239" t="s">
        <v>285</v>
      </c>
      <c r="O7" s="239" t="s">
        <v>286</v>
      </c>
      <c r="P7" s="239" t="s">
        <v>287</v>
      </c>
      <c r="Q7" s="239" t="s">
        <v>288</v>
      </c>
      <c r="R7" s="239" t="s">
        <v>289</v>
      </c>
      <c r="S7" s="239" t="s">
        <v>290</v>
      </c>
      <c r="T7" s="239" t="s">
        <v>291</v>
      </c>
      <c r="U7" s="239" t="s">
        <v>292</v>
      </c>
      <c r="V7" s="239" t="s">
        <v>293</v>
      </c>
      <c r="W7" s="239" t="s">
        <v>294</v>
      </c>
      <c r="X7" s="239" t="s">
        <v>295</v>
      </c>
      <c r="Y7" s="239" t="s">
        <v>296</v>
      </c>
      <c r="Z7" s="239" t="s">
        <v>297</v>
      </c>
      <c r="AA7" s="239" t="s">
        <v>298</v>
      </c>
      <c r="AB7" s="239" t="s">
        <v>299</v>
      </c>
      <c r="AC7" s="239" t="s">
        <v>300</v>
      </c>
      <c r="AD7" s="239" t="s">
        <v>301</v>
      </c>
      <c r="AE7" s="239" t="s">
        <v>302</v>
      </c>
      <c r="AF7" s="239" t="s">
        <v>303</v>
      </c>
      <c r="AG7" s="239" t="s">
        <v>304</v>
      </c>
      <c r="AH7" s="239" t="s">
        <v>305</v>
      </c>
      <c r="AI7" s="239" t="s">
        <v>306</v>
      </c>
      <c r="AJ7" s="239" t="s">
        <v>307</v>
      </c>
      <c r="AK7" s="239" t="s">
        <v>308</v>
      </c>
      <c r="AL7" s="239" t="s">
        <v>309</v>
      </c>
      <c r="AM7" s="239" t="s">
        <v>310</v>
      </c>
      <c r="AN7" s="239" t="s">
        <v>311</v>
      </c>
      <c r="AO7" s="239" t="s">
        <v>267</v>
      </c>
    </row>
    <row r="8">
      <c r="A8" s="246"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164</v>
      </c>
      <c r="I9" s="122" t="s">
        <v>164</v>
      </c>
      <c r="J9" s="122">
        <v>0.0</v>
      </c>
      <c r="K9" s="122">
        <v>0.0</v>
      </c>
      <c r="L9" s="122">
        <v>0.0</v>
      </c>
      <c r="M9" s="122">
        <v>0.0</v>
      </c>
      <c r="N9" s="122">
        <v>0.0</v>
      </c>
      <c r="O9" s="122">
        <v>0.0</v>
      </c>
      <c r="P9" s="122">
        <v>0.0</v>
      </c>
      <c r="Q9" s="122">
        <v>0.0</v>
      </c>
      <c r="R9" s="122">
        <v>0.0</v>
      </c>
      <c r="S9" s="122" t="s">
        <v>164</v>
      </c>
      <c r="T9" s="122">
        <v>0.0</v>
      </c>
      <c r="U9" s="122">
        <v>0.0</v>
      </c>
      <c r="V9" s="122">
        <v>0.0</v>
      </c>
      <c r="W9" s="122">
        <v>0.0</v>
      </c>
      <c r="X9" s="122">
        <v>0.0</v>
      </c>
      <c r="Y9" s="122">
        <v>0.0</v>
      </c>
      <c r="Z9" s="122">
        <v>0.0</v>
      </c>
      <c r="AA9" s="122">
        <v>0.0</v>
      </c>
      <c r="AB9" s="122">
        <v>0.0</v>
      </c>
      <c r="AC9" s="122" t="s">
        <v>164</v>
      </c>
      <c r="AD9" s="122">
        <v>0.0</v>
      </c>
      <c r="AE9" s="122">
        <v>0.0</v>
      </c>
      <c r="AF9" s="122" t="s">
        <v>164</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164</v>
      </c>
      <c r="F10" s="122">
        <v>0.0</v>
      </c>
      <c r="G10" s="122" t="s">
        <v>164</v>
      </c>
      <c r="H10" s="122" t="s">
        <v>164</v>
      </c>
      <c r="I10" s="122" t="s">
        <v>164</v>
      </c>
      <c r="J10" s="122">
        <v>0.0</v>
      </c>
      <c r="K10" s="122" t="s">
        <v>164</v>
      </c>
      <c r="L10" s="122">
        <v>0.0</v>
      </c>
      <c r="M10" s="122">
        <v>0.0</v>
      </c>
      <c r="N10" s="122">
        <v>0.0</v>
      </c>
      <c r="O10" s="122" t="s">
        <v>164</v>
      </c>
      <c r="P10" s="122">
        <v>0.0</v>
      </c>
      <c r="Q10" s="122" t="s">
        <v>164</v>
      </c>
      <c r="R10" s="122">
        <v>0.0</v>
      </c>
      <c r="S10" s="122">
        <v>0.0</v>
      </c>
      <c r="T10" s="122">
        <v>0.0</v>
      </c>
      <c r="U10" s="122">
        <v>0.0</v>
      </c>
      <c r="V10" s="122">
        <v>0.0</v>
      </c>
      <c r="W10" s="122" t="s">
        <v>164</v>
      </c>
      <c r="X10" s="122" t="s">
        <v>164</v>
      </c>
      <c r="Y10" s="122" t="s">
        <v>164</v>
      </c>
      <c r="Z10" s="122">
        <v>0.0</v>
      </c>
      <c r="AA10" s="122">
        <v>7.0</v>
      </c>
      <c r="AB10" s="122">
        <v>0.0</v>
      </c>
      <c r="AC10" s="122">
        <v>16.0</v>
      </c>
      <c r="AD10" s="122">
        <v>0.0</v>
      </c>
      <c r="AE10" s="122" t="s">
        <v>164</v>
      </c>
      <c r="AF10" s="122">
        <v>0.0</v>
      </c>
      <c r="AG10" s="122" t="s">
        <v>164</v>
      </c>
      <c r="AH10" s="122" t="s">
        <v>164</v>
      </c>
      <c r="AI10" s="122">
        <v>0.0</v>
      </c>
      <c r="AJ10" s="122">
        <v>7.0</v>
      </c>
      <c r="AK10" s="122">
        <v>0.0</v>
      </c>
      <c r="AL10" s="122" t="s">
        <v>164</v>
      </c>
      <c r="AM10" s="122" t="s">
        <v>164</v>
      </c>
      <c r="AN10" s="122" t="s">
        <v>164</v>
      </c>
      <c r="AO10" s="122">
        <v>7.0</v>
      </c>
    </row>
    <row r="11">
      <c r="A11" s="240">
        <v>43952.0</v>
      </c>
      <c r="B11" s="122">
        <v>0.0</v>
      </c>
      <c r="C11" s="122" t="s">
        <v>164</v>
      </c>
      <c r="D11" s="122" t="s">
        <v>164</v>
      </c>
      <c r="E11" s="122" t="s">
        <v>164</v>
      </c>
      <c r="F11" s="122">
        <v>0.0</v>
      </c>
      <c r="G11" s="122">
        <v>0.0</v>
      </c>
      <c r="H11" s="122" t="s">
        <v>164</v>
      </c>
      <c r="I11" s="122" t="s">
        <v>164</v>
      </c>
      <c r="J11" s="122">
        <v>0.0</v>
      </c>
      <c r="K11" s="122" t="s">
        <v>164</v>
      </c>
      <c r="L11" s="122" t="s">
        <v>164</v>
      </c>
      <c r="M11" s="122">
        <v>0.0</v>
      </c>
      <c r="N11" s="122">
        <v>0.0</v>
      </c>
      <c r="O11" s="122">
        <v>0.0</v>
      </c>
      <c r="P11" s="122">
        <v>0.0</v>
      </c>
      <c r="Q11" s="122" t="s">
        <v>164</v>
      </c>
      <c r="R11" s="122" t="s">
        <v>164</v>
      </c>
      <c r="S11" s="122">
        <v>0.0</v>
      </c>
      <c r="T11" s="122" t="s">
        <v>164</v>
      </c>
      <c r="U11" s="122">
        <v>0.0</v>
      </c>
      <c r="V11" s="122">
        <v>0.0</v>
      </c>
      <c r="W11" s="122">
        <v>0.0</v>
      </c>
      <c r="X11" s="122" t="s">
        <v>164</v>
      </c>
      <c r="Y11" s="122" t="s">
        <v>164</v>
      </c>
      <c r="Z11" s="122" t="s">
        <v>164</v>
      </c>
      <c r="AA11" s="122" t="s">
        <v>164</v>
      </c>
      <c r="AB11" s="122">
        <v>0.0</v>
      </c>
      <c r="AC11" s="122">
        <v>16.0</v>
      </c>
      <c r="AD11" s="122">
        <v>0.0</v>
      </c>
      <c r="AE11" s="122">
        <v>0.0</v>
      </c>
      <c r="AF11" s="122" t="s">
        <v>164</v>
      </c>
      <c r="AG11" s="122">
        <v>0.0</v>
      </c>
      <c r="AH11" s="122" t="s">
        <v>164</v>
      </c>
      <c r="AI11" s="122" t="s">
        <v>164</v>
      </c>
      <c r="AJ11" s="122">
        <v>0.0</v>
      </c>
      <c r="AK11" s="122">
        <v>0.0</v>
      </c>
      <c r="AL11" s="122" t="s">
        <v>164</v>
      </c>
      <c r="AM11" s="122">
        <v>0.0</v>
      </c>
      <c r="AN11" s="122">
        <v>17.0</v>
      </c>
      <c r="AO11" s="122">
        <v>6.0</v>
      </c>
    </row>
    <row r="12">
      <c r="A12" s="240">
        <v>43983.0</v>
      </c>
      <c r="B12" s="122">
        <v>0.0</v>
      </c>
      <c r="C12" s="122" t="s">
        <v>164</v>
      </c>
      <c r="D12" s="122">
        <v>0.0</v>
      </c>
      <c r="E12" s="122" t="s">
        <v>164</v>
      </c>
      <c r="F12" s="122">
        <v>0.0</v>
      </c>
      <c r="G12" s="122">
        <v>0.0</v>
      </c>
      <c r="H12" s="122">
        <v>6.0</v>
      </c>
      <c r="I12" s="122">
        <v>0.0</v>
      </c>
      <c r="J12" s="122">
        <v>0.0</v>
      </c>
      <c r="K12" s="122" t="s">
        <v>164</v>
      </c>
      <c r="L12" s="122">
        <v>0.0</v>
      </c>
      <c r="M12" s="122">
        <v>0.0</v>
      </c>
      <c r="N12" s="122">
        <v>0.0</v>
      </c>
      <c r="O12" s="122">
        <v>0.0</v>
      </c>
      <c r="P12" s="122">
        <v>0.0</v>
      </c>
      <c r="Q12" s="122">
        <v>17.0</v>
      </c>
      <c r="R12" s="122">
        <v>0.0</v>
      </c>
      <c r="S12" s="122">
        <v>0.0</v>
      </c>
      <c r="T12" s="122">
        <v>0.0</v>
      </c>
      <c r="U12" s="122">
        <v>0.0</v>
      </c>
      <c r="V12" s="122">
        <v>0.0</v>
      </c>
      <c r="W12" s="122">
        <v>0.0</v>
      </c>
      <c r="X12" s="122">
        <v>0.0</v>
      </c>
      <c r="Y12" s="122" t="s">
        <v>164</v>
      </c>
      <c r="Z12" s="122" t="s">
        <v>164</v>
      </c>
      <c r="AA12" s="122">
        <v>7.0</v>
      </c>
      <c r="AB12" s="122">
        <v>0.0</v>
      </c>
      <c r="AC12" s="122">
        <v>8.0</v>
      </c>
      <c r="AD12" s="122">
        <v>0.0</v>
      </c>
      <c r="AE12" s="122">
        <v>0.0</v>
      </c>
      <c r="AF12" s="122">
        <v>0.0</v>
      </c>
      <c r="AG12" s="122">
        <v>0.0</v>
      </c>
      <c r="AH12" s="122">
        <v>0.0</v>
      </c>
      <c r="AI12" s="122" t="s">
        <v>164</v>
      </c>
      <c r="AJ12" s="122" t="s">
        <v>164</v>
      </c>
      <c r="AK12" s="122">
        <v>0.0</v>
      </c>
      <c r="AL12" s="122">
        <v>0.0</v>
      </c>
      <c r="AM12" s="122">
        <v>0.0</v>
      </c>
      <c r="AN12" s="122" t="s">
        <v>164</v>
      </c>
      <c r="AO12" s="122">
        <v>4.0</v>
      </c>
    </row>
    <row r="13">
      <c r="A13" s="240">
        <v>44013.0</v>
      </c>
      <c r="B13" s="122">
        <v>0.0</v>
      </c>
      <c r="C13" s="122">
        <v>0.0</v>
      </c>
      <c r="D13" s="122" t="s">
        <v>164</v>
      </c>
      <c r="E13" s="122" t="s">
        <v>164</v>
      </c>
      <c r="F13" s="122" t="s">
        <v>164</v>
      </c>
      <c r="G13" s="122">
        <v>0.0</v>
      </c>
      <c r="H13" s="122">
        <v>0.0</v>
      </c>
      <c r="I13" s="122">
        <v>0.0</v>
      </c>
      <c r="J13" s="122">
        <v>0.0</v>
      </c>
      <c r="K13" s="122">
        <v>0.0</v>
      </c>
      <c r="L13" s="122">
        <v>0.0</v>
      </c>
      <c r="M13" s="122">
        <v>0.0</v>
      </c>
      <c r="N13" s="122">
        <v>0.0</v>
      </c>
      <c r="O13" s="122">
        <v>0.0</v>
      </c>
      <c r="P13" s="122">
        <v>0.0</v>
      </c>
      <c r="Q13" s="122">
        <v>0.0</v>
      </c>
      <c r="R13" s="122">
        <v>0.0</v>
      </c>
      <c r="S13" s="122">
        <v>0.0</v>
      </c>
      <c r="T13" s="122" t="s">
        <v>164</v>
      </c>
      <c r="U13" s="122">
        <v>0.0</v>
      </c>
      <c r="V13" s="122">
        <v>0.0</v>
      </c>
      <c r="W13" s="122">
        <v>0.0</v>
      </c>
      <c r="X13" s="122">
        <v>0.0</v>
      </c>
      <c r="Y13" s="122">
        <v>0.0</v>
      </c>
      <c r="Z13" s="122">
        <v>0.0</v>
      </c>
      <c r="AA13" s="122">
        <v>0.0</v>
      </c>
      <c r="AB13" s="122">
        <v>0.0</v>
      </c>
      <c r="AC13" s="122">
        <v>4.0</v>
      </c>
      <c r="AD13" s="122">
        <v>0.0</v>
      </c>
      <c r="AE13" s="122">
        <v>0.0</v>
      </c>
      <c r="AF13" s="122" t="s">
        <v>164</v>
      </c>
      <c r="AG13" s="122">
        <v>0.0</v>
      </c>
      <c r="AH13" s="122" t="s">
        <v>164</v>
      </c>
      <c r="AI13" s="122">
        <v>0.0</v>
      </c>
      <c r="AJ13" s="122" t="s">
        <v>164</v>
      </c>
      <c r="AK13" s="122">
        <v>0.0</v>
      </c>
      <c r="AL13" s="122">
        <v>0.0</v>
      </c>
      <c r="AM13" s="122">
        <v>0.0</v>
      </c>
      <c r="AN13" s="122" t="s">
        <v>164</v>
      </c>
      <c r="AO13" s="122">
        <v>2.0</v>
      </c>
    </row>
    <row r="14">
      <c r="A14" s="240">
        <v>44044.0</v>
      </c>
      <c r="B14" s="122">
        <v>0.0</v>
      </c>
      <c r="C14" s="122">
        <v>0.0</v>
      </c>
      <c r="D14" s="122" t="s">
        <v>164</v>
      </c>
      <c r="E14" s="122">
        <v>0.0</v>
      </c>
      <c r="F14" s="122">
        <v>0.0</v>
      </c>
      <c r="G14" s="122">
        <v>0.0</v>
      </c>
      <c r="H14" s="122" t="s">
        <v>164</v>
      </c>
      <c r="I14" s="122">
        <v>0.0</v>
      </c>
      <c r="J14" s="122">
        <v>0.0</v>
      </c>
      <c r="K14" s="122">
        <v>0.0</v>
      </c>
      <c r="L14" s="122" t="s">
        <v>164</v>
      </c>
      <c r="M14" s="122">
        <v>0.0</v>
      </c>
      <c r="N14" s="122">
        <v>0.0</v>
      </c>
      <c r="O14" s="122">
        <v>0.0</v>
      </c>
      <c r="P14" s="122">
        <v>0.0</v>
      </c>
      <c r="Q14" s="122">
        <v>0.0</v>
      </c>
      <c r="R14" s="122" t="s">
        <v>164</v>
      </c>
      <c r="S14" s="122">
        <v>0.0</v>
      </c>
      <c r="T14" s="122">
        <v>0.0</v>
      </c>
      <c r="U14" s="122">
        <v>0.0</v>
      </c>
      <c r="V14" s="122">
        <v>0.0</v>
      </c>
      <c r="W14" s="122">
        <v>0.0</v>
      </c>
      <c r="X14" s="122" t="s">
        <v>164</v>
      </c>
      <c r="Y14" s="122" t="s">
        <v>164</v>
      </c>
      <c r="Z14" s="122" t="s">
        <v>164</v>
      </c>
      <c r="AA14" s="122">
        <v>0.0</v>
      </c>
      <c r="AB14" s="122">
        <v>0.0</v>
      </c>
      <c r="AC14" s="122">
        <v>3.0</v>
      </c>
      <c r="AD14" s="122">
        <v>0.0</v>
      </c>
      <c r="AE14" s="122">
        <v>0.0</v>
      </c>
      <c r="AF14" s="122">
        <v>0.0</v>
      </c>
      <c r="AG14" s="122">
        <v>0.0</v>
      </c>
      <c r="AH14" s="122">
        <v>0.0</v>
      </c>
      <c r="AI14" s="122">
        <v>0.0</v>
      </c>
      <c r="AJ14" s="122" t="s">
        <v>164</v>
      </c>
      <c r="AK14" s="122">
        <v>0.0</v>
      </c>
      <c r="AL14" s="122">
        <v>0.0</v>
      </c>
      <c r="AM14" s="122">
        <v>0.0</v>
      </c>
      <c r="AN14" s="122" t="s">
        <v>164</v>
      </c>
      <c r="AO14" s="122">
        <v>2.0</v>
      </c>
    </row>
    <row r="15">
      <c r="A15" s="240">
        <v>44075.0</v>
      </c>
      <c r="B15" s="122">
        <v>0.0</v>
      </c>
      <c r="C15" s="122">
        <v>0.0</v>
      </c>
      <c r="D15" s="122">
        <v>0.0</v>
      </c>
      <c r="E15" s="122" t="s">
        <v>164</v>
      </c>
      <c r="F15" s="122">
        <v>0.0</v>
      </c>
      <c r="G15" s="122">
        <v>0.0</v>
      </c>
      <c r="H15" s="122" t="s">
        <v>164</v>
      </c>
      <c r="I15" s="122" t="s">
        <v>164</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164</v>
      </c>
      <c r="Z15" s="122">
        <v>0.0</v>
      </c>
      <c r="AA15" s="122" t="s">
        <v>164</v>
      </c>
      <c r="AB15" s="122">
        <v>0.0</v>
      </c>
      <c r="AC15" s="122" t="s">
        <v>164</v>
      </c>
      <c r="AD15" s="122">
        <v>0.0</v>
      </c>
      <c r="AE15" s="122">
        <v>0.0</v>
      </c>
      <c r="AF15" s="122">
        <v>0.0</v>
      </c>
      <c r="AG15" s="122">
        <v>0.0</v>
      </c>
      <c r="AH15" s="122">
        <v>0.0</v>
      </c>
      <c r="AI15" s="122">
        <v>0.0</v>
      </c>
      <c r="AJ15" s="122" t="s">
        <v>164</v>
      </c>
      <c r="AK15" s="122">
        <v>0.0</v>
      </c>
      <c r="AL15" s="122">
        <v>0.0</v>
      </c>
      <c r="AM15" s="122" t="s">
        <v>164</v>
      </c>
      <c r="AN15" s="122">
        <v>0.0</v>
      </c>
      <c r="AO15" s="122">
        <v>1.0</v>
      </c>
    </row>
    <row r="16">
      <c r="A16" s="240">
        <v>44105.0</v>
      </c>
      <c r="B16" s="122">
        <v>0.0</v>
      </c>
      <c r="C16" s="122">
        <v>0.0</v>
      </c>
      <c r="D16" s="122" t="s">
        <v>164</v>
      </c>
      <c r="E16" s="122">
        <v>0.0</v>
      </c>
      <c r="F16" s="122">
        <v>0.0</v>
      </c>
      <c r="G16" s="122" t="s">
        <v>164</v>
      </c>
      <c r="H16" s="122">
        <v>6.0</v>
      </c>
      <c r="I16" s="122" t="s">
        <v>164</v>
      </c>
      <c r="J16" s="122">
        <v>0.0</v>
      </c>
      <c r="K16" s="122">
        <v>0.0</v>
      </c>
      <c r="L16" s="122">
        <v>0.0</v>
      </c>
      <c r="M16" s="122">
        <v>0.0</v>
      </c>
      <c r="N16" s="122">
        <v>0.0</v>
      </c>
      <c r="O16" s="122">
        <v>0.0</v>
      </c>
      <c r="P16" s="122">
        <v>0.0</v>
      </c>
      <c r="Q16" s="122" t="s">
        <v>164</v>
      </c>
      <c r="R16" s="122">
        <v>0.0</v>
      </c>
      <c r="S16" s="122">
        <v>0.0</v>
      </c>
      <c r="T16" s="122">
        <v>0.0</v>
      </c>
      <c r="U16" s="122" t="s">
        <v>164</v>
      </c>
      <c r="V16" s="122">
        <v>0.0</v>
      </c>
      <c r="W16" s="122">
        <v>0.0</v>
      </c>
      <c r="X16" s="122">
        <v>0.0</v>
      </c>
      <c r="Y16" s="122" t="s">
        <v>164</v>
      </c>
      <c r="Z16" s="122" t="s">
        <v>164</v>
      </c>
      <c r="AA16" s="122" t="s">
        <v>164</v>
      </c>
      <c r="AB16" s="122">
        <v>0.0</v>
      </c>
      <c r="AC16" s="122">
        <v>6.0</v>
      </c>
      <c r="AD16" s="122">
        <v>0.0</v>
      </c>
      <c r="AE16" s="122">
        <v>0.0</v>
      </c>
      <c r="AF16" s="122">
        <v>0.0</v>
      </c>
      <c r="AG16" s="122">
        <v>0.0</v>
      </c>
      <c r="AH16" s="122">
        <v>0.0</v>
      </c>
      <c r="AI16" s="122">
        <v>0.0</v>
      </c>
      <c r="AJ16" s="122" t="s">
        <v>164</v>
      </c>
      <c r="AK16" s="122">
        <v>0.0</v>
      </c>
      <c r="AL16" s="122">
        <v>0.0</v>
      </c>
      <c r="AM16" s="122">
        <v>0.0</v>
      </c>
      <c r="AN16" s="122" t="s">
        <v>164</v>
      </c>
      <c r="AO16" s="122">
        <v>3.0</v>
      </c>
    </row>
    <row r="17">
      <c r="A17" s="240">
        <v>44136.0</v>
      </c>
      <c r="B17" s="122" t="s">
        <v>164</v>
      </c>
      <c r="C17" s="122">
        <v>0.0</v>
      </c>
      <c r="D17" s="122">
        <v>0.0</v>
      </c>
      <c r="E17" s="122" t="s">
        <v>164</v>
      </c>
      <c r="F17" s="122">
        <v>0.0</v>
      </c>
      <c r="G17" s="122" t="s">
        <v>164</v>
      </c>
      <c r="H17" s="122">
        <v>7.0</v>
      </c>
      <c r="I17" s="122" t="s">
        <v>164</v>
      </c>
      <c r="J17" s="122">
        <v>0.0</v>
      </c>
      <c r="K17" s="122">
        <v>13.0</v>
      </c>
      <c r="L17" s="122">
        <v>0.0</v>
      </c>
      <c r="M17" s="122" t="s">
        <v>164</v>
      </c>
      <c r="N17" s="122" t="s">
        <v>164</v>
      </c>
      <c r="O17" s="122">
        <v>0.0</v>
      </c>
      <c r="P17" s="122">
        <v>0.0</v>
      </c>
      <c r="Q17" s="122" t="s">
        <v>164</v>
      </c>
      <c r="R17" s="122" t="s">
        <v>164</v>
      </c>
      <c r="S17" s="122">
        <v>0.0</v>
      </c>
      <c r="T17" s="122">
        <v>0.0</v>
      </c>
      <c r="U17" s="122" t="s">
        <v>164</v>
      </c>
      <c r="V17" s="122">
        <v>0.0</v>
      </c>
      <c r="W17" s="122">
        <v>0.0</v>
      </c>
      <c r="X17" s="122" t="s">
        <v>164</v>
      </c>
      <c r="Y17" s="122">
        <v>15.0</v>
      </c>
      <c r="Z17" s="122">
        <v>0.0</v>
      </c>
      <c r="AA17" s="122">
        <v>10.0</v>
      </c>
      <c r="AB17" s="122">
        <v>0.0</v>
      </c>
      <c r="AC17" s="122">
        <v>11.0</v>
      </c>
      <c r="AD17" s="122">
        <v>0.0</v>
      </c>
      <c r="AE17" s="122" t="s">
        <v>164</v>
      </c>
      <c r="AF17" s="122" t="s">
        <v>164</v>
      </c>
      <c r="AG17" s="122">
        <v>0.0</v>
      </c>
      <c r="AH17" s="122" t="s">
        <v>164</v>
      </c>
      <c r="AI17" s="122" t="s">
        <v>164</v>
      </c>
      <c r="AJ17" s="122">
        <v>10.0</v>
      </c>
      <c r="AK17" s="122">
        <v>0.0</v>
      </c>
      <c r="AL17" s="122" t="s">
        <v>164</v>
      </c>
      <c r="AM17" s="122" t="s">
        <v>164</v>
      </c>
      <c r="AN17" s="122">
        <v>12.0</v>
      </c>
      <c r="AO17" s="122">
        <v>9.0</v>
      </c>
    </row>
    <row r="18">
      <c r="A18" s="240">
        <v>44166.0</v>
      </c>
      <c r="B18" s="122" t="s">
        <v>164</v>
      </c>
      <c r="C18" s="122" t="s">
        <v>164</v>
      </c>
      <c r="D18" s="122" t="s">
        <v>164</v>
      </c>
      <c r="E18" s="122" t="s">
        <v>164</v>
      </c>
      <c r="F18" s="122">
        <v>0.0</v>
      </c>
      <c r="G18" s="122">
        <v>20.0</v>
      </c>
      <c r="H18" s="122">
        <v>28.0</v>
      </c>
      <c r="I18" s="122">
        <v>26.0</v>
      </c>
      <c r="J18" s="122" t="s">
        <v>164</v>
      </c>
      <c r="K18" s="122">
        <v>34.0</v>
      </c>
      <c r="L18" s="122" t="s">
        <v>164</v>
      </c>
      <c r="M18" s="122" t="s">
        <v>164</v>
      </c>
      <c r="N18" s="122" t="s">
        <v>164</v>
      </c>
      <c r="O18" s="122">
        <v>0.0</v>
      </c>
      <c r="P18" s="122">
        <v>0.0</v>
      </c>
      <c r="Q18" s="122">
        <v>21.0</v>
      </c>
      <c r="R18" s="122" t="s">
        <v>164</v>
      </c>
      <c r="S18" s="122">
        <v>0.0</v>
      </c>
      <c r="T18" s="122">
        <v>0.0</v>
      </c>
      <c r="U18" s="122" t="s">
        <v>164</v>
      </c>
      <c r="V18" s="122">
        <v>0.0</v>
      </c>
      <c r="W18" s="122" t="s">
        <v>164</v>
      </c>
      <c r="X18" s="122" t="s">
        <v>164</v>
      </c>
      <c r="Y18" s="122">
        <v>31.0</v>
      </c>
      <c r="Z18" s="122" t="s">
        <v>164</v>
      </c>
      <c r="AA18" s="122">
        <v>22.0</v>
      </c>
      <c r="AB18" s="122">
        <v>0.0</v>
      </c>
      <c r="AC18" s="122">
        <v>27.0</v>
      </c>
      <c r="AD18" s="122">
        <v>0.0</v>
      </c>
      <c r="AE18" s="122">
        <v>0.0</v>
      </c>
      <c r="AF18" s="122">
        <v>23.0</v>
      </c>
      <c r="AG18" s="122" t="s">
        <v>164</v>
      </c>
      <c r="AH18" s="122" t="s">
        <v>164</v>
      </c>
      <c r="AI18" s="122">
        <v>0.0</v>
      </c>
      <c r="AJ18" s="122">
        <v>16.0</v>
      </c>
      <c r="AK18" s="122">
        <v>0.0</v>
      </c>
      <c r="AL18" s="122">
        <v>35.0</v>
      </c>
      <c r="AM18" s="122">
        <v>22.0</v>
      </c>
      <c r="AN18" s="122">
        <v>51.0</v>
      </c>
      <c r="AO18" s="122">
        <v>21.0</v>
      </c>
    </row>
    <row r="19">
      <c r="A19" s="240">
        <v>44197.0</v>
      </c>
      <c r="B19" s="122" t="s">
        <v>164</v>
      </c>
      <c r="C19" s="122" t="s">
        <v>164</v>
      </c>
      <c r="D19" s="122" t="s">
        <v>164</v>
      </c>
      <c r="E19" s="122" t="s">
        <v>164</v>
      </c>
      <c r="F19" s="122" t="s">
        <v>164</v>
      </c>
      <c r="G19" s="122" t="s">
        <v>164</v>
      </c>
      <c r="H19" s="122">
        <v>20.0</v>
      </c>
      <c r="I19" s="122">
        <v>29.0</v>
      </c>
      <c r="J19" s="122" t="s">
        <v>164</v>
      </c>
      <c r="K19" s="122">
        <v>32.0</v>
      </c>
      <c r="L19" s="122" t="s">
        <v>164</v>
      </c>
      <c r="M19" s="122" t="s">
        <v>164</v>
      </c>
      <c r="N19" s="122" t="s">
        <v>164</v>
      </c>
      <c r="O19" s="122">
        <v>0.0</v>
      </c>
      <c r="P19" s="122" t="s">
        <v>164</v>
      </c>
      <c r="Q19" s="122">
        <v>17.0</v>
      </c>
      <c r="R19" s="122">
        <v>37.0</v>
      </c>
      <c r="S19" s="122" t="s">
        <v>164</v>
      </c>
      <c r="T19" s="122" t="s">
        <v>164</v>
      </c>
      <c r="U19" s="122" t="s">
        <v>164</v>
      </c>
      <c r="V19" s="122">
        <v>0.0</v>
      </c>
      <c r="W19" s="122" t="s">
        <v>164</v>
      </c>
      <c r="X19" s="122">
        <v>19.0</v>
      </c>
      <c r="Y19" s="122">
        <v>22.0</v>
      </c>
      <c r="Z19" s="122" t="s">
        <v>164</v>
      </c>
      <c r="AA19" s="122">
        <v>24.0</v>
      </c>
      <c r="AB19" s="122" t="s">
        <v>164</v>
      </c>
      <c r="AC19" s="122">
        <v>22.0</v>
      </c>
      <c r="AD19" s="122">
        <v>0.0</v>
      </c>
      <c r="AE19" s="122" t="s">
        <v>164</v>
      </c>
      <c r="AF19" s="122">
        <v>37.0</v>
      </c>
      <c r="AG19" s="122" t="s">
        <v>164</v>
      </c>
      <c r="AH19" s="122" t="s">
        <v>164</v>
      </c>
      <c r="AI19" s="122" t="s">
        <v>164</v>
      </c>
      <c r="AJ19" s="122">
        <v>17.0</v>
      </c>
      <c r="AK19" s="122" t="s">
        <v>164</v>
      </c>
      <c r="AL19" s="122" t="s">
        <v>164</v>
      </c>
      <c r="AM19" s="122">
        <v>31.0</v>
      </c>
      <c r="AN19" s="122">
        <v>29.0</v>
      </c>
      <c r="AO19" s="122">
        <v>20.0</v>
      </c>
    </row>
    <row r="20">
      <c r="A20" s="240">
        <v>44228.0</v>
      </c>
      <c r="B20" s="122">
        <v>0.0</v>
      </c>
      <c r="C20" s="122" t="s">
        <v>164</v>
      </c>
      <c r="D20" s="122">
        <v>0.0</v>
      </c>
      <c r="E20" s="122">
        <v>0.0</v>
      </c>
      <c r="F20" s="122">
        <v>0.0</v>
      </c>
      <c r="G20" s="122">
        <v>14.0</v>
      </c>
      <c r="H20" s="122" t="s">
        <v>164</v>
      </c>
      <c r="I20" s="122" t="s">
        <v>164</v>
      </c>
      <c r="J20" s="122" t="s">
        <v>164</v>
      </c>
      <c r="K20" s="122" t="s">
        <v>164</v>
      </c>
      <c r="L20" s="122">
        <v>0.0</v>
      </c>
      <c r="M20" s="122" t="s">
        <v>164</v>
      </c>
      <c r="N20" s="122" t="s">
        <v>164</v>
      </c>
      <c r="O20" s="122">
        <v>0.0</v>
      </c>
      <c r="P20" s="122">
        <v>0.0</v>
      </c>
      <c r="Q20" s="122" t="s">
        <v>164</v>
      </c>
      <c r="R20" s="122" t="s">
        <v>164</v>
      </c>
      <c r="S20" s="122" t="s">
        <v>164</v>
      </c>
      <c r="T20" s="122">
        <v>0.0</v>
      </c>
      <c r="U20" s="122" t="s">
        <v>164</v>
      </c>
      <c r="V20" s="122">
        <v>0.0</v>
      </c>
      <c r="W20" s="122" t="s">
        <v>164</v>
      </c>
      <c r="X20" s="122">
        <v>0.0</v>
      </c>
      <c r="Y20" s="122">
        <v>15.0</v>
      </c>
      <c r="Z20" s="122" t="s">
        <v>164</v>
      </c>
      <c r="AA20" s="122">
        <v>10.0</v>
      </c>
      <c r="AB20" s="122" t="s">
        <v>164</v>
      </c>
      <c r="AC20" s="122">
        <v>12.0</v>
      </c>
      <c r="AD20" s="122">
        <v>0.0</v>
      </c>
      <c r="AE20" s="122" t="s">
        <v>164</v>
      </c>
      <c r="AF20" s="122" t="s">
        <v>164</v>
      </c>
      <c r="AG20" s="122" t="s">
        <v>164</v>
      </c>
      <c r="AH20" s="122" t="s">
        <v>164</v>
      </c>
      <c r="AI20" s="122" t="s">
        <v>164</v>
      </c>
      <c r="AJ20" s="122">
        <v>9.0</v>
      </c>
      <c r="AK20" s="122">
        <v>0.0</v>
      </c>
      <c r="AL20" s="122" t="s">
        <v>164</v>
      </c>
      <c r="AM20" s="122" t="s">
        <v>164</v>
      </c>
      <c r="AN20" s="122">
        <v>24.0</v>
      </c>
      <c r="AO20" s="122">
        <v>9.0</v>
      </c>
    </row>
    <row r="21">
      <c r="A21" s="241" t="s">
        <v>105</v>
      </c>
      <c r="B21" s="245">
        <v>37.0</v>
      </c>
      <c r="C21" s="245">
        <v>49.0</v>
      </c>
      <c r="D21" s="245">
        <v>61.0</v>
      </c>
      <c r="E21" s="245">
        <v>103.0</v>
      </c>
      <c r="F21" s="245" t="s">
        <v>164</v>
      </c>
      <c r="G21" s="245">
        <v>61.0</v>
      </c>
      <c r="H21" s="245">
        <v>89.0</v>
      </c>
      <c r="I21" s="245">
        <v>92.0</v>
      </c>
      <c r="J21" s="245">
        <v>38.0</v>
      </c>
      <c r="K21" s="245">
        <v>95.0</v>
      </c>
      <c r="L21" s="245" t="s">
        <v>164</v>
      </c>
      <c r="M21" s="245">
        <v>107.0</v>
      </c>
      <c r="N21" s="245">
        <v>70.0</v>
      </c>
      <c r="O21" s="245" t="s">
        <v>164</v>
      </c>
      <c r="P21" s="245" t="s">
        <v>164</v>
      </c>
      <c r="Q21" s="245">
        <v>82.0</v>
      </c>
      <c r="R21" s="245">
        <v>97.0</v>
      </c>
      <c r="S21" s="245" t="s">
        <v>164</v>
      </c>
      <c r="T21" s="245" t="s">
        <v>164</v>
      </c>
      <c r="U21" s="245">
        <v>45.0</v>
      </c>
      <c r="V21" s="245">
        <v>0.0</v>
      </c>
      <c r="W21" s="245">
        <v>24.0</v>
      </c>
      <c r="X21" s="245">
        <v>46.0</v>
      </c>
      <c r="Y21" s="245">
        <v>120.0</v>
      </c>
      <c r="Z21" s="245">
        <v>105.0</v>
      </c>
      <c r="AA21" s="245">
        <v>92.0</v>
      </c>
      <c r="AB21" s="245">
        <v>29.0</v>
      </c>
      <c r="AC21" s="245">
        <v>126.0</v>
      </c>
      <c r="AD21" s="245">
        <v>0.0</v>
      </c>
      <c r="AE21" s="245" t="s">
        <v>164</v>
      </c>
      <c r="AF21" s="245">
        <v>92.0</v>
      </c>
      <c r="AG21" s="245">
        <v>26.0</v>
      </c>
      <c r="AH21" s="245">
        <v>51.0</v>
      </c>
      <c r="AI21" s="245">
        <v>57.0</v>
      </c>
      <c r="AJ21" s="245">
        <v>73.0</v>
      </c>
      <c r="AK21" s="245" t="s">
        <v>164</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345</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173</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346</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175</v>
      </c>
      <c r="B7" s="247" t="s">
        <v>273</v>
      </c>
      <c r="C7" s="247" t="s">
        <v>274</v>
      </c>
      <c r="D7" s="247" t="s">
        <v>275</v>
      </c>
      <c r="E7" s="247" t="s">
        <v>276</v>
      </c>
      <c r="F7" s="247" t="s">
        <v>277</v>
      </c>
      <c r="G7" s="247" t="s">
        <v>278</v>
      </c>
      <c r="H7" s="247" t="s">
        <v>279</v>
      </c>
      <c r="I7" s="247" t="s">
        <v>280</v>
      </c>
      <c r="J7" s="248" t="s">
        <v>281</v>
      </c>
      <c r="K7" s="248" t="s">
        <v>282</v>
      </c>
      <c r="L7" s="247" t="s">
        <v>283</v>
      </c>
      <c r="M7" s="247" t="s">
        <v>284</v>
      </c>
      <c r="N7" s="247" t="s">
        <v>285</v>
      </c>
      <c r="O7" s="247" t="s">
        <v>286</v>
      </c>
      <c r="P7" s="247" t="s">
        <v>287</v>
      </c>
      <c r="Q7" s="247" t="s">
        <v>288</v>
      </c>
      <c r="R7" s="247" t="s">
        <v>289</v>
      </c>
      <c r="S7" s="248" t="s">
        <v>290</v>
      </c>
      <c r="T7" s="247" t="s">
        <v>291</v>
      </c>
      <c r="U7" s="247" t="s">
        <v>292</v>
      </c>
      <c r="V7" s="248" t="s">
        <v>293</v>
      </c>
      <c r="W7" s="247" t="s">
        <v>294</v>
      </c>
      <c r="X7" s="248" t="s">
        <v>295</v>
      </c>
      <c r="Y7" s="248" t="s">
        <v>296</v>
      </c>
      <c r="Z7" s="248" t="s">
        <v>297</v>
      </c>
      <c r="AA7" s="247" t="s">
        <v>298</v>
      </c>
      <c r="AB7" s="247" t="s">
        <v>299</v>
      </c>
      <c r="AC7" s="247" t="s">
        <v>300</v>
      </c>
      <c r="AD7" s="247" t="s">
        <v>301</v>
      </c>
      <c r="AE7" s="247" t="s">
        <v>302</v>
      </c>
      <c r="AF7" s="247" t="s">
        <v>303</v>
      </c>
      <c r="AG7" s="248" t="s">
        <v>304</v>
      </c>
      <c r="AH7" s="247" t="s">
        <v>305</v>
      </c>
      <c r="AI7" s="247" t="s">
        <v>306</v>
      </c>
      <c r="AJ7" s="247" t="s">
        <v>307</v>
      </c>
      <c r="AK7" s="248" t="s">
        <v>308</v>
      </c>
      <c r="AL7" s="248" t="s">
        <v>309</v>
      </c>
      <c r="AM7" s="247" t="s">
        <v>310</v>
      </c>
      <c r="AN7" s="247" t="s">
        <v>311</v>
      </c>
      <c r="AO7" s="247" t="s">
        <v>347</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541.0</v>
      </c>
      <c r="I9" s="75">
        <v>235.0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938.0</v>
      </c>
      <c r="AD9" s="75">
        <v>53.0</v>
      </c>
      <c r="AE9" s="75">
        <v>89.0</v>
      </c>
      <c r="AF9" s="75">
        <v>117.0</v>
      </c>
      <c r="AG9" s="75">
        <v>225.0</v>
      </c>
      <c r="AH9" s="75">
        <v>46.0</v>
      </c>
      <c r="AI9" s="75">
        <v>156.0</v>
      </c>
      <c r="AJ9" s="75">
        <v>46.0</v>
      </c>
      <c r="AK9" s="75">
        <v>565.0</v>
      </c>
      <c r="AL9" s="75">
        <v>42.0</v>
      </c>
      <c r="AM9" s="75">
        <v>144.0</v>
      </c>
      <c r="AN9" s="75">
        <v>102.0</v>
      </c>
      <c r="AO9" s="75">
        <v>111.0</v>
      </c>
      <c r="AP9" s="121">
        <v>6293.0</v>
      </c>
    </row>
    <row r="10">
      <c r="A10" s="251" t="s">
        <v>149</v>
      </c>
      <c r="B10" s="75">
        <v>198.0</v>
      </c>
      <c r="C10" s="75">
        <v>527.0</v>
      </c>
      <c r="D10" s="75">
        <v>154.0</v>
      </c>
      <c r="E10" s="75">
        <v>836.0</v>
      </c>
      <c r="F10" s="75">
        <v>122.0</v>
      </c>
      <c r="G10" s="75">
        <v>418.0</v>
      </c>
      <c r="H10" s="75">
        <v>667.0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324.0</v>
      </c>
      <c r="Y10" s="75">
        <v>267.0</v>
      </c>
      <c r="Z10" s="75">
        <v>206.0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11917.0</v>
      </c>
    </row>
    <row r="11">
      <c r="A11" s="251" t="s">
        <v>150</v>
      </c>
      <c r="B11" s="75">
        <v>155.0</v>
      </c>
      <c r="C11" s="75">
        <v>212.0</v>
      </c>
      <c r="D11" s="75">
        <v>177.0</v>
      </c>
      <c r="E11" s="75">
        <v>389.0</v>
      </c>
      <c r="F11" s="75">
        <v>57.0</v>
      </c>
      <c r="G11" s="75">
        <v>570.0</v>
      </c>
      <c r="H11" s="75">
        <v>828.0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344.0</v>
      </c>
      <c r="Z11" s="75">
        <v>144.0</v>
      </c>
      <c r="AA11" s="75">
        <v>677.0</v>
      </c>
      <c r="AB11" s="75">
        <v>170.0</v>
      </c>
      <c r="AC11" s="121">
        <v>1520.0</v>
      </c>
      <c r="AD11" s="75">
        <v>62.0</v>
      </c>
      <c r="AE11" s="75">
        <v>157.0</v>
      </c>
      <c r="AF11" s="75">
        <v>458.0</v>
      </c>
      <c r="AG11" s="75">
        <v>249.0</v>
      </c>
      <c r="AH11" s="75">
        <v>94.0</v>
      </c>
      <c r="AI11" s="75">
        <v>74.0</v>
      </c>
      <c r="AJ11" s="75">
        <v>182.0</v>
      </c>
      <c r="AK11" s="75">
        <v>989.0</v>
      </c>
      <c r="AL11" s="75">
        <v>82.0</v>
      </c>
      <c r="AM11" s="75">
        <v>251.0</v>
      </c>
      <c r="AN11" s="75">
        <v>162.0</v>
      </c>
      <c r="AO11" s="75">
        <v>469.0</v>
      </c>
      <c r="AP11" s="121">
        <v>11957.0</v>
      </c>
    </row>
    <row r="12">
      <c r="A12" s="251" t="s">
        <v>151</v>
      </c>
      <c r="B12" s="75">
        <v>138.0</v>
      </c>
      <c r="C12" s="75">
        <v>238.0</v>
      </c>
      <c r="D12" s="75">
        <v>260.0</v>
      </c>
      <c r="E12" s="75">
        <v>511.0</v>
      </c>
      <c r="F12" s="75">
        <v>50.0</v>
      </c>
      <c r="G12" s="75">
        <v>371.0</v>
      </c>
      <c r="H12" s="75">
        <v>848.0</v>
      </c>
      <c r="I12" s="75">
        <v>267.0</v>
      </c>
      <c r="J12" s="75">
        <v>96.0</v>
      </c>
      <c r="K12" s="75">
        <v>449.0</v>
      </c>
      <c r="L12" s="75">
        <v>67.0</v>
      </c>
      <c r="M12" s="75">
        <v>49.0</v>
      </c>
      <c r="N12" s="75">
        <v>124.0</v>
      </c>
      <c r="O12" s="75">
        <v>50.0</v>
      </c>
      <c r="P12" s="75">
        <v>44.0</v>
      </c>
      <c r="Q12" s="75">
        <v>295.0</v>
      </c>
      <c r="R12" s="75">
        <v>301.0</v>
      </c>
      <c r="S12" s="75">
        <v>9.0</v>
      </c>
      <c r="T12" s="75">
        <v>161.0</v>
      </c>
      <c r="U12" s="75">
        <v>130.0</v>
      </c>
      <c r="V12" s="75">
        <v>0.0</v>
      </c>
      <c r="W12" s="75">
        <v>168.0</v>
      </c>
      <c r="X12" s="75">
        <v>251.0</v>
      </c>
      <c r="Y12" s="75">
        <v>360.0</v>
      </c>
      <c r="Z12" s="75">
        <v>123.0</v>
      </c>
      <c r="AA12" s="75">
        <v>540.0</v>
      </c>
      <c r="AB12" s="75">
        <v>122.0</v>
      </c>
      <c r="AC12" s="121">
        <v>1161.0</v>
      </c>
      <c r="AD12" s="75">
        <v>60.0</v>
      </c>
      <c r="AE12" s="75">
        <v>123.0</v>
      </c>
      <c r="AF12" s="75">
        <v>333.0</v>
      </c>
      <c r="AG12" s="75">
        <v>248.0</v>
      </c>
      <c r="AH12" s="75">
        <v>81.0</v>
      </c>
      <c r="AI12" s="75">
        <v>249.0</v>
      </c>
      <c r="AJ12" s="75">
        <v>139.0</v>
      </c>
      <c r="AK12" s="75">
        <v>869.0</v>
      </c>
      <c r="AL12" s="75">
        <v>58.0</v>
      </c>
      <c r="AM12" s="75">
        <v>283.0</v>
      </c>
      <c r="AN12" s="75">
        <v>209.0</v>
      </c>
      <c r="AO12" s="75">
        <v>195.0</v>
      </c>
      <c r="AP12" s="121">
        <v>10030.0</v>
      </c>
    </row>
    <row r="13">
      <c r="A13" s="251" t="s">
        <v>152</v>
      </c>
      <c r="B13" s="75">
        <v>146.0</v>
      </c>
      <c r="C13" s="75">
        <v>296.0</v>
      </c>
      <c r="D13" s="75">
        <v>159.0</v>
      </c>
      <c r="E13" s="75">
        <v>877.0</v>
      </c>
      <c r="F13" s="75">
        <v>71.0</v>
      </c>
      <c r="G13" s="75">
        <v>280.0</v>
      </c>
      <c r="H13" s="75">
        <v>872.0</v>
      </c>
      <c r="I13" s="75">
        <v>378.0</v>
      </c>
      <c r="J13" s="75">
        <v>126.0</v>
      </c>
      <c r="K13" s="75">
        <v>611.0</v>
      </c>
      <c r="L13" s="75">
        <v>59.0</v>
      </c>
      <c r="M13" s="75">
        <v>36.0</v>
      </c>
      <c r="N13" s="75">
        <v>96.0</v>
      </c>
      <c r="O13" s="75">
        <v>144.0</v>
      </c>
      <c r="P13" s="75">
        <v>32.0</v>
      </c>
      <c r="Q13" s="75">
        <v>406.0</v>
      </c>
      <c r="R13" s="75">
        <v>198.0</v>
      </c>
      <c r="S13" s="75">
        <v>14.0</v>
      </c>
      <c r="T13" s="75">
        <v>77.0</v>
      </c>
      <c r="U13" s="75">
        <v>145.0</v>
      </c>
      <c r="V13" s="75" t="s">
        <v>55</v>
      </c>
      <c r="W13" s="75">
        <v>93.0</v>
      </c>
      <c r="X13" s="75">
        <v>290.0</v>
      </c>
      <c r="Y13" s="75">
        <v>433.0</v>
      </c>
      <c r="Z13" s="75">
        <v>116.0</v>
      </c>
      <c r="AA13" s="75">
        <v>703.0</v>
      </c>
      <c r="AB13" s="75">
        <v>86.0</v>
      </c>
      <c r="AC13" s="121">
        <v>1330.0</v>
      </c>
      <c r="AD13" s="75">
        <v>48.0</v>
      </c>
      <c r="AE13" s="75">
        <v>91.0</v>
      </c>
      <c r="AF13" s="75">
        <v>205.0</v>
      </c>
      <c r="AG13" s="75">
        <v>214.0</v>
      </c>
      <c r="AH13" s="75">
        <v>150.0</v>
      </c>
      <c r="AI13" s="75">
        <v>80.0</v>
      </c>
      <c r="AJ13" s="121">
        <v>116.0</v>
      </c>
      <c r="AK13" s="121">
        <v>1264.0</v>
      </c>
      <c r="AL13" s="75">
        <v>43.0</v>
      </c>
      <c r="AM13" s="75">
        <v>289.0</v>
      </c>
      <c r="AN13" s="75">
        <v>245.0</v>
      </c>
      <c r="AO13" s="75">
        <v>364.0</v>
      </c>
      <c r="AP13" s="121">
        <v>11184.0</v>
      </c>
    </row>
    <row r="14">
      <c r="A14" s="251" t="s">
        <v>153</v>
      </c>
      <c r="B14" s="75">
        <v>135.0</v>
      </c>
      <c r="C14" s="75">
        <v>277.0</v>
      </c>
      <c r="D14" s="75">
        <v>181.0</v>
      </c>
      <c r="E14" s="75">
        <v>527.0</v>
      </c>
      <c r="F14" s="75">
        <v>85.0</v>
      </c>
      <c r="G14" s="75">
        <v>609.0</v>
      </c>
      <c r="H14" s="75">
        <v>992.0</v>
      </c>
      <c r="I14" s="75">
        <v>358.0</v>
      </c>
      <c r="J14" s="75">
        <v>259.0</v>
      </c>
      <c r="K14" s="75">
        <v>670.0</v>
      </c>
      <c r="L14" s="75">
        <v>62.0</v>
      </c>
      <c r="M14" s="75">
        <v>61.0</v>
      </c>
      <c r="N14" s="75">
        <v>127.0</v>
      </c>
      <c r="O14" s="75">
        <v>73.0</v>
      </c>
      <c r="P14" s="75">
        <v>53.0</v>
      </c>
      <c r="Q14" s="75">
        <v>482.0</v>
      </c>
      <c r="R14" s="75">
        <v>373.0</v>
      </c>
      <c r="S14" s="75">
        <v>38.0</v>
      </c>
      <c r="T14" s="75">
        <v>324.0</v>
      </c>
      <c r="U14" s="75">
        <v>133.0</v>
      </c>
      <c r="V14" s="75">
        <v>7.0</v>
      </c>
      <c r="W14" s="75">
        <v>308.0</v>
      </c>
      <c r="X14" s="75">
        <v>446.0</v>
      </c>
      <c r="Y14" s="75">
        <v>409.0</v>
      </c>
      <c r="Z14" s="75">
        <v>314.0</v>
      </c>
      <c r="AA14" s="75">
        <v>865.0</v>
      </c>
      <c r="AB14" s="75">
        <v>127.0</v>
      </c>
      <c r="AC14" s="121">
        <v>1804.0</v>
      </c>
      <c r="AD14" s="75">
        <v>94.0</v>
      </c>
      <c r="AE14" s="75">
        <v>182.0</v>
      </c>
      <c r="AF14" s="75">
        <v>554.0</v>
      </c>
      <c r="AG14" s="75">
        <v>311.0</v>
      </c>
      <c r="AH14" s="75">
        <v>78.0</v>
      </c>
      <c r="AI14" s="75">
        <v>425.0</v>
      </c>
      <c r="AJ14" s="75">
        <v>236.0</v>
      </c>
      <c r="AK14" s="75">
        <v>919.0</v>
      </c>
      <c r="AL14" s="75">
        <v>64.0</v>
      </c>
      <c r="AM14" s="75">
        <v>532.0</v>
      </c>
      <c r="AN14" s="75">
        <v>124.0</v>
      </c>
      <c r="AO14" s="75">
        <v>543.0</v>
      </c>
      <c r="AP14" s="121">
        <v>14161.0</v>
      </c>
    </row>
    <row r="15">
      <c r="A15" s="251" t="s">
        <v>154</v>
      </c>
      <c r="B15" s="75">
        <v>281.0</v>
      </c>
      <c r="C15" s="75">
        <v>192.0</v>
      </c>
      <c r="D15" s="75">
        <v>205.0</v>
      </c>
      <c r="E15" s="75">
        <v>785.0</v>
      </c>
      <c r="F15" s="75">
        <v>105.0</v>
      </c>
      <c r="G15" s="75">
        <v>427.0</v>
      </c>
      <c r="H15" s="121">
        <v>1396.0</v>
      </c>
      <c r="I15" s="121">
        <v>1040.0</v>
      </c>
      <c r="J15" s="75">
        <v>355.0</v>
      </c>
      <c r="K15" s="75">
        <v>680.0</v>
      </c>
      <c r="L15" s="75">
        <v>88.0</v>
      </c>
      <c r="M15" s="75">
        <v>33.0</v>
      </c>
      <c r="N15" s="75">
        <v>93.0</v>
      </c>
      <c r="O15" s="75">
        <v>96.0</v>
      </c>
      <c r="P15" s="75">
        <v>115.0</v>
      </c>
      <c r="Q15" s="75">
        <v>291.0</v>
      </c>
      <c r="R15" s="75">
        <v>607.0</v>
      </c>
      <c r="S15" s="75">
        <v>31.0</v>
      </c>
      <c r="T15" s="75">
        <v>216.0</v>
      </c>
      <c r="U15" s="75">
        <v>262.0</v>
      </c>
      <c r="V15" s="75">
        <v>14.0</v>
      </c>
      <c r="W15" s="75">
        <v>390.0</v>
      </c>
      <c r="X15" s="75">
        <v>458.0</v>
      </c>
      <c r="Y15" s="75">
        <v>570.0</v>
      </c>
      <c r="Z15" s="75">
        <v>106.0</v>
      </c>
      <c r="AA15" s="121">
        <v>1081.0</v>
      </c>
      <c r="AB15" s="75">
        <v>383.0</v>
      </c>
      <c r="AC15" s="121">
        <v>1764.0</v>
      </c>
      <c r="AD15" s="75">
        <v>110.0</v>
      </c>
      <c r="AE15" s="75">
        <v>94.0</v>
      </c>
      <c r="AF15" s="75">
        <v>345.0</v>
      </c>
      <c r="AG15" s="75">
        <v>488.0</v>
      </c>
      <c r="AH15" s="75">
        <v>205.0</v>
      </c>
      <c r="AI15" s="75">
        <v>232.0</v>
      </c>
      <c r="AJ15" s="121">
        <v>165.0</v>
      </c>
      <c r="AK15" s="121">
        <v>1567.0</v>
      </c>
      <c r="AL15" s="75">
        <v>89.0</v>
      </c>
      <c r="AM15" s="75">
        <v>305.0</v>
      </c>
      <c r="AN15" s="75">
        <v>363.0</v>
      </c>
      <c r="AO15" s="75">
        <v>638.0</v>
      </c>
      <c r="AP15" s="121">
        <v>16665.0</v>
      </c>
    </row>
    <row r="16">
      <c r="A16" s="251" t="s">
        <v>155</v>
      </c>
      <c r="B16" s="75">
        <v>353.0</v>
      </c>
      <c r="C16" s="75">
        <v>319.0</v>
      </c>
      <c r="D16" s="75">
        <v>227.0</v>
      </c>
      <c r="E16" s="75">
        <v>506.0</v>
      </c>
      <c r="F16" s="75">
        <v>132.0</v>
      </c>
      <c r="G16" s="75">
        <v>772.0</v>
      </c>
      <c r="H16" s="121">
        <v>1417.0</v>
      </c>
      <c r="I16" s="75">
        <v>440.0</v>
      </c>
      <c r="J16" s="75">
        <v>303.0</v>
      </c>
      <c r="K16" s="75">
        <v>734.0</v>
      </c>
      <c r="L16" s="75">
        <v>129.0</v>
      </c>
      <c r="M16" s="75">
        <v>83.0</v>
      </c>
      <c r="N16" s="75">
        <v>127.0</v>
      </c>
      <c r="O16" s="75">
        <v>133.0</v>
      </c>
      <c r="P16" s="75">
        <v>94.0</v>
      </c>
      <c r="Q16" s="75">
        <v>622.0</v>
      </c>
      <c r="R16" s="75">
        <v>409.0</v>
      </c>
      <c r="S16" s="75">
        <v>55.0</v>
      </c>
      <c r="T16" s="75">
        <v>226.0</v>
      </c>
      <c r="U16" s="75">
        <v>279.0</v>
      </c>
      <c r="V16" s="75">
        <v>10.0</v>
      </c>
      <c r="W16" s="75">
        <v>277.0</v>
      </c>
      <c r="X16" s="75">
        <v>522.0</v>
      </c>
      <c r="Y16" s="75">
        <v>447.0</v>
      </c>
      <c r="Z16" s="75">
        <v>184.0</v>
      </c>
      <c r="AA16" s="75">
        <v>940.0</v>
      </c>
      <c r="AB16" s="75">
        <v>255.0</v>
      </c>
      <c r="AC16" s="121">
        <v>1698.0</v>
      </c>
      <c r="AD16" s="75">
        <v>106.0</v>
      </c>
      <c r="AE16" s="75">
        <v>171.0</v>
      </c>
      <c r="AF16" s="75">
        <v>383.0</v>
      </c>
      <c r="AG16" s="75">
        <v>572.0</v>
      </c>
      <c r="AH16" s="75">
        <v>185.0</v>
      </c>
      <c r="AI16" s="75">
        <v>287.0</v>
      </c>
      <c r="AJ16" s="121">
        <v>134.0</v>
      </c>
      <c r="AK16" s="121">
        <v>1548.0</v>
      </c>
      <c r="AL16" s="75">
        <v>96.0</v>
      </c>
      <c r="AM16" s="75">
        <v>543.0</v>
      </c>
      <c r="AN16" s="75">
        <v>291.0</v>
      </c>
      <c r="AO16" s="75">
        <v>409.0</v>
      </c>
      <c r="AP16" s="121">
        <v>16418.0</v>
      </c>
    </row>
    <row r="17">
      <c r="A17" s="251" t="s">
        <v>156</v>
      </c>
      <c r="B17" s="75">
        <v>713.0</v>
      </c>
      <c r="C17" s="75">
        <v>808.0</v>
      </c>
      <c r="D17" s="75">
        <v>314.0</v>
      </c>
      <c r="E17" s="75">
        <v>369.0</v>
      </c>
      <c r="F17" s="75">
        <v>223.0</v>
      </c>
      <c r="G17" s="121">
        <v>1229.0</v>
      </c>
      <c r="H17" s="121">
        <v>3527.0</v>
      </c>
      <c r="I17" s="121">
        <v>1035.0</v>
      </c>
      <c r="J17" s="75">
        <v>530.0</v>
      </c>
      <c r="K17" s="121">
        <v>1617.0</v>
      </c>
      <c r="L17" s="75">
        <v>189.0</v>
      </c>
      <c r="M17" s="75">
        <v>108.0</v>
      </c>
      <c r="N17" s="75">
        <v>278.0</v>
      </c>
      <c r="O17" s="75">
        <v>160.0</v>
      </c>
      <c r="P17" s="75">
        <v>318.0</v>
      </c>
      <c r="Q17" s="75">
        <v>963.0</v>
      </c>
      <c r="R17" s="75">
        <v>589.0</v>
      </c>
      <c r="S17" s="75">
        <v>132.0</v>
      </c>
      <c r="T17" s="75">
        <v>694.0</v>
      </c>
      <c r="U17" s="75">
        <v>643.0</v>
      </c>
      <c r="V17" s="75">
        <v>13.0</v>
      </c>
      <c r="W17" s="75">
        <v>819.0</v>
      </c>
      <c r="X17" s="75">
        <v>894.0</v>
      </c>
      <c r="Y17" s="75">
        <v>994.0</v>
      </c>
      <c r="Z17" s="75">
        <v>424.0</v>
      </c>
      <c r="AA17" s="121">
        <v>1311.0</v>
      </c>
      <c r="AB17" s="75">
        <v>598.0</v>
      </c>
      <c r="AC17" s="121">
        <v>3799.0</v>
      </c>
      <c r="AD17" s="75">
        <v>102.0</v>
      </c>
      <c r="AE17" s="75">
        <v>330.0</v>
      </c>
      <c r="AF17" s="75">
        <v>810.0</v>
      </c>
      <c r="AG17" s="121">
        <v>1112.0</v>
      </c>
      <c r="AH17" s="75">
        <v>385.0</v>
      </c>
      <c r="AI17" s="75">
        <v>66.0</v>
      </c>
      <c r="AJ17" s="121">
        <v>406.0</v>
      </c>
      <c r="AK17" s="121">
        <v>3368.0</v>
      </c>
      <c r="AL17" s="75">
        <v>190.0</v>
      </c>
      <c r="AM17" s="75">
        <v>917.0</v>
      </c>
      <c r="AN17" s="75">
        <v>769.0</v>
      </c>
      <c r="AO17" s="75">
        <v>817.0</v>
      </c>
      <c r="AP17" s="121">
        <v>32563.0</v>
      </c>
    </row>
    <row r="18">
      <c r="A18" s="251" t="s">
        <v>157</v>
      </c>
      <c r="B18" s="75">
        <v>883.0</v>
      </c>
      <c r="C18" s="121">
        <v>1429.0</v>
      </c>
      <c r="D18" s="75">
        <v>617.0</v>
      </c>
      <c r="E18" s="75">
        <v>111.0</v>
      </c>
      <c r="F18" s="75">
        <v>607.0</v>
      </c>
      <c r="G18" s="121">
        <v>1525.0</v>
      </c>
      <c r="H18" s="121">
        <v>3405.0</v>
      </c>
      <c r="I18" s="121">
        <v>1675.0</v>
      </c>
      <c r="J18" s="75">
        <v>582.0</v>
      </c>
      <c r="K18" s="121">
        <v>2200.0</v>
      </c>
      <c r="L18" s="75">
        <v>313.0</v>
      </c>
      <c r="M18" s="75">
        <v>206.0</v>
      </c>
      <c r="N18" s="75">
        <v>487.0</v>
      </c>
      <c r="O18" s="75">
        <v>423.0</v>
      </c>
      <c r="P18" s="75">
        <v>585.0</v>
      </c>
      <c r="Q18" s="121">
        <v>1164.0</v>
      </c>
      <c r="R18" s="121">
        <v>1168.0</v>
      </c>
      <c r="S18" s="75">
        <v>303.0</v>
      </c>
      <c r="T18" s="75">
        <v>817.0</v>
      </c>
      <c r="U18" s="75">
        <v>865.0</v>
      </c>
      <c r="V18" s="75">
        <v>8.0</v>
      </c>
      <c r="W18" s="121">
        <v>1194.0</v>
      </c>
      <c r="X18" s="121">
        <v>1754.0</v>
      </c>
      <c r="Y18" s="121">
        <v>1886.0</v>
      </c>
      <c r="Z18" s="75">
        <v>683.0</v>
      </c>
      <c r="AA18" s="121">
        <v>1655.0</v>
      </c>
      <c r="AB18" s="75">
        <v>969.0</v>
      </c>
      <c r="AC18" s="121">
        <v>3846.0</v>
      </c>
      <c r="AD18" s="75">
        <v>441.0</v>
      </c>
      <c r="AE18" s="75">
        <v>558.0</v>
      </c>
      <c r="AF18" s="121">
        <v>1159.0</v>
      </c>
      <c r="AG18" s="121">
        <v>1637.0</v>
      </c>
      <c r="AH18" s="75">
        <v>833.0</v>
      </c>
      <c r="AI18" s="75">
        <v>88.0</v>
      </c>
      <c r="AJ18" s="121">
        <v>659.0</v>
      </c>
      <c r="AK18" s="121">
        <v>4054.0</v>
      </c>
      <c r="AL18" s="121">
        <v>299.0</v>
      </c>
      <c r="AM18" s="121">
        <v>1147.0</v>
      </c>
      <c r="AN18" s="121">
        <v>1090.0</v>
      </c>
      <c r="AO18" s="121">
        <v>1197.0</v>
      </c>
      <c r="AP18" s="121">
        <v>44522.0</v>
      </c>
    </row>
    <row r="19">
      <c r="A19" s="251" t="s">
        <v>158</v>
      </c>
      <c r="B19" s="121">
        <v>642.0</v>
      </c>
      <c r="C19" s="121">
        <v>982.0</v>
      </c>
      <c r="D19" s="121">
        <v>618.0</v>
      </c>
      <c r="E19" s="121">
        <v>349.0</v>
      </c>
      <c r="F19" s="121">
        <v>320.0</v>
      </c>
      <c r="G19" s="121">
        <v>1450.0</v>
      </c>
      <c r="H19" s="121">
        <v>2818.0</v>
      </c>
      <c r="I19" s="121">
        <v>1478.0</v>
      </c>
      <c r="J19" s="121">
        <v>682.0</v>
      </c>
      <c r="K19" s="121">
        <v>1559.0</v>
      </c>
      <c r="L19" s="121">
        <v>333.0</v>
      </c>
      <c r="M19" s="121">
        <v>188.0</v>
      </c>
      <c r="N19" s="121">
        <v>388.0</v>
      </c>
      <c r="O19" s="121">
        <v>306.0</v>
      </c>
      <c r="P19" s="121">
        <v>358.0</v>
      </c>
      <c r="Q19" s="121">
        <v>1151.0</v>
      </c>
      <c r="R19" s="121">
        <v>911.0</v>
      </c>
      <c r="S19" s="121">
        <v>143.0</v>
      </c>
      <c r="T19" s="121">
        <v>743.0</v>
      </c>
      <c r="U19" s="121">
        <v>886.0</v>
      </c>
      <c r="V19" s="121">
        <v>8.0</v>
      </c>
      <c r="W19" s="121">
        <v>797.0</v>
      </c>
      <c r="X19" s="121">
        <v>1117.0</v>
      </c>
      <c r="Y19" s="121">
        <v>1289.0</v>
      </c>
      <c r="Z19" s="121">
        <v>611.0</v>
      </c>
      <c r="AA19" s="121">
        <v>1746.0</v>
      </c>
      <c r="AB19" s="121">
        <v>785.0</v>
      </c>
      <c r="AC19" s="121">
        <v>5752.0</v>
      </c>
      <c r="AD19" s="121">
        <v>281.0</v>
      </c>
      <c r="AE19" s="121">
        <v>481.0</v>
      </c>
      <c r="AF19" s="121">
        <v>937.0</v>
      </c>
      <c r="AG19" s="121">
        <v>1441.0</v>
      </c>
      <c r="AH19" s="121">
        <v>668.0</v>
      </c>
      <c r="AI19" s="121">
        <v>63.0</v>
      </c>
      <c r="AJ19" s="121">
        <v>447.0</v>
      </c>
      <c r="AK19" s="121">
        <v>3389.0</v>
      </c>
      <c r="AL19" s="121">
        <v>282.0</v>
      </c>
      <c r="AM19" s="121">
        <v>1184.0</v>
      </c>
      <c r="AN19" s="121">
        <v>1069.0</v>
      </c>
      <c r="AO19" s="121">
        <v>1042.0</v>
      </c>
      <c r="AP19" s="121">
        <v>39694.0</v>
      </c>
    </row>
    <row r="20">
      <c r="A20" s="251" t="s">
        <v>159</v>
      </c>
      <c r="B20" s="75">
        <v>692.0</v>
      </c>
      <c r="C20" s="75">
        <v>721.0</v>
      </c>
      <c r="D20" s="75">
        <v>542.0</v>
      </c>
      <c r="E20" s="75">
        <v>179.0</v>
      </c>
      <c r="F20" s="75">
        <v>347.0</v>
      </c>
      <c r="G20" s="121">
        <v>1087.0</v>
      </c>
      <c r="H20" s="121">
        <v>2456.0</v>
      </c>
      <c r="I20" s="121">
        <v>1097.0</v>
      </c>
      <c r="J20" s="75">
        <v>517.0</v>
      </c>
      <c r="K20" s="121">
        <v>1539.0</v>
      </c>
      <c r="L20" s="75">
        <v>236.0</v>
      </c>
      <c r="M20" s="75">
        <v>153.0</v>
      </c>
      <c r="N20" s="75">
        <v>363.0</v>
      </c>
      <c r="O20" s="75">
        <v>358.0</v>
      </c>
      <c r="P20" s="75">
        <v>153.0</v>
      </c>
      <c r="Q20" s="75">
        <v>934.0</v>
      </c>
      <c r="R20" s="75">
        <v>698.0</v>
      </c>
      <c r="S20" s="75">
        <v>113.0</v>
      </c>
      <c r="T20" s="75">
        <v>529.0</v>
      </c>
      <c r="U20" s="75">
        <v>448.0</v>
      </c>
      <c r="V20" s="75">
        <v>6.0</v>
      </c>
      <c r="W20" s="75">
        <v>550.0</v>
      </c>
      <c r="X20" s="121">
        <v>1269.0</v>
      </c>
      <c r="Y20" s="121">
        <v>1101.0</v>
      </c>
      <c r="Z20" s="75">
        <v>454.0</v>
      </c>
      <c r="AA20" s="121">
        <v>1614.0</v>
      </c>
      <c r="AB20" s="75">
        <v>554.0</v>
      </c>
      <c r="AC20" s="121">
        <v>4456.0</v>
      </c>
      <c r="AD20" s="75">
        <v>345.0</v>
      </c>
      <c r="AE20" s="75">
        <v>433.0</v>
      </c>
      <c r="AF20" s="75">
        <v>742.0</v>
      </c>
      <c r="AG20" s="75">
        <v>808.0</v>
      </c>
      <c r="AH20" s="75">
        <v>459.0</v>
      </c>
      <c r="AI20" s="75">
        <v>52.0</v>
      </c>
      <c r="AJ20" s="75">
        <v>309.0</v>
      </c>
      <c r="AK20" s="121">
        <v>2850.0</v>
      </c>
      <c r="AL20" s="75">
        <v>212.0</v>
      </c>
      <c r="AM20" s="75">
        <v>834.0</v>
      </c>
      <c r="AN20" s="75">
        <v>690.0</v>
      </c>
      <c r="AO20" s="75">
        <v>950.0</v>
      </c>
      <c r="AP20" s="121">
        <v>31850.0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348</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349</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350</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175</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164</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164</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666.0</v>
      </c>
      <c r="I10" s="122">
        <v>678.0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9144.0</v>
      </c>
      <c r="AL10" s="122">
        <v>145.0</v>
      </c>
      <c r="AM10" s="122">
        <v>636.0</v>
      </c>
      <c r="AN10" s="122">
        <v>246.0</v>
      </c>
      <c r="AO10" s="122">
        <v>596.0</v>
      </c>
    </row>
    <row r="11">
      <c r="A11" s="251" t="s">
        <v>149</v>
      </c>
      <c r="B11" s="140">
        <v>1224.0</v>
      </c>
      <c r="C11" s="140">
        <v>2370.0</v>
      </c>
      <c r="D11" s="122">
        <v>936.0</v>
      </c>
      <c r="E11" s="140">
        <v>4313.0</v>
      </c>
      <c r="F11" s="140">
        <v>1568.0</v>
      </c>
      <c r="G11" s="140">
        <v>1209.0</v>
      </c>
      <c r="H11" s="122">
        <v>821.0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1236.0</v>
      </c>
      <c r="Y11" s="122">
        <v>823.0</v>
      </c>
      <c r="Z11" s="140">
        <v>1668.0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953.0</v>
      </c>
      <c r="D12" s="140">
        <v>1076.0</v>
      </c>
      <c r="E12" s="140">
        <v>2007.0</v>
      </c>
      <c r="F12" s="122">
        <v>733.0</v>
      </c>
      <c r="G12" s="140">
        <v>1649.0</v>
      </c>
      <c r="H12" s="140">
        <v>1020.0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164</v>
      </c>
      <c r="W12" s="140">
        <v>1179.0</v>
      </c>
      <c r="X12" s="140">
        <v>1198.0</v>
      </c>
      <c r="Y12" s="140">
        <v>1060.0</v>
      </c>
      <c r="Z12" s="140">
        <v>1166.0</v>
      </c>
      <c r="AA12" s="122">
        <v>943.0</v>
      </c>
      <c r="AB12" s="140">
        <v>976.0</v>
      </c>
      <c r="AC12" s="122">
        <v>847.0</v>
      </c>
      <c r="AD12" s="122">
        <v>813.0</v>
      </c>
      <c r="AE12" s="140">
        <v>1481.0</v>
      </c>
      <c r="AF12" s="140">
        <v>2117.0</v>
      </c>
      <c r="AG12" s="122">
        <v>810.0</v>
      </c>
      <c r="AH12" s="122">
        <v>594.0</v>
      </c>
      <c r="AI12" s="140">
        <v>706.0</v>
      </c>
      <c r="AJ12" s="140">
        <v>224.0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771.0</v>
      </c>
      <c r="J13" s="122">
        <v>734.0</v>
      </c>
      <c r="K13" s="122">
        <v>946.0</v>
      </c>
      <c r="L13" s="122">
        <v>988.0</v>
      </c>
      <c r="M13" s="140">
        <v>1045.0</v>
      </c>
      <c r="N13" s="140">
        <v>1232.0</v>
      </c>
      <c r="O13" s="122">
        <v>616.0</v>
      </c>
      <c r="P13" s="122">
        <v>801.0</v>
      </c>
      <c r="Q13" s="140">
        <v>1009.0</v>
      </c>
      <c r="R13" s="140">
        <v>1391.0</v>
      </c>
      <c r="S13" s="122">
        <v>257.0</v>
      </c>
      <c r="T13" s="140">
        <v>1001.0</v>
      </c>
      <c r="U13" s="122">
        <v>836.0</v>
      </c>
      <c r="V13" s="122">
        <v>0.0</v>
      </c>
      <c r="W13" s="122">
        <v>678.0</v>
      </c>
      <c r="X13" s="122">
        <v>958.0</v>
      </c>
      <c r="Y13" s="140">
        <v>1109.0</v>
      </c>
      <c r="Z13" s="122">
        <v>996.0</v>
      </c>
      <c r="AA13" s="122">
        <v>753.0</v>
      </c>
      <c r="AB13" s="122">
        <v>700.0</v>
      </c>
      <c r="AC13" s="122">
        <v>647.0</v>
      </c>
      <c r="AD13" s="122">
        <v>787.0</v>
      </c>
      <c r="AE13" s="140">
        <v>1160.0</v>
      </c>
      <c r="AF13" s="140">
        <v>1540.0</v>
      </c>
      <c r="AG13" s="122">
        <v>807.0</v>
      </c>
      <c r="AH13" s="122">
        <v>512.0</v>
      </c>
      <c r="AI13" s="140">
        <v>2374.0</v>
      </c>
      <c r="AJ13" s="140">
        <v>171.0</v>
      </c>
      <c r="AK13" s="140">
        <v>14064.0</v>
      </c>
      <c r="AL13" s="122">
        <v>200.0</v>
      </c>
      <c r="AM13" s="140">
        <v>1251.0</v>
      </c>
      <c r="AN13" s="122">
        <v>503.0</v>
      </c>
      <c r="AO13" s="122">
        <v>949.0</v>
      </c>
    </row>
    <row r="14">
      <c r="A14" s="251" t="s">
        <v>152</v>
      </c>
      <c r="B14" s="122">
        <v>902.0</v>
      </c>
      <c r="C14" s="140">
        <v>1331.0</v>
      </c>
      <c r="D14" s="122">
        <v>966.0</v>
      </c>
      <c r="E14" s="140">
        <v>4525.0</v>
      </c>
      <c r="F14" s="122">
        <v>913.0</v>
      </c>
      <c r="G14" s="122">
        <v>810.0</v>
      </c>
      <c r="H14" s="140">
        <v>1074.0</v>
      </c>
      <c r="I14" s="140">
        <v>1091.0</v>
      </c>
      <c r="J14" s="122">
        <v>964.0</v>
      </c>
      <c r="K14" s="140">
        <v>1288.0</v>
      </c>
      <c r="L14" s="122">
        <v>870.0</v>
      </c>
      <c r="M14" s="122">
        <v>768.0</v>
      </c>
      <c r="N14" s="122">
        <v>954.0</v>
      </c>
      <c r="O14" s="140">
        <v>1775.0</v>
      </c>
      <c r="P14" s="122">
        <v>582.0</v>
      </c>
      <c r="Q14" s="140">
        <v>1389.0</v>
      </c>
      <c r="R14" s="122">
        <v>915.0</v>
      </c>
      <c r="S14" s="122">
        <v>399.0</v>
      </c>
      <c r="T14" s="122">
        <v>479.0</v>
      </c>
      <c r="U14" s="122">
        <v>932.0</v>
      </c>
      <c r="V14" s="122" t="s">
        <v>164</v>
      </c>
      <c r="W14" s="122">
        <v>376.0</v>
      </c>
      <c r="X14" s="140">
        <v>1107.0</v>
      </c>
      <c r="Y14" s="140">
        <v>1334.0</v>
      </c>
      <c r="Z14" s="122">
        <v>939.0</v>
      </c>
      <c r="AA14" s="122">
        <v>980.0</v>
      </c>
      <c r="AB14" s="122">
        <v>494.0</v>
      </c>
      <c r="AC14" s="122">
        <v>741.0</v>
      </c>
      <c r="AD14" s="122">
        <v>629.0</v>
      </c>
      <c r="AE14" s="122">
        <v>858.0</v>
      </c>
      <c r="AF14" s="122">
        <v>948.0</v>
      </c>
      <c r="AG14" s="122">
        <v>696.0</v>
      </c>
      <c r="AH14" s="122">
        <v>948.0</v>
      </c>
      <c r="AI14" s="140">
        <v>763.0</v>
      </c>
      <c r="AJ14" s="140">
        <v>143.0</v>
      </c>
      <c r="AK14" s="140">
        <v>20456.0</v>
      </c>
      <c r="AL14" s="122">
        <v>149.0</v>
      </c>
      <c r="AM14" s="140">
        <v>1277.0</v>
      </c>
      <c r="AN14" s="122">
        <v>590.0</v>
      </c>
      <c r="AO14" s="140">
        <v>1058.0</v>
      </c>
    </row>
    <row r="15">
      <c r="A15" s="251" t="s">
        <v>153</v>
      </c>
      <c r="B15" s="122">
        <v>834.0</v>
      </c>
      <c r="C15" s="140">
        <v>1246.0</v>
      </c>
      <c r="D15" s="140">
        <v>1100.0</v>
      </c>
      <c r="E15" s="140">
        <v>2719.0</v>
      </c>
      <c r="F15" s="140">
        <v>1093.0</v>
      </c>
      <c r="G15" s="140">
        <v>1761.0</v>
      </c>
      <c r="H15" s="140">
        <v>1222.0</v>
      </c>
      <c r="I15" s="140">
        <v>1033.0</v>
      </c>
      <c r="J15" s="140">
        <v>1981.0</v>
      </c>
      <c r="K15" s="140">
        <v>1412.0</v>
      </c>
      <c r="L15" s="122">
        <v>914.0</v>
      </c>
      <c r="M15" s="140">
        <v>1301.0</v>
      </c>
      <c r="N15" s="140">
        <v>1262.0</v>
      </c>
      <c r="O15" s="122">
        <v>900.0</v>
      </c>
      <c r="P15" s="122">
        <v>964.0</v>
      </c>
      <c r="Q15" s="140">
        <v>1649.0</v>
      </c>
      <c r="R15" s="140">
        <v>1723.0</v>
      </c>
      <c r="S15" s="140">
        <v>1084.0</v>
      </c>
      <c r="T15" s="140">
        <v>2015.0</v>
      </c>
      <c r="U15" s="122">
        <v>855.0</v>
      </c>
      <c r="V15" s="122">
        <v>846.0</v>
      </c>
      <c r="W15" s="140">
        <v>1244.0</v>
      </c>
      <c r="X15" s="140">
        <v>1702.0</v>
      </c>
      <c r="Y15" s="140">
        <v>1260.0</v>
      </c>
      <c r="Z15" s="140">
        <v>2543.0</v>
      </c>
      <c r="AA15" s="140">
        <v>1205.0</v>
      </c>
      <c r="AB15" s="122">
        <v>729.0</v>
      </c>
      <c r="AC15" s="140">
        <v>1005.0</v>
      </c>
      <c r="AD15" s="140">
        <v>1233.0</v>
      </c>
      <c r="AE15" s="140">
        <v>1716.0</v>
      </c>
      <c r="AF15" s="140">
        <v>2561.0</v>
      </c>
      <c r="AG15" s="140">
        <v>1012.0</v>
      </c>
      <c r="AH15" s="122">
        <v>493.0</v>
      </c>
      <c r="AI15" s="140">
        <v>4052.0</v>
      </c>
      <c r="AJ15" s="140">
        <v>291.0</v>
      </c>
      <c r="AK15" s="140">
        <v>14873.0</v>
      </c>
      <c r="AL15" s="140">
        <v>221.0</v>
      </c>
      <c r="AM15" s="140">
        <v>2351.0</v>
      </c>
      <c r="AN15" s="140">
        <v>299.0</v>
      </c>
      <c r="AO15" s="140">
        <v>1340.0</v>
      </c>
    </row>
    <row r="16">
      <c r="A16" s="251" t="s">
        <v>154</v>
      </c>
      <c r="B16" s="140">
        <v>1737.0</v>
      </c>
      <c r="C16" s="122">
        <v>864.0</v>
      </c>
      <c r="D16" s="140">
        <v>1246.0</v>
      </c>
      <c r="E16" s="140">
        <v>4050.0</v>
      </c>
      <c r="F16" s="140">
        <v>1350.0</v>
      </c>
      <c r="G16" s="140">
        <v>1235.0</v>
      </c>
      <c r="H16" s="140">
        <v>1719.0</v>
      </c>
      <c r="I16" s="140">
        <v>3001.0</v>
      </c>
      <c r="J16" s="140">
        <v>2716.0</v>
      </c>
      <c r="K16" s="140">
        <v>1433.0</v>
      </c>
      <c r="L16" s="140">
        <v>1298.0</v>
      </c>
      <c r="M16" s="122">
        <v>704.0</v>
      </c>
      <c r="N16" s="122">
        <v>924.0</v>
      </c>
      <c r="O16" s="140">
        <v>1184.0</v>
      </c>
      <c r="P16" s="140">
        <v>2092.0</v>
      </c>
      <c r="Q16" s="122">
        <v>995.0</v>
      </c>
      <c r="R16" s="140">
        <v>2804.0</v>
      </c>
      <c r="S16" s="122">
        <v>884.0</v>
      </c>
      <c r="T16" s="140">
        <v>1343.0</v>
      </c>
      <c r="U16" s="140">
        <v>1685.0</v>
      </c>
      <c r="V16" s="140">
        <v>1693.0</v>
      </c>
      <c r="W16" s="140">
        <v>1575.0</v>
      </c>
      <c r="X16" s="140">
        <v>1748.0</v>
      </c>
      <c r="Y16" s="140">
        <v>1756.0</v>
      </c>
      <c r="Z16" s="122">
        <v>858.0</v>
      </c>
      <c r="AA16" s="140">
        <v>1506.0</v>
      </c>
      <c r="AB16" s="140">
        <v>2199.0</v>
      </c>
      <c r="AC16" s="122">
        <v>983.0</v>
      </c>
      <c r="AD16" s="140">
        <v>1442.0</v>
      </c>
      <c r="AE16" s="122">
        <v>887.0</v>
      </c>
      <c r="AF16" s="140">
        <v>1595.0</v>
      </c>
      <c r="AG16" s="140">
        <v>1588.0</v>
      </c>
      <c r="AH16" s="140">
        <v>1296.0</v>
      </c>
      <c r="AI16" s="140">
        <v>2212.0</v>
      </c>
      <c r="AJ16" s="140">
        <v>204.0</v>
      </c>
      <c r="AK16" s="140">
        <v>25360.0</v>
      </c>
      <c r="AL16" s="140">
        <v>307.0</v>
      </c>
      <c r="AM16" s="140">
        <v>1348.0</v>
      </c>
      <c r="AN16" s="140">
        <v>874.0</v>
      </c>
      <c r="AO16" s="140">
        <v>1577.0</v>
      </c>
    </row>
    <row r="17">
      <c r="A17" s="251" t="s">
        <v>155</v>
      </c>
      <c r="B17" s="140">
        <v>2182.0</v>
      </c>
      <c r="C17" s="140">
        <v>1435.0</v>
      </c>
      <c r="D17" s="140">
        <v>1380.0</v>
      </c>
      <c r="E17" s="140">
        <v>2611.0</v>
      </c>
      <c r="F17" s="140">
        <v>1697.0</v>
      </c>
      <c r="G17" s="140">
        <v>2233.0</v>
      </c>
      <c r="H17" s="140">
        <v>1745.0</v>
      </c>
      <c r="I17" s="140">
        <v>1270.0</v>
      </c>
      <c r="J17" s="140">
        <v>2318.0</v>
      </c>
      <c r="K17" s="140">
        <v>1547.0</v>
      </c>
      <c r="L17" s="140">
        <v>1902.0</v>
      </c>
      <c r="M17" s="140">
        <v>1770.0</v>
      </c>
      <c r="N17" s="140">
        <v>1262.0</v>
      </c>
      <c r="O17" s="140">
        <v>1640.0</v>
      </c>
      <c r="P17" s="140">
        <v>1710.0</v>
      </c>
      <c r="Q17" s="140">
        <v>2128.0</v>
      </c>
      <c r="R17" s="140">
        <v>1890.0</v>
      </c>
      <c r="S17" s="140">
        <v>1569.0</v>
      </c>
      <c r="T17" s="140">
        <v>1406.0</v>
      </c>
      <c r="U17" s="140">
        <v>1794.0</v>
      </c>
      <c r="V17" s="140">
        <v>1209.0</v>
      </c>
      <c r="W17" s="140">
        <v>1119.0</v>
      </c>
      <c r="X17" s="140">
        <v>1992.0</v>
      </c>
      <c r="Y17" s="140">
        <v>1377.0</v>
      </c>
      <c r="Z17" s="140">
        <v>1490.0</v>
      </c>
      <c r="AA17" s="140">
        <v>1310.0</v>
      </c>
      <c r="AB17" s="140">
        <v>1464.0</v>
      </c>
      <c r="AC17" s="122">
        <v>946.0</v>
      </c>
      <c r="AD17" s="140">
        <v>1390.0</v>
      </c>
      <c r="AE17" s="140">
        <v>1613.0</v>
      </c>
      <c r="AF17" s="140">
        <v>1771.0</v>
      </c>
      <c r="AG17" s="140">
        <v>1861.0</v>
      </c>
      <c r="AH17" s="140">
        <v>1170.0</v>
      </c>
      <c r="AI17" s="140">
        <v>2736.0</v>
      </c>
      <c r="AJ17" s="140">
        <v>165.0</v>
      </c>
      <c r="AK17" s="140">
        <v>25053.0</v>
      </c>
      <c r="AL17" s="140">
        <v>332.0</v>
      </c>
      <c r="AM17" s="140">
        <v>2400.0</v>
      </c>
      <c r="AN17" s="122">
        <v>701.0</v>
      </c>
      <c r="AO17" s="140">
        <v>1554.0</v>
      </c>
    </row>
    <row r="18">
      <c r="A18" s="251" t="s">
        <v>156</v>
      </c>
      <c r="B18" s="140">
        <v>4407.0</v>
      </c>
      <c r="C18" s="140">
        <v>3634.0</v>
      </c>
      <c r="D18" s="140">
        <v>1908.0</v>
      </c>
      <c r="E18" s="140">
        <v>1904.0</v>
      </c>
      <c r="F18" s="140">
        <v>2866.0</v>
      </c>
      <c r="G18" s="140">
        <v>3555.0</v>
      </c>
      <c r="H18" s="140">
        <v>4344.0</v>
      </c>
      <c r="I18" s="140">
        <v>2987.0</v>
      </c>
      <c r="J18" s="140">
        <v>4054.0</v>
      </c>
      <c r="K18" s="140">
        <v>3408.0</v>
      </c>
      <c r="L18" s="140">
        <v>2787.0</v>
      </c>
      <c r="M18" s="140">
        <v>2303.0</v>
      </c>
      <c r="N18" s="140">
        <v>2763.0</v>
      </c>
      <c r="O18" s="140">
        <v>1973.0</v>
      </c>
      <c r="P18" s="140">
        <v>5786.0</v>
      </c>
      <c r="Q18" s="140">
        <v>3294.0</v>
      </c>
      <c r="R18" s="140">
        <v>2721.0</v>
      </c>
      <c r="S18" s="140">
        <v>3766.0</v>
      </c>
      <c r="T18" s="140">
        <v>4316.0</v>
      </c>
      <c r="U18" s="140">
        <v>4135.0</v>
      </c>
      <c r="V18" s="140">
        <v>1572.0</v>
      </c>
      <c r="W18" s="140">
        <v>3307.0</v>
      </c>
      <c r="X18" s="140">
        <v>3411.0</v>
      </c>
      <c r="Y18" s="140">
        <v>3062.0</v>
      </c>
      <c r="Z18" s="140">
        <v>3433.0</v>
      </c>
      <c r="AA18" s="140">
        <v>1827.0</v>
      </c>
      <c r="AB18" s="140">
        <v>3433.0</v>
      </c>
      <c r="AC18" s="140">
        <v>2117.0</v>
      </c>
      <c r="AD18" s="140">
        <v>1338.0</v>
      </c>
      <c r="AE18" s="140">
        <v>3112.0</v>
      </c>
      <c r="AF18" s="140">
        <v>3745.0</v>
      </c>
      <c r="AG18" s="140">
        <v>3618.0</v>
      </c>
      <c r="AH18" s="140">
        <v>2434.0</v>
      </c>
      <c r="AI18" s="140">
        <v>629.0</v>
      </c>
      <c r="AJ18" s="140">
        <v>501.0</v>
      </c>
      <c r="AK18" s="140">
        <v>54507.0</v>
      </c>
      <c r="AL18" s="140">
        <v>656.0</v>
      </c>
      <c r="AM18" s="140">
        <v>4053.0</v>
      </c>
      <c r="AN18" s="140">
        <v>1851.0</v>
      </c>
      <c r="AO18" s="140">
        <v>3082.0</v>
      </c>
    </row>
    <row r="19">
      <c r="A19" s="251" t="s">
        <v>157</v>
      </c>
      <c r="B19" s="140">
        <v>5458.0</v>
      </c>
      <c r="C19" s="140">
        <v>6427.0</v>
      </c>
      <c r="D19" s="140">
        <v>3750.0</v>
      </c>
      <c r="E19" s="122">
        <v>573.0</v>
      </c>
      <c r="F19" s="140">
        <v>7802.0</v>
      </c>
      <c r="G19" s="140">
        <v>4411.0</v>
      </c>
      <c r="H19" s="140">
        <v>4194.0</v>
      </c>
      <c r="I19" s="140">
        <v>4834.0</v>
      </c>
      <c r="J19" s="140">
        <v>4452.0</v>
      </c>
      <c r="K19" s="140">
        <v>4637.0</v>
      </c>
      <c r="L19" s="140">
        <v>4615.0</v>
      </c>
      <c r="M19" s="140">
        <v>4393.0</v>
      </c>
      <c r="N19" s="140">
        <v>4840.0</v>
      </c>
      <c r="O19" s="140">
        <v>5215.0</v>
      </c>
      <c r="P19" s="140">
        <v>10644.0</v>
      </c>
      <c r="Q19" s="140">
        <v>3982.0</v>
      </c>
      <c r="R19" s="140">
        <v>5396.0</v>
      </c>
      <c r="S19" s="140">
        <v>8645.0</v>
      </c>
      <c r="T19" s="140">
        <v>5081.0</v>
      </c>
      <c r="U19" s="140">
        <v>5563.0</v>
      </c>
      <c r="V19" s="122">
        <v>967.0</v>
      </c>
      <c r="W19" s="140">
        <v>4822.0</v>
      </c>
      <c r="X19" s="140">
        <v>6693.0</v>
      </c>
      <c r="Y19" s="140">
        <v>5810.0</v>
      </c>
      <c r="Z19" s="140">
        <v>5531.0</v>
      </c>
      <c r="AA19" s="140">
        <v>2306.0</v>
      </c>
      <c r="AB19" s="140">
        <v>5563.0</v>
      </c>
      <c r="AC19" s="140">
        <v>2143.0</v>
      </c>
      <c r="AD19" s="140">
        <v>5783.0</v>
      </c>
      <c r="AE19" s="140">
        <v>5263.0</v>
      </c>
      <c r="AF19" s="140">
        <v>5358.0</v>
      </c>
      <c r="AG19" s="140">
        <v>5326.0</v>
      </c>
      <c r="AH19" s="140">
        <v>5267.0</v>
      </c>
      <c r="AI19" s="140">
        <v>839.0</v>
      </c>
      <c r="AJ19" s="140">
        <v>813.0</v>
      </c>
      <c r="AK19" s="140">
        <v>65609.0</v>
      </c>
      <c r="AL19" s="140">
        <v>1033.0</v>
      </c>
      <c r="AM19" s="140">
        <v>5070.0</v>
      </c>
      <c r="AN19" s="140">
        <v>2624.0</v>
      </c>
      <c r="AO19" s="140">
        <v>4214.0</v>
      </c>
    </row>
    <row r="20">
      <c r="A20" s="251" t="s">
        <v>158</v>
      </c>
      <c r="B20" s="140">
        <v>3968.0</v>
      </c>
      <c r="C20" s="140">
        <v>4417.0</v>
      </c>
      <c r="D20" s="140">
        <v>3756.0</v>
      </c>
      <c r="E20" s="140">
        <v>1801.0</v>
      </c>
      <c r="F20" s="140">
        <v>4113.0</v>
      </c>
      <c r="G20" s="140">
        <v>4194.0</v>
      </c>
      <c r="H20" s="140">
        <v>3471.0</v>
      </c>
      <c r="I20" s="140">
        <v>4265.0</v>
      </c>
      <c r="J20" s="140">
        <v>5217.0</v>
      </c>
      <c r="K20" s="140">
        <v>3286.0</v>
      </c>
      <c r="L20" s="140">
        <v>4910.0</v>
      </c>
      <c r="M20" s="140">
        <v>4009.0</v>
      </c>
      <c r="N20" s="140">
        <v>3856.0</v>
      </c>
      <c r="O20" s="140">
        <v>3773.0</v>
      </c>
      <c r="P20" s="140">
        <v>6514.0</v>
      </c>
      <c r="Q20" s="140">
        <v>3937.0</v>
      </c>
      <c r="R20" s="140">
        <v>4209.0</v>
      </c>
      <c r="S20" s="140">
        <v>4080.0</v>
      </c>
      <c r="T20" s="140">
        <v>4621.0</v>
      </c>
      <c r="U20" s="140">
        <v>5698.0</v>
      </c>
      <c r="V20" s="140">
        <v>967.0</v>
      </c>
      <c r="W20" s="140">
        <v>3219.0</v>
      </c>
      <c r="X20" s="140">
        <v>4262.0</v>
      </c>
      <c r="Y20" s="140">
        <v>3971.0</v>
      </c>
      <c r="Z20" s="140">
        <v>4948.0</v>
      </c>
      <c r="AA20" s="140">
        <v>2433.0</v>
      </c>
      <c r="AB20" s="140">
        <v>4507.0</v>
      </c>
      <c r="AC20" s="140">
        <v>3206.0</v>
      </c>
      <c r="AD20" s="140">
        <v>3685.0</v>
      </c>
      <c r="AE20" s="140">
        <v>4536.0</v>
      </c>
      <c r="AF20" s="140">
        <v>4332.0</v>
      </c>
      <c r="AG20" s="140">
        <v>4688.0</v>
      </c>
      <c r="AH20" s="140">
        <v>4224.0</v>
      </c>
      <c r="AI20" s="140">
        <v>601.0</v>
      </c>
      <c r="AJ20" s="140">
        <v>551.0</v>
      </c>
      <c r="AK20" s="140">
        <v>54847.0</v>
      </c>
      <c r="AL20" s="140">
        <v>974.0</v>
      </c>
      <c r="AM20" s="140">
        <v>5233.0</v>
      </c>
      <c r="AN20" s="140">
        <v>2573.0</v>
      </c>
      <c r="AO20" s="140">
        <v>3757.0</v>
      </c>
    </row>
    <row r="21">
      <c r="A21" s="251" t="s">
        <v>159</v>
      </c>
      <c r="B21" s="140">
        <v>4277.0</v>
      </c>
      <c r="C21" s="140">
        <v>3243.0</v>
      </c>
      <c r="D21" s="140">
        <v>3294.0</v>
      </c>
      <c r="E21" s="122">
        <v>924.0</v>
      </c>
      <c r="F21" s="140">
        <v>4460.0</v>
      </c>
      <c r="G21" s="140">
        <v>3144.0</v>
      </c>
      <c r="H21" s="140">
        <v>3025.0</v>
      </c>
      <c r="I21" s="140">
        <v>3166.0</v>
      </c>
      <c r="J21" s="140">
        <v>3955.0</v>
      </c>
      <c r="K21" s="140">
        <v>3243.0</v>
      </c>
      <c r="L21" s="140">
        <v>3480.0</v>
      </c>
      <c r="M21" s="140">
        <v>3263.0</v>
      </c>
      <c r="N21" s="140">
        <v>3608.0</v>
      </c>
      <c r="O21" s="140">
        <v>4414.0</v>
      </c>
      <c r="P21" s="140">
        <v>2784.0</v>
      </c>
      <c r="Q21" s="140">
        <v>3195.0</v>
      </c>
      <c r="R21" s="140">
        <v>3225.0</v>
      </c>
      <c r="S21" s="140">
        <v>3224.0</v>
      </c>
      <c r="T21" s="140">
        <v>3290.0</v>
      </c>
      <c r="U21" s="140">
        <v>2881.0</v>
      </c>
      <c r="V21" s="122">
        <v>726.0</v>
      </c>
      <c r="W21" s="140">
        <v>2221.0</v>
      </c>
      <c r="X21" s="140">
        <v>4842.0</v>
      </c>
      <c r="Y21" s="140">
        <v>3392.0</v>
      </c>
      <c r="Z21" s="140">
        <v>3676.0</v>
      </c>
      <c r="AA21" s="140">
        <v>2249.0</v>
      </c>
      <c r="AB21" s="140">
        <v>3181.0</v>
      </c>
      <c r="AC21" s="140">
        <v>2483.0</v>
      </c>
      <c r="AD21" s="140">
        <v>4524.0</v>
      </c>
      <c r="AE21" s="140">
        <v>4084.0</v>
      </c>
      <c r="AF21" s="140">
        <v>3430.0</v>
      </c>
      <c r="AG21" s="140">
        <v>2629.0</v>
      </c>
      <c r="AH21" s="140">
        <v>2902.0</v>
      </c>
      <c r="AI21" s="122">
        <v>496.0</v>
      </c>
      <c r="AJ21" s="122">
        <v>381.0</v>
      </c>
      <c r="AK21" s="140">
        <v>46124.0</v>
      </c>
      <c r="AL21" s="122">
        <v>732.0</v>
      </c>
      <c r="AM21" s="140">
        <v>3686.0</v>
      </c>
      <c r="AN21" s="140">
        <v>1661.0</v>
      </c>
      <c r="AO21" s="140">
        <v>3014.0</v>
      </c>
    </row>
    <row r="22">
      <c r="A22" s="132"/>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351</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173</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352</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182</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353</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43.0</v>
      </c>
      <c r="AP11" s="121">
        <v>3499.0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182.0</v>
      </c>
      <c r="I13" s="75">
        <v>127.0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83.0</v>
      </c>
      <c r="Y13" s="75">
        <v>81.0</v>
      </c>
      <c r="Z13" s="75">
        <v>95.0</v>
      </c>
      <c r="AA13" s="75">
        <v>285.0</v>
      </c>
      <c r="AB13" s="75">
        <v>25.0</v>
      </c>
      <c r="AC13" s="75">
        <v>572.0</v>
      </c>
      <c r="AD13" s="75">
        <v>22.0</v>
      </c>
      <c r="AE13" s="75">
        <v>28.0</v>
      </c>
      <c r="AF13" s="75">
        <v>49.0</v>
      </c>
      <c r="AG13" s="75">
        <v>113.0</v>
      </c>
      <c r="AH13" s="75">
        <v>23.0</v>
      </c>
      <c r="AI13" s="75">
        <v>31.0</v>
      </c>
      <c r="AJ13" s="75">
        <v>44.0</v>
      </c>
      <c r="AK13" s="75">
        <v>460.0</v>
      </c>
      <c r="AL13" s="75">
        <v>21.0</v>
      </c>
      <c r="AM13" s="75">
        <v>96.0</v>
      </c>
      <c r="AN13" s="75">
        <v>69.0</v>
      </c>
      <c r="AO13" s="75">
        <v>140.0</v>
      </c>
      <c r="AP13" s="121">
        <v>3644.0</v>
      </c>
    </row>
    <row r="14">
      <c r="A14" s="251" t="s">
        <v>153</v>
      </c>
      <c r="B14" s="75">
        <v>166.0</v>
      </c>
      <c r="C14" s="75">
        <v>307.0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230.0</v>
      </c>
      <c r="Z14" s="75">
        <v>151.0</v>
      </c>
      <c r="AA14" s="75">
        <v>562.0</v>
      </c>
      <c r="AB14" s="75">
        <v>245.0</v>
      </c>
      <c r="AC14" s="121">
        <v>1171.0</v>
      </c>
      <c r="AD14" s="75">
        <v>157.0</v>
      </c>
      <c r="AE14" s="75">
        <v>129.0</v>
      </c>
      <c r="AF14" s="75">
        <v>333.0</v>
      </c>
      <c r="AG14" s="75">
        <v>473.0</v>
      </c>
      <c r="AH14" s="75">
        <v>126.0</v>
      </c>
      <c r="AI14" s="75">
        <v>124.0</v>
      </c>
      <c r="AJ14" s="121">
        <v>190.0</v>
      </c>
      <c r="AK14" s="121">
        <v>1008.0</v>
      </c>
      <c r="AL14" s="75">
        <v>77.0</v>
      </c>
      <c r="AM14" s="75">
        <v>300.0</v>
      </c>
      <c r="AN14" s="75">
        <v>392.0</v>
      </c>
      <c r="AO14" s="75">
        <v>439.0</v>
      </c>
      <c r="AP14" s="121">
        <v>12327.0</v>
      </c>
    </row>
    <row r="15">
      <c r="A15" s="251" t="s">
        <v>154</v>
      </c>
      <c r="B15" s="75">
        <v>152.0</v>
      </c>
      <c r="C15" s="75">
        <v>283.0</v>
      </c>
      <c r="D15" s="75">
        <v>195.0</v>
      </c>
      <c r="E15" s="75">
        <v>337.0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401.0</v>
      </c>
      <c r="Z15" s="75">
        <v>104.0</v>
      </c>
      <c r="AA15" s="75">
        <v>500.0</v>
      </c>
      <c r="AB15" s="75">
        <v>142.0</v>
      </c>
      <c r="AC15" s="121">
        <v>1098.0</v>
      </c>
      <c r="AD15" s="75">
        <v>44.0</v>
      </c>
      <c r="AE15" s="75">
        <v>144.0</v>
      </c>
      <c r="AF15" s="75">
        <v>380.0</v>
      </c>
      <c r="AG15" s="75">
        <v>178.0</v>
      </c>
      <c r="AH15" s="75">
        <v>98.0</v>
      </c>
      <c r="AI15" s="75">
        <v>96.0</v>
      </c>
      <c r="AJ15" s="75">
        <v>157.0</v>
      </c>
      <c r="AK15" s="75">
        <v>685.0</v>
      </c>
      <c r="AL15" s="75">
        <v>55.0</v>
      </c>
      <c r="AM15" s="75">
        <v>171.0</v>
      </c>
      <c r="AN15" s="75">
        <v>162.0</v>
      </c>
      <c r="AO15" s="75">
        <v>189.0</v>
      </c>
      <c r="AP15" s="121">
        <v>9240.0</v>
      </c>
    </row>
    <row r="16">
      <c r="A16" s="251" t="s">
        <v>155</v>
      </c>
      <c r="B16" s="75">
        <v>159.0</v>
      </c>
      <c r="C16" s="75">
        <v>293.0</v>
      </c>
      <c r="D16" s="75">
        <v>169.0</v>
      </c>
      <c r="E16" s="75">
        <v>518.0</v>
      </c>
      <c r="F16" s="75">
        <v>76.0</v>
      </c>
      <c r="G16" s="75">
        <v>409.0</v>
      </c>
      <c r="H16" s="75">
        <v>881.0</v>
      </c>
      <c r="I16" s="75">
        <v>378.0</v>
      </c>
      <c r="J16" s="75">
        <v>170.0</v>
      </c>
      <c r="K16" s="75">
        <v>525.0</v>
      </c>
      <c r="L16" s="75">
        <v>60.0</v>
      </c>
      <c r="M16" s="75">
        <v>48.0</v>
      </c>
      <c r="N16" s="75">
        <v>115.0</v>
      </c>
      <c r="O16" s="75">
        <v>156.0</v>
      </c>
      <c r="P16" s="75">
        <v>43.0</v>
      </c>
      <c r="Q16" s="75">
        <v>424.0</v>
      </c>
      <c r="R16" s="75">
        <v>215.0</v>
      </c>
      <c r="S16" s="75">
        <v>7.0</v>
      </c>
      <c r="T16" s="75">
        <v>71.0</v>
      </c>
      <c r="U16" s="75">
        <v>122.0</v>
      </c>
      <c r="V16" s="75">
        <v>7.0</v>
      </c>
      <c r="W16" s="75">
        <v>84.0</v>
      </c>
      <c r="X16" s="75">
        <v>370.0</v>
      </c>
      <c r="Y16" s="75">
        <v>411.0</v>
      </c>
      <c r="Z16" s="75">
        <v>140.0</v>
      </c>
      <c r="AA16" s="75">
        <v>660.0</v>
      </c>
      <c r="AB16" s="75">
        <v>97.0</v>
      </c>
      <c r="AC16" s="121">
        <v>1304.0</v>
      </c>
      <c r="AD16" s="75">
        <v>70.0</v>
      </c>
      <c r="AE16" s="75">
        <v>114.0</v>
      </c>
      <c r="AF16" s="75">
        <v>281.0</v>
      </c>
      <c r="AG16" s="75">
        <v>214.0</v>
      </c>
      <c r="AH16" s="75">
        <v>152.0</v>
      </c>
      <c r="AI16" s="75">
        <v>254.0</v>
      </c>
      <c r="AJ16" s="121">
        <v>108.0</v>
      </c>
      <c r="AK16" s="121">
        <v>1448.0</v>
      </c>
      <c r="AL16" s="75">
        <v>77.0</v>
      </c>
      <c r="AM16" s="75">
        <v>353.0</v>
      </c>
      <c r="AN16" s="75">
        <v>220.0</v>
      </c>
      <c r="AO16" s="75">
        <v>369.0</v>
      </c>
      <c r="AP16" s="121">
        <v>11572.0</v>
      </c>
    </row>
    <row r="17">
      <c r="A17" s="251" t="s">
        <v>156</v>
      </c>
      <c r="B17" s="75">
        <v>125.0</v>
      </c>
      <c r="C17" s="75">
        <v>118.0</v>
      </c>
      <c r="D17" s="75">
        <v>121.0</v>
      </c>
      <c r="E17" s="75">
        <v>745.0</v>
      </c>
      <c r="F17" s="75">
        <v>53.0</v>
      </c>
      <c r="G17" s="75">
        <v>476.0</v>
      </c>
      <c r="H17" s="75">
        <v>810.0</v>
      </c>
      <c r="I17" s="75">
        <v>298.0</v>
      </c>
      <c r="J17" s="75">
        <v>190.0</v>
      </c>
      <c r="K17" s="75">
        <v>523.0</v>
      </c>
      <c r="L17" s="75">
        <v>49.0</v>
      </c>
      <c r="M17" s="75">
        <v>33.0</v>
      </c>
      <c r="N17" s="75">
        <v>93.0</v>
      </c>
      <c r="O17" s="75">
        <v>42.0</v>
      </c>
      <c r="P17" s="75">
        <v>40.0</v>
      </c>
      <c r="Q17" s="75">
        <v>347.0</v>
      </c>
      <c r="R17" s="75">
        <v>220.0</v>
      </c>
      <c r="S17" s="75">
        <v>15.0</v>
      </c>
      <c r="T17" s="75">
        <v>257.0</v>
      </c>
      <c r="U17" s="75">
        <v>165.0</v>
      </c>
      <c r="V17" s="75">
        <v>16.0</v>
      </c>
      <c r="W17" s="75">
        <v>278.0</v>
      </c>
      <c r="X17" s="75">
        <v>375.0</v>
      </c>
      <c r="Y17" s="75">
        <v>271.0</v>
      </c>
      <c r="Z17" s="75">
        <v>198.0</v>
      </c>
      <c r="AA17" s="75">
        <v>652.0</v>
      </c>
      <c r="AB17" s="75">
        <v>85.0</v>
      </c>
      <c r="AC17" s="121">
        <v>1325.0</v>
      </c>
      <c r="AD17" s="75">
        <v>42.0</v>
      </c>
      <c r="AE17" s="75">
        <v>110.0</v>
      </c>
      <c r="AF17" s="75">
        <v>342.0</v>
      </c>
      <c r="AG17" s="75">
        <v>271.0</v>
      </c>
      <c r="AH17" s="75">
        <v>47.0</v>
      </c>
      <c r="AI17" s="75">
        <v>43.0</v>
      </c>
      <c r="AJ17" s="75">
        <v>197.0</v>
      </c>
      <c r="AK17" s="75">
        <v>731.0</v>
      </c>
      <c r="AL17" s="75">
        <v>45.0</v>
      </c>
      <c r="AM17" s="75">
        <v>498.0</v>
      </c>
      <c r="AN17" s="75">
        <v>93.0</v>
      </c>
      <c r="AO17" s="75">
        <v>300.0</v>
      </c>
      <c r="AP17" s="121">
        <v>10639.0</v>
      </c>
    </row>
    <row r="18">
      <c r="A18" s="251" t="s">
        <v>157</v>
      </c>
      <c r="B18" s="75">
        <v>139.0</v>
      </c>
      <c r="C18" s="75">
        <v>187.0</v>
      </c>
      <c r="D18" s="75">
        <v>227.0</v>
      </c>
      <c r="E18" s="75">
        <v>653.0</v>
      </c>
      <c r="F18" s="75">
        <v>103.0</v>
      </c>
      <c r="G18" s="75">
        <v>418.0</v>
      </c>
      <c r="H18" s="121">
        <v>1070.0</v>
      </c>
      <c r="I18" s="75">
        <v>432.0</v>
      </c>
      <c r="J18" s="75">
        <v>281.0</v>
      </c>
      <c r="K18" s="75">
        <v>683.0</v>
      </c>
      <c r="L18" s="75">
        <v>67.0</v>
      </c>
      <c r="M18" s="75">
        <v>56.0</v>
      </c>
      <c r="N18" s="75">
        <v>112.0</v>
      </c>
      <c r="O18" s="75">
        <v>81.0</v>
      </c>
      <c r="P18" s="75">
        <v>71.0</v>
      </c>
      <c r="Q18" s="75">
        <v>327.0</v>
      </c>
      <c r="R18" s="75">
        <v>615.0</v>
      </c>
      <c r="S18" s="75">
        <v>25.0</v>
      </c>
      <c r="T18" s="75">
        <v>129.0</v>
      </c>
      <c r="U18" s="75">
        <v>150.0</v>
      </c>
      <c r="V18" s="75" t="s">
        <v>55</v>
      </c>
      <c r="W18" s="75">
        <v>253.0</v>
      </c>
      <c r="X18" s="75">
        <v>304.0</v>
      </c>
      <c r="Y18" s="75">
        <v>485.0</v>
      </c>
      <c r="Z18" s="75">
        <v>179.0</v>
      </c>
      <c r="AA18" s="75">
        <v>987.0</v>
      </c>
      <c r="AB18" s="75">
        <v>265.0</v>
      </c>
      <c r="AC18" s="121">
        <v>1517.0</v>
      </c>
      <c r="AD18" s="75">
        <v>117.0</v>
      </c>
      <c r="AE18" s="75">
        <v>149.0</v>
      </c>
      <c r="AF18" s="75">
        <v>408.0</v>
      </c>
      <c r="AG18" s="75">
        <v>338.0</v>
      </c>
      <c r="AH18" s="75">
        <v>78.0</v>
      </c>
      <c r="AI18" s="75">
        <v>366.0</v>
      </c>
      <c r="AJ18" s="121">
        <v>117.0</v>
      </c>
      <c r="AK18" s="121">
        <v>1014.0</v>
      </c>
      <c r="AL18" s="75">
        <v>53.0</v>
      </c>
      <c r="AM18" s="75">
        <v>245.0</v>
      </c>
      <c r="AN18" s="75">
        <v>290.0</v>
      </c>
      <c r="AO18" s="75">
        <v>751.0</v>
      </c>
      <c r="AP18" s="121">
        <v>13744.0</v>
      </c>
    </row>
    <row r="19">
      <c r="A19" s="251" t="s">
        <v>158</v>
      </c>
      <c r="B19" s="75">
        <v>342.0</v>
      </c>
      <c r="C19" s="75">
        <v>279.0</v>
      </c>
      <c r="D19" s="75">
        <v>123.0</v>
      </c>
      <c r="E19" s="75">
        <v>549.0</v>
      </c>
      <c r="F19" s="75">
        <v>83.0</v>
      </c>
      <c r="G19" s="75">
        <v>456.0</v>
      </c>
      <c r="H19" s="121">
        <v>1219.0</v>
      </c>
      <c r="I19" s="75">
        <v>912.0</v>
      </c>
      <c r="J19" s="75">
        <v>233.0</v>
      </c>
      <c r="K19" s="75">
        <v>575.0</v>
      </c>
      <c r="L19" s="75">
        <v>89.0</v>
      </c>
      <c r="M19" s="75">
        <v>36.0</v>
      </c>
      <c r="N19" s="75">
        <v>99.0</v>
      </c>
      <c r="O19" s="75">
        <v>86.0</v>
      </c>
      <c r="P19" s="75">
        <v>88.0</v>
      </c>
      <c r="Q19" s="75">
        <v>380.0</v>
      </c>
      <c r="R19" s="75">
        <v>368.0</v>
      </c>
      <c r="S19" s="75">
        <v>45.0</v>
      </c>
      <c r="T19" s="75">
        <v>167.0</v>
      </c>
      <c r="U19" s="75">
        <v>227.0</v>
      </c>
      <c r="V19" s="75">
        <v>6.0</v>
      </c>
      <c r="W19" s="75">
        <v>262.0</v>
      </c>
      <c r="X19" s="75">
        <v>413.0</v>
      </c>
      <c r="Y19" s="75">
        <v>460.0</v>
      </c>
      <c r="Z19" s="75">
        <v>117.0</v>
      </c>
      <c r="AA19" s="121">
        <v>1042.0</v>
      </c>
      <c r="AB19" s="75">
        <v>243.0</v>
      </c>
      <c r="AC19" s="121">
        <v>1864.0</v>
      </c>
      <c r="AD19" s="75">
        <v>79.0</v>
      </c>
      <c r="AE19" s="75">
        <v>124.0</v>
      </c>
      <c r="AF19" s="75">
        <v>236.0</v>
      </c>
      <c r="AG19" s="75">
        <v>464.0</v>
      </c>
      <c r="AH19" s="75">
        <v>247.0</v>
      </c>
      <c r="AI19" s="75">
        <v>204.0</v>
      </c>
      <c r="AJ19" s="75">
        <v>153.0</v>
      </c>
      <c r="AK19" s="121">
        <v>1609.0</v>
      </c>
      <c r="AL19" s="75">
        <v>95.0</v>
      </c>
      <c r="AM19" s="75">
        <v>390.0</v>
      </c>
      <c r="AN19" s="75">
        <v>218.0</v>
      </c>
      <c r="AO19" s="75">
        <v>218.0</v>
      </c>
      <c r="AP19" s="121">
        <v>14800.0</v>
      </c>
    </row>
    <row r="20">
      <c r="A20" s="251" t="s">
        <v>159</v>
      </c>
      <c r="B20" s="75">
        <v>434.0</v>
      </c>
      <c r="C20" s="75">
        <v>404.0</v>
      </c>
      <c r="D20" s="75">
        <v>214.0</v>
      </c>
      <c r="E20" s="75">
        <v>264.0</v>
      </c>
      <c r="F20" s="75">
        <v>148.0</v>
      </c>
      <c r="G20" s="75">
        <v>824.0</v>
      </c>
      <c r="H20" s="121">
        <v>1821.0</v>
      </c>
      <c r="I20" s="75">
        <v>645.0</v>
      </c>
      <c r="J20" s="75">
        <v>390.0</v>
      </c>
      <c r="K20" s="75">
        <v>918.0</v>
      </c>
      <c r="L20" s="75">
        <v>150.0</v>
      </c>
      <c r="M20" s="75">
        <v>80.0</v>
      </c>
      <c r="N20" s="75">
        <v>164.0</v>
      </c>
      <c r="O20" s="75">
        <v>133.0</v>
      </c>
      <c r="P20" s="75">
        <v>190.0</v>
      </c>
      <c r="Q20" s="75">
        <v>646.0</v>
      </c>
      <c r="R20" s="75">
        <v>485.0</v>
      </c>
      <c r="S20" s="75">
        <v>87.0</v>
      </c>
      <c r="T20" s="75">
        <v>504.0</v>
      </c>
      <c r="U20" s="75">
        <v>365.0</v>
      </c>
      <c r="V20" s="75">
        <v>8.0</v>
      </c>
      <c r="W20" s="75">
        <v>488.0</v>
      </c>
      <c r="X20" s="75">
        <v>643.0</v>
      </c>
      <c r="Y20" s="75">
        <v>632.0</v>
      </c>
      <c r="Z20" s="75">
        <v>226.0</v>
      </c>
      <c r="AA20" s="121">
        <v>1067.0</v>
      </c>
      <c r="AB20" s="75">
        <v>410.0</v>
      </c>
      <c r="AC20" s="121">
        <v>2433.0</v>
      </c>
      <c r="AD20" s="75">
        <v>136.0</v>
      </c>
      <c r="AE20" s="75">
        <v>227.0</v>
      </c>
      <c r="AF20" s="75">
        <v>481.0</v>
      </c>
      <c r="AG20" s="75">
        <v>583.0</v>
      </c>
      <c r="AH20" s="75">
        <v>220.0</v>
      </c>
      <c r="AI20" s="75">
        <v>223.0</v>
      </c>
      <c r="AJ20" s="75">
        <v>198.0</v>
      </c>
      <c r="AK20" s="121">
        <v>1718.0</v>
      </c>
      <c r="AL20" s="75">
        <v>121.0</v>
      </c>
      <c r="AM20" s="75">
        <v>534.0</v>
      </c>
      <c r="AN20" s="75">
        <v>257.0</v>
      </c>
      <c r="AO20" s="75">
        <v>395.0</v>
      </c>
      <c r="AP20" s="121">
        <v>19866.0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354</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349</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44272.0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350</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182</v>
      </c>
      <c r="B7" s="159" t="s">
        <v>273</v>
      </c>
      <c r="C7" s="159" t="s">
        <v>274</v>
      </c>
      <c r="D7" s="159" t="s">
        <v>275</v>
      </c>
      <c r="E7" s="159" t="s">
        <v>276</v>
      </c>
      <c r="F7" s="159" t="s">
        <v>277</v>
      </c>
      <c r="G7" s="159" t="s">
        <v>278</v>
      </c>
      <c r="H7" s="159" t="s">
        <v>279</v>
      </c>
      <c r="I7" s="159" t="s">
        <v>280</v>
      </c>
      <c r="J7" s="158" t="s">
        <v>281</v>
      </c>
      <c r="K7" s="158" t="s">
        <v>282</v>
      </c>
      <c r="L7" s="159" t="s">
        <v>283</v>
      </c>
      <c r="M7" s="159" t="s">
        <v>284</v>
      </c>
      <c r="N7" s="159" t="s">
        <v>285</v>
      </c>
      <c r="O7" s="159" t="s">
        <v>286</v>
      </c>
      <c r="P7" s="159" t="s">
        <v>287</v>
      </c>
      <c r="Q7" s="159" t="s">
        <v>288</v>
      </c>
      <c r="R7" s="159" t="s">
        <v>289</v>
      </c>
      <c r="S7" s="158" t="s">
        <v>290</v>
      </c>
      <c r="T7" s="159" t="s">
        <v>291</v>
      </c>
      <c r="U7" s="159" t="s">
        <v>292</v>
      </c>
      <c r="V7" s="158" t="s">
        <v>293</v>
      </c>
      <c r="W7" s="159" t="s">
        <v>294</v>
      </c>
      <c r="X7" s="158" t="s">
        <v>295</v>
      </c>
      <c r="Y7" s="158" t="s">
        <v>296</v>
      </c>
      <c r="Z7" s="158" t="s">
        <v>297</v>
      </c>
      <c r="AA7" s="159" t="s">
        <v>298</v>
      </c>
      <c r="AB7" s="159" t="s">
        <v>299</v>
      </c>
      <c r="AC7" s="159" t="s">
        <v>300</v>
      </c>
      <c r="AD7" s="159" t="s">
        <v>301</v>
      </c>
      <c r="AE7" s="159" t="s">
        <v>302</v>
      </c>
      <c r="AF7" s="159" t="s">
        <v>303</v>
      </c>
      <c r="AG7" s="158" t="s">
        <v>304</v>
      </c>
      <c r="AH7" s="159" t="s">
        <v>305</v>
      </c>
      <c r="AI7" s="159" t="s">
        <v>306</v>
      </c>
      <c r="AJ7" s="159" t="s">
        <v>307</v>
      </c>
      <c r="AK7" s="158" t="s">
        <v>308</v>
      </c>
      <c r="AL7" s="158" t="s">
        <v>309</v>
      </c>
      <c r="AM7" s="159" t="s">
        <v>310</v>
      </c>
      <c r="AN7" s="159" t="s">
        <v>311</v>
      </c>
      <c r="AO7" s="159" t="s">
        <v>267</v>
      </c>
    </row>
    <row r="8">
      <c r="A8" s="244" t="s">
        <v>315</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164</v>
      </c>
      <c r="C11" s="122">
        <v>0.0</v>
      </c>
      <c r="D11" s="122">
        <v>0.0</v>
      </c>
      <c r="E11" s="122" t="s">
        <v>164</v>
      </c>
      <c r="F11" s="122">
        <v>0.0</v>
      </c>
      <c r="G11" s="122">
        <v>0.0</v>
      </c>
      <c r="H11" s="122" t="s">
        <v>164</v>
      </c>
      <c r="I11" s="122">
        <v>0.0</v>
      </c>
      <c r="J11" s="122">
        <v>0.0</v>
      </c>
      <c r="K11" s="122" t="s">
        <v>164</v>
      </c>
      <c r="L11" s="122">
        <v>0.0</v>
      </c>
      <c r="M11" s="122">
        <v>0.0</v>
      </c>
      <c r="N11" s="122">
        <v>0.0</v>
      </c>
      <c r="O11" s="122">
        <v>0.0</v>
      </c>
      <c r="P11" s="122">
        <v>0.0</v>
      </c>
      <c r="Q11" s="122" t="s">
        <v>164</v>
      </c>
      <c r="R11" s="122" t="s">
        <v>164</v>
      </c>
      <c r="S11" s="122">
        <v>0.0</v>
      </c>
      <c r="T11" s="122">
        <v>0.0</v>
      </c>
      <c r="U11" s="122">
        <v>0.0</v>
      </c>
      <c r="V11" s="122">
        <v>0.0</v>
      </c>
      <c r="W11" s="122">
        <v>0.0</v>
      </c>
      <c r="X11" s="122">
        <v>0.0</v>
      </c>
      <c r="Y11" s="122" t="s">
        <v>164</v>
      </c>
      <c r="Z11" s="122">
        <v>0.0</v>
      </c>
      <c r="AA11" s="122" t="s">
        <v>164</v>
      </c>
      <c r="AB11" s="122">
        <v>0.0</v>
      </c>
      <c r="AC11" s="122" t="s">
        <v>164</v>
      </c>
      <c r="AD11" s="122">
        <v>0.0</v>
      </c>
      <c r="AE11" s="122" t="s">
        <v>164</v>
      </c>
      <c r="AF11" s="122">
        <v>0.0</v>
      </c>
      <c r="AG11" s="122">
        <v>0.0</v>
      </c>
      <c r="AH11" s="122">
        <v>0.0</v>
      </c>
      <c r="AI11" s="122" t="s">
        <v>164</v>
      </c>
      <c r="AJ11" s="122">
        <v>0.0</v>
      </c>
      <c r="AK11" s="122">
        <v>0.0</v>
      </c>
      <c r="AL11" s="122">
        <v>0.0</v>
      </c>
      <c r="AM11" s="122">
        <v>0.0</v>
      </c>
      <c r="AN11" s="122">
        <v>0.0</v>
      </c>
      <c r="AO11" s="122">
        <v>2.0</v>
      </c>
    </row>
    <row r="12">
      <c r="A12" s="251" t="s">
        <v>150</v>
      </c>
      <c r="B12" s="122">
        <v>977.0</v>
      </c>
      <c r="C12" s="122">
        <v>180.0</v>
      </c>
      <c r="D12" s="122">
        <v>401.0</v>
      </c>
      <c r="E12" s="122" t="s">
        <v>164</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164</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224.0</v>
      </c>
      <c r="I14" s="122">
        <v>367.0</v>
      </c>
      <c r="J14" s="122">
        <v>344.0</v>
      </c>
      <c r="K14" s="122">
        <v>367.0</v>
      </c>
      <c r="L14" s="122">
        <v>324.0</v>
      </c>
      <c r="M14" s="122">
        <v>320.0</v>
      </c>
      <c r="N14" s="122">
        <v>239.0</v>
      </c>
      <c r="O14" s="122">
        <v>259.0</v>
      </c>
      <c r="P14" s="122">
        <v>91.0</v>
      </c>
      <c r="Q14" s="122">
        <v>438.0</v>
      </c>
      <c r="R14" s="122">
        <v>323.0</v>
      </c>
      <c r="S14" s="122" t="s">
        <v>164</v>
      </c>
      <c r="T14" s="122">
        <v>124.0</v>
      </c>
      <c r="U14" s="122">
        <v>302.0</v>
      </c>
      <c r="V14" s="122">
        <v>0.0</v>
      </c>
      <c r="W14" s="122">
        <v>73.0</v>
      </c>
      <c r="X14" s="122">
        <v>317.0</v>
      </c>
      <c r="Y14" s="122">
        <v>250.0</v>
      </c>
      <c r="Z14" s="122">
        <v>769.0</v>
      </c>
      <c r="AA14" s="122">
        <v>397.0</v>
      </c>
      <c r="AB14" s="122">
        <v>144.0</v>
      </c>
      <c r="AC14" s="122">
        <v>319.0</v>
      </c>
      <c r="AD14" s="122">
        <v>288.0</v>
      </c>
      <c r="AE14" s="122">
        <v>264.0</v>
      </c>
      <c r="AF14" s="122">
        <v>227.0</v>
      </c>
      <c r="AG14" s="122">
        <v>368.0</v>
      </c>
      <c r="AH14" s="122">
        <v>145.0</v>
      </c>
      <c r="AI14" s="122">
        <v>296.0</v>
      </c>
      <c r="AJ14" s="122">
        <v>54.0</v>
      </c>
      <c r="AK14" s="140">
        <v>7445.0</v>
      </c>
      <c r="AL14" s="122">
        <v>73.0</v>
      </c>
      <c r="AM14" s="122">
        <v>424.0</v>
      </c>
      <c r="AN14" s="122">
        <v>166.0</v>
      </c>
      <c r="AO14" s="122">
        <v>345.0</v>
      </c>
    </row>
    <row r="15">
      <c r="A15" s="251" t="s">
        <v>153</v>
      </c>
      <c r="B15" s="140">
        <v>1026.0</v>
      </c>
      <c r="C15" s="140">
        <v>1381.0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709.0</v>
      </c>
      <c r="Z15" s="140">
        <v>1223.0</v>
      </c>
      <c r="AA15" s="122">
        <v>783.0</v>
      </c>
      <c r="AB15" s="140">
        <v>1407.0</v>
      </c>
      <c r="AC15" s="122">
        <v>653.0</v>
      </c>
      <c r="AD15" s="140">
        <v>2059.0</v>
      </c>
      <c r="AE15" s="140">
        <v>1217.0</v>
      </c>
      <c r="AF15" s="140">
        <v>1540.0</v>
      </c>
      <c r="AG15" s="140">
        <v>1539.0</v>
      </c>
      <c r="AH15" s="122">
        <v>797.0</v>
      </c>
      <c r="AI15" s="140">
        <v>1182.0</v>
      </c>
      <c r="AJ15" s="140">
        <v>234.0</v>
      </c>
      <c r="AK15" s="140">
        <v>16313.0</v>
      </c>
      <c r="AL15" s="140">
        <v>266.0</v>
      </c>
      <c r="AM15" s="140">
        <v>1326.0</v>
      </c>
      <c r="AN15" s="140">
        <v>944.0</v>
      </c>
      <c r="AO15" s="140">
        <v>1167.0</v>
      </c>
    </row>
    <row r="16">
      <c r="A16" s="251" t="s">
        <v>154</v>
      </c>
      <c r="B16" s="122">
        <v>940.0</v>
      </c>
      <c r="C16" s="140">
        <v>1273.0</v>
      </c>
      <c r="D16" s="140">
        <v>1185.0</v>
      </c>
      <c r="E16" s="140">
        <v>1739.0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1235.0</v>
      </c>
      <c r="Z16" s="122">
        <v>842.0</v>
      </c>
      <c r="AA16" s="122">
        <v>697.0</v>
      </c>
      <c r="AB16" s="122">
        <v>815.0</v>
      </c>
      <c r="AC16" s="122">
        <v>612.0</v>
      </c>
      <c r="AD16" s="122">
        <v>577.0</v>
      </c>
      <c r="AE16" s="140">
        <v>1358.0</v>
      </c>
      <c r="AF16" s="140">
        <v>1757.0</v>
      </c>
      <c r="AG16" s="122">
        <v>579.0</v>
      </c>
      <c r="AH16" s="122">
        <v>620.0</v>
      </c>
      <c r="AI16" s="140">
        <v>915.0</v>
      </c>
      <c r="AJ16" s="122">
        <v>194.0</v>
      </c>
      <c r="AK16" s="140">
        <v>11086.0</v>
      </c>
      <c r="AL16" s="122">
        <v>190.0</v>
      </c>
      <c r="AM16" s="122">
        <v>756.0</v>
      </c>
      <c r="AN16" s="122">
        <v>390.0</v>
      </c>
      <c r="AO16" s="122">
        <v>874.0</v>
      </c>
    </row>
    <row r="17">
      <c r="A17" s="251" t="s">
        <v>155</v>
      </c>
      <c r="B17" s="122">
        <v>983.0</v>
      </c>
      <c r="C17" s="140">
        <v>1318.0</v>
      </c>
      <c r="D17" s="140">
        <v>1027.0</v>
      </c>
      <c r="E17" s="140">
        <v>2673.0</v>
      </c>
      <c r="F17" s="122">
        <v>977.0</v>
      </c>
      <c r="G17" s="140">
        <v>1183.0</v>
      </c>
      <c r="H17" s="140">
        <v>1085.0</v>
      </c>
      <c r="I17" s="140">
        <v>1091.0</v>
      </c>
      <c r="J17" s="140">
        <v>1300.0</v>
      </c>
      <c r="K17" s="140">
        <v>1106.0</v>
      </c>
      <c r="L17" s="122">
        <v>885.0</v>
      </c>
      <c r="M17" s="140">
        <v>1024.0</v>
      </c>
      <c r="N17" s="140">
        <v>1143.0</v>
      </c>
      <c r="O17" s="140">
        <v>1923.0</v>
      </c>
      <c r="P17" s="122">
        <v>782.0</v>
      </c>
      <c r="Q17" s="140">
        <v>1450.0</v>
      </c>
      <c r="R17" s="122">
        <v>993.0</v>
      </c>
      <c r="S17" s="122">
        <v>200.0</v>
      </c>
      <c r="T17" s="122">
        <v>442.0</v>
      </c>
      <c r="U17" s="122">
        <v>785.0</v>
      </c>
      <c r="V17" s="122">
        <v>846.0</v>
      </c>
      <c r="W17" s="122">
        <v>339.0</v>
      </c>
      <c r="X17" s="140">
        <v>1412.0</v>
      </c>
      <c r="Y17" s="140">
        <v>1266.0</v>
      </c>
      <c r="Z17" s="140">
        <v>1134.0</v>
      </c>
      <c r="AA17" s="122">
        <v>920.0</v>
      </c>
      <c r="AB17" s="122">
        <v>557.0</v>
      </c>
      <c r="AC17" s="122">
        <v>727.0</v>
      </c>
      <c r="AD17" s="122">
        <v>918.0</v>
      </c>
      <c r="AE17" s="140">
        <v>1075.0</v>
      </c>
      <c r="AF17" s="140">
        <v>1299.0</v>
      </c>
      <c r="AG17" s="122">
        <v>696.0</v>
      </c>
      <c r="AH17" s="122">
        <v>961.0</v>
      </c>
      <c r="AI17" s="140">
        <v>2422.0</v>
      </c>
      <c r="AJ17" s="140">
        <v>133.0</v>
      </c>
      <c r="AK17" s="140">
        <v>23434.0</v>
      </c>
      <c r="AL17" s="140">
        <v>266.0</v>
      </c>
      <c r="AM17" s="140">
        <v>1560.0</v>
      </c>
      <c r="AN17" s="122">
        <v>530.0</v>
      </c>
      <c r="AO17" s="140">
        <v>1095.0</v>
      </c>
    </row>
    <row r="18">
      <c r="A18" s="251" t="s">
        <v>156</v>
      </c>
      <c r="B18" s="122">
        <v>773.0</v>
      </c>
      <c r="C18" s="122">
        <v>531.0</v>
      </c>
      <c r="D18" s="122">
        <v>735.0</v>
      </c>
      <c r="E18" s="140">
        <v>3844.0</v>
      </c>
      <c r="F18" s="122">
        <v>681.0</v>
      </c>
      <c r="G18" s="140">
        <v>1377.0</v>
      </c>
      <c r="H18" s="122">
        <v>998.0</v>
      </c>
      <c r="I18" s="122">
        <v>860.0</v>
      </c>
      <c r="J18" s="140">
        <v>1453.0</v>
      </c>
      <c r="K18" s="140">
        <v>1102.0</v>
      </c>
      <c r="L18" s="122">
        <v>723.0</v>
      </c>
      <c r="M18" s="122">
        <v>704.0</v>
      </c>
      <c r="N18" s="122">
        <v>924.0</v>
      </c>
      <c r="O18" s="122">
        <v>518.0</v>
      </c>
      <c r="P18" s="122">
        <v>728.0</v>
      </c>
      <c r="Q18" s="140">
        <v>1187.0</v>
      </c>
      <c r="R18" s="140">
        <v>1016.0</v>
      </c>
      <c r="S18" s="122">
        <v>428.0</v>
      </c>
      <c r="T18" s="140">
        <v>1598.0</v>
      </c>
      <c r="U18" s="140">
        <v>1061.0</v>
      </c>
      <c r="V18" s="140">
        <v>1935.0</v>
      </c>
      <c r="W18" s="140">
        <v>1123.0</v>
      </c>
      <c r="X18" s="140">
        <v>1431.0</v>
      </c>
      <c r="Y18" s="122">
        <v>835.0</v>
      </c>
      <c r="Z18" s="140">
        <v>1603.0</v>
      </c>
      <c r="AA18" s="122">
        <v>909.0</v>
      </c>
      <c r="AB18" s="122">
        <v>488.0</v>
      </c>
      <c r="AC18" s="122">
        <v>738.0</v>
      </c>
      <c r="AD18" s="122">
        <v>551.0</v>
      </c>
      <c r="AE18" s="140">
        <v>1037.0</v>
      </c>
      <c r="AF18" s="140">
        <v>1581.0</v>
      </c>
      <c r="AG18" s="122">
        <v>882.0</v>
      </c>
      <c r="AH18" s="122">
        <v>297.0</v>
      </c>
      <c r="AI18" s="140">
        <v>410.0</v>
      </c>
      <c r="AJ18" s="122">
        <v>243.0</v>
      </c>
      <c r="AK18" s="140">
        <v>11830.0</v>
      </c>
      <c r="AL18" s="140">
        <v>155.0</v>
      </c>
      <c r="AM18" s="140">
        <v>2201.0</v>
      </c>
      <c r="AN18" s="122">
        <v>224.0</v>
      </c>
      <c r="AO18" s="140">
        <v>1007.0</v>
      </c>
    </row>
    <row r="19">
      <c r="A19" s="251" t="s">
        <v>157</v>
      </c>
      <c r="B19" s="122">
        <v>859.0</v>
      </c>
      <c r="C19" s="122">
        <v>841.0</v>
      </c>
      <c r="D19" s="140">
        <v>1380.0</v>
      </c>
      <c r="E19" s="140">
        <v>3369.0</v>
      </c>
      <c r="F19" s="140">
        <v>1324.0</v>
      </c>
      <c r="G19" s="140">
        <v>1209.0</v>
      </c>
      <c r="H19" s="140">
        <v>1318.0</v>
      </c>
      <c r="I19" s="140">
        <v>1247.0</v>
      </c>
      <c r="J19" s="140">
        <v>2149.0</v>
      </c>
      <c r="K19" s="140">
        <v>1439.0</v>
      </c>
      <c r="L19" s="122">
        <v>988.0</v>
      </c>
      <c r="M19" s="140">
        <v>1194.0</v>
      </c>
      <c r="N19" s="140">
        <v>1113.0</v>
      </c>
      <c r="O19" s="122">
        <v>999.0</v>
      </c>
      <c r="P19" s="140">
        <v>1292.0</v>
      </c>
      <c r="Q19" s="140">
        <v>1119.0</v>
      </c>
      <c r="R19" s="140">
        <v>2841.0</v>
      </c>
      <c r="S19" s="122">
        <v>713.0</v>
      </c>
      <c r="T19" s="122">
        <v>802.0</v>
      </c>
      <c r="U19" s="122">
        <v>965.0</v>
      </c>
      <c r="V19" s="122" t="s">
        <v>164</v>
      </c>
      <c r="W19" s="140">
        <v>1022.0</v>
      </c>
      <c r="X19" s="140">
        <v>1160.0</v>
      </c>
      <c r="Y19" s="140">
        <v>1494.0</v>
      </c>
      <c r="Z19" s="140">
        <v>1450.0</v>
      </c>
      <c r="AA19" s="140">
        <v>1375.0</v>
      </c>
      <c r="AB19" s="140">
        <v>1521.0</v>
      </c>
      <c r="AC19" s="122">
        <v>845.0</v>
      </c>
      <c r="AD19" s="140">
        <v>1534.0</v>
      </c>
      <c r="AE19" s="140">
        <v>1405.0</v>
      </c>
      <c r="AF19" s="140">
        <v>1886.0</v>
      </c>
      <c r="AG19" s="140">
        <v>1100.0</v>
      </c>
      <c r="AH19" s="122">
        <v>493.0</v>
      </c>
      <c r="AI19" s="140">
        <v>3490.0</v>
      </c>
      <c r="AJ19" s="140">
        <v>144.0</v>
      </c>
      <c r="AK19" s="140">
        <v>16410.0</v>
      </c>
      <c r="AL19" s="122">
        <v>183.0</v>
      </c>
      <c r="AM19" s="140">
        <v>1083.0</v>
      </c>
      <c r="AN19" s="140">
        <v>698.0</v>
      </c>
      <c r="AO19" s="140">
        <v>1301.0</v>
      </c>
    </row>
    <row r="20">
      <c r="A20" s="251" t="s">
        <v>158</v>
      </c>
      <c r="B20" s="140">
        <v>2114.0</v>
      </c>
      <c r="C20" s="140">
        <v>1255.0</v>
      </c>
      <c r="D20" s="140">
        <v>748.0</v>
      </c>
      <c r="E20" s="140">
        <v>2833.0</v>
      </c>
      <c r="F20" s="140">
        <v>1067.0</v>
      </c>
      <c r="G20" s="140">
        <v>1319.0</v>
      </c>
      <c r="H20" s="140">
        <v>1501.0</v>
      </c>
      <c r="I20" s="140">
        <v>2632.0</v>
      </c>
      <c r="J20" s="140">
        <v>1782.0</v>
      </c>
      <c r="K20" s="140">
        <v>1212.0</v>
      </c>
      <c r="L20" s="140">
        <v>1312.0</v>
      </c>
      <c r="M20" s="140">
        <v>768.0</v>
      </c>
      <c r="N20" s="140">
        <v>984.0</v>
      </c>
      <c r="O20" s="140">
        <v>1060.0</v>
      </c>
      <c r="P20" s="140">
        <v>1601.0</v>
      </c>
      <c r="Q20" s="140">
        <v>1300.0</v>
      </c>
      <c r="R20" s="140">
        <v>1700.0</v>
      </c>
      <c r="S20" s="140">
        <v>1284.0</v>
      </c>
      <c r="T20" s="140">
        <v>1039.0</v>
      </c>
      <c r="U20" s="140">
        <v>1460.0</v>
      </c>
      <c r="V20" s="140">
        <v>726.0</v>
      </c>
      <c r="W20" s="140">
        <v>1058.0</v>
      </c>
      <c r="X20" s="140">
        <v>1576.0</v>
      </c>
      <c r="Y20" s="140">
        <v>1417.0</v>
      </c>
      <c r="Z20" s="140">
        <v>947.0</v>
      </c>
      <c r="AA20" s="140">
        <v>1452.0</v>
      </c>
      <c r="AB20" s="140">
        <v>1395.0</v>
      </c>
      <c r="AC20" s="140">
        <v>1039.0</v>
      </c>
      <c r="AD20" s="140">
        <v>1036.0</v>
      </c>
      <c r="AE20" s="140">
        <v>1169.0</v>
      </c>
      <c r="AF20" s="140">
        <v>1091.0</v>
      </c>
      <c r="AG20" s="140">
        <v>1510.0</v>
      </c>
      <c r="AH20" s="140">
        <v>1562.0</v>
      </c>
      <c r="AI20" s="140">
        <v>1945.0</v>
      </c>
      <c r="AJ20" s="140">
        <v>189.0</v>
      </c>
      <c r="AK20" s="140">
        <v>26040.0</v>
      </c>
      <c r="AL20" s="140">
        <v>328.0</v>
      </c>
      <c r="AM20" s="140">
        <v>1724.0</v>
      </c>
      <c r="AN20" s="140">
        <v>525.0</v>
      </c>
      <c r="AO20" s="140">
        <v>1401.0</v>
      </c>
    </row>
    <row r="21">
      <c r="A21" s="251" t="s">
        <v>159</v>
      </c>
      <c r="B21" s="140">
        <v>2683.0</v>
      </c>
      <c r="C21" s="140">
        <v>1817.0</v>
      </c>
      <c r="D21" s="140">
        <v>1301.0</v>
      </c>
      <c r="E21" s="140">
        <v>1362.0</v>
      </c>
      <c r="F21" s="140">
        <v>1902.0</v>
      </c>
      <c r="G21" s="140">
        <v>2383.0</v>
      </c>
      <c r="H21" s="140">
        <v>2243.0</v>
      </c>
      <c r="I21" s="140">
        <v>1861.0</v>
      </c>
      <c r="J21" s="140">
        <v>2983.0</v>
      </c>
      <c r="K21" s="140">
        <v>1935.0</v>
      </c>
      <c r="L21" s="140">
        <v>2212.0</v>
      </c>
      <c r="M21" s="140">
        <v>1706.0</v>
      </c>
      <c r="N21" s="140">
        <v>1630.0</v>
      </c>
      <c r="O21" s="140">
        <v>1640.0</v>
      </c>
      <c r="P21" s="140">
        <v>3457.0</v>
      </c>
      <c r="Q21" s="140">
        <v>2210.0</v>
      </c>
      <c r="R21" s="140">
        <v>2241.0</v>
      </c>
      <c r="S21" s="140">
        <v>2482.0</v>
      </c>
      <c r="T21" s="140">
        <v>3135.0</v>
      </c>
      <c r="U21" s="140">
        <v>2347.0</v>
      </c>
      <c r="V21" s="122">
        <v>967.0</v>
      </c>
      <c r="W21" s="140">
        <v>1971.0</v>
      </c>
      <c r="X21" s="140">
        <v>2454.0</v>
      </c>
      <c r="Y21" s="140">
        <v>1947.0</v>
      </c>
      <c r="Z21" s="140">
        <v>1830.0</v>
      </c>
      <c r="AA21" s="140">
        <v>1487.0</v>
      </c>
      <c r="AB21" s="140">
        <v>2354.0</v>
      </c>
      <c r="AC21" s="140">
        <v>1356.0</v>
      </c>
      <c r="AD21" s="140">
        <v>1783.0</v>
      </c>
      <c r="AE21" s="140">
        <v>2141.0</v>
      </c>
      <c r="AF21" s="140">
        <v>2224.0</v>
      </c>
      <c r="AG21" s="140">
        <v>1897.0</v>
      </c>
      <c r="AH21" s="140">
        <v>1391.0</v>
      </c>
      <c r="AI21" s="140">
        <v>2126.0</v>
      </c>
      <c r="AJ21" s="122">
        <v>244.0</v>
      </c>
      <c r="AK21" s="140">
        <v>27804.0</v>
      </c>
      <c r="AL21" s="122">
        <v>418.0</v>
      </c>
      <c r="AM21" s="140">
        <v>2360.0</v>
      </c>
      <c r="AN21" s="122">
        <v>619.0</v>
      </c>
      <c r="AO21" s="140">
        <v>1880.0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355</v>
      </c>
      <c r="B1" s="255" t="s">
        <v>356</v>
      </c>
      <c r="C1" s="256" t="s">
        <v>221</v>
      </c>
      <c r="D1" s="256" t="s">
        <v>222</v>
      </c>
      <c r="E1" s="256" t="s">
        <v>223</v>
      </c>
      <c r="F1" s="256" t="s">
        <v>224</v>
      </c>
      <c r="G1" s="256" t="s">
        <v>25</v>
      </c>
      <c r="H1" s="256" t="s">
        <v>225</v>
      </c>
    </row>
    <row r="2" ht="14.25" customHeight="1">
      <c r="A2" s="257" t="s">
        <v>228</v>
      </c>
      <c r="B2" s="255" t="s">
        <v>273</v>
      </c>
      <c r="C2" s="258">
        <f>Municipality!B2</f>
        <v>1170</v>
      </c>
      <c r="D2" s="258">
        <f>Municipality!C2</f>
        <v>7232</v>
      </c>
      <c r="E2" s="258">
        <f>Municipality!D2</f>
        <v>68</v>
      </c>
      <c r="F2" s="258">
        <f>Municipality!E2</f>
        <v>420</v>
      </c>
      <c r="G2" s="258">
        <f>Municipality!F2</f>
        <v>16</v>
      </c>
      <c r="H2" s="258">
        <f>Municipality!G2</f>
        <v>99</v>
      </c>
    </row>
    <row r="3" ht="14.25" customHeight="1">
      <c r="A3" s="257" t="s">
        <v>229</v>
      </c>
      <c r="B3" s="255" t="s">
        <v>274</v>
      </c>
      <c r="C3" s="258">
        <f>Municipality!B3</f>
        <v>2153</v>
      </c>
      <c r="D3" s="258">
        <f>Municipality!C3</f>
        <v>9683</v>
      </c>
      <c r="E3" s="258">
        <f>Municipality!D3</f>
        <v>122</v>
      </c>
      <c r="F3" s="258">
        <f>Municipality!E3</f>
        <v>549</v>
      </c>
      <c r="G3" s="258">
        <f>Municipality!F3</f>
        <v>72</v>
      </c>
      <c r="H3" s="258">
        <f>Municipality!G3</f>
        <v>324</v>
      </c>
    </row>
    <row r="4" ht="14.25" customHeight="1">
      <c r="A4" s="257" t="s">
        <v>230</v>
      </c>
      <c r="B4" s="255" t="s">
        <v>275</v>
      </c>
      <c r="C4" s="258">
        <f>Municipality!B4</f>
        <v>1742</v>
      </c>
      <c r="D4" s="258">
        <f>Municipality!C4</f>
        <v>10588</v>
      </c>
      <c r="E4" s="258">
        <f>Municipality!D4</f>
        <v>64</v>
      </c>
      <c r="F4" s="258">
        <f>Municipality!E4</f>
        <v>389</v>
      </c>
      <c r="G4" s="258">
        <f>Municipality!F4</f>
        <v>64</v>
      </c>
      <c r="H4" s="258">
        <f>Municipality!G4</f>
        <v>389</v>
      </c>
    </row>
    <row r="5" ht="14.25" customHeight="1">
      <c r="A5" s="257" t="s">
        <v>231</v>
      </c>
      <c r="B5" s="255" t="s">
        <v>276</v>
      </c>
      <c r="C5" s="258">
        <f>Municipality!B5</f>
        <v>4112</v>
      </c>
      <c r="D5" s="258">
        <f>Municipality!C5</f>
        <v>21216</v>
      </c>
      <c r="E5" s="258">
        <f>Municipality!D5</f>
        <v>222</v>
      </c>
      <c r="F5" s="258">
        <f>Municipality!E5</f>
        <v>1145</v>
      </c>
      <c r="G5" s="258">
        <f>Municipality!F5</f>
        <v>25</v>
      </c>
      <c r="H5" s="258">
        <f>Municipality!G5</f>
        <v>129</v>
      </c>
    </row>
    <row r="6" ht="14.25" customHeight="1">
      <c r="A6" s="257" t="s">
        <v>232</v>
      </c>
      <c r="B6" s="255" t="s">
        <v>277</v>
      </c>
      <c r="C6" s="258">
        <f>Municipality!B6</f>
        <v>509</v>
      </c>
      <c r="D6" s="258">
        <f>Municipality!C6</f>
        <v>6542</v>
      </c>
      <c r="E6" s="258">
        <f>Municipality!D6</f>
        <v>24</v>
      </c>
      <c r="F6" s="258">
        <f>Municipality!E6</f>
        <v>308</v>
      </c>
      <c r="G6" s="258" t="str">
        <f>Municipality!F6</f>
        <v>&lt;5</v>
      </c>
      <c r="H6" s="258" t="str">
        <f>Municipality!G6</f>
        <v>--</v>
      </c>
    </row>
    <row r="7" ht="14.25" customHeight="1">
      <c r="A7" s="257" t="s">
        <v>233</v>
      </c>
      <c r="B7" s="255" t="s">
        <v>278</v>
      </c>
      <c r="C7" s="258">
        <f>Municipality!B7</f>
        <v>3520</v>
      </c>
      <c r="D7" s="258">
        <f>Municipality!C7</f>
        <v>10181</v>
      </c>
      <c r="E7" s="258">
        <f>Municipality!D7</f>
        <v>215</v>
      </c>
      <c r="F7" s="258">
        <f>Municipality!E7</f>
        <v>622</v>
      </c>
      <c r="G7" s="258">
        <f>Municipality!F7</f>
        <v>93</v>
      </c>
      <c r="H7" s="258">
        <f>Municipality!G7</f>
        <v>269</v>
      </c>
    </row>
    <row r="8" ht="14.25" customHeight="1">
      <c r="A8" s="257" t="s">
        <v>234</v>
      </c>
      <c r="B8" s="255" t="s">
        <v>279</v>
      </c>
      <c r="C8" s="258">
        <f>Municipality!B8</f>
        <v>11417</v>
      </c>
      <c r="D8" s="258">
        <f>Municipality!C8</f>
        <v>14061</v>
      </c>
      <c r="E8" s="258">
        <f>Municipality!D8</f>
        <v>689</v>
      </c>
      <c r="F8" s="258">
        <f>Municipality!E8</f>
        <v>849</v>
      </c>
      <c r="G8" s="258">
        <f>Municipality!F8</f>
        <v>134</v>
      </c>
      <c r="H8" s="258">
        <f>Municipality!G8</f>
        <v>165</v>
      </c>
    </row>
    <row r="9" ht="14.25" customHeight="1">
      <c r="A9" s="257" t="s">
        <v>235</v>
      </c>
      <c r="B9" s="255" t="s">
        <v>280</v>
      </c>
      <c r="C9" s="258">
        <f>Municipality!B9</f>
        <v>3664</v>
      </c>
      <c r="D9" s="258">
        <f>Municipality!C9</f>
        <v>10574</v>
      </c>
      <c r="E9" s="258">
        <f>Municipality!D9</f>
        <v>216</v>
      </c>
      <c r="F9" s="258">
        <f>Municipality!E9</f>
        <v>623</v>
      </c>
      <c r="G9" s="258">
        <f>Municipality!F9</f>
        <v>78</v>
      </c>
      <c r="H9" s="258">
        <f>Municipality!G9</f>
        <v>225</v>
      </c>
    </row>
    <row r="10" ht="14.25" customHeight="1">
      <c r="A10" s="257" t="s">
        <v>236</v>
      </c>
      <c r="B10" s="255" t="s">
        <v>281</v>
      </c>
      <c r="C10" s="258">
        <f>Municipality!B10</f>
        <v>1537</v>
      </c>
      <c r="D10" s="258">
        <f>Municipality!C10</f>
        <v>11757</v>
      </c>
      <c r="E10" s="258">
        <f>Municipality!D10</f>
        <v>77</v>
      </c>
      <c r="F10" s="258">
        <f>Municipality!E10</f>
        <v>589</v>
      </c>
      <c r="G10" s="258">
        <f>Municipality!F10</f>
        <v>26</v>
      </c>
      <c r="H10" s="258">
        <f>Municipality!G10</f>
        <v>199</v>
      </c>
    </row>
    <row r="11" ht="14.25" customHeight="1">
      <c r="A11" s="257" t="s">
        <v>237</v>
      </c>
      <c r="B11" s="255" t="s">
        <v>282</v>
      </c>
      <c r="C11" s="258">
        <f>Municipality!B11</f>
        <v>5045</v>
      </c>
      <c r="D11" s="258">
        <f>Municipality!C11</f>
        <v>10632</v>
      </c>
      <c r="E11" s="258">
        <f>Municipality!D11</f>
        <v>383</v>
      </c>
      <c r="F11" s="258">
        <f>Municipality!E11</f>
        <v>807</v>
      </c>
      <c r="G11" s="258">
        <f>Municipality!F11</f>
        <v>196</v>
      </c>
      <c r="H11" s="258">
        <f>Municipality!G11</f>
        <v>413</v>
      </c>
    </row>
    <row r="12" ht="14.25" customHeight="1">
      <c r="A12" s="257" t="s">
        <v>238</v>
      </c>
      <c r="B12" s="255" t="s">
        <v>283</v>
      </c>
      <c r="C12" s="258">
        <f>Municipality!B12</f>
        <v>485</v>
      </c>
      <c r="D12" s="258">
        <f>Municipality!C12</f>
        <v>7151</v>
      </c>
      <c r="E12" s="258">
        <f>Municipality!D12</f>
        <v>33</v>
      </c>
      <c r="F12" s="258">
        <f>Municipality!E12</f>
        <v>487</v>
      </c>
      <c r="G12" s="258">
        <f>Municipality!F12</f>
        <v>7</v>
      </c>
      <c r="H12" s="258">
        <f>Municipality!G12</f>
        <v>103</v>
      </c>
    </row>
    <row r="13" ht="14.25" customHeight="1">
      <c r="A13" s="257" t="s">
        <v>239</v>
      </c>
      <c r="B13" s="255" t="s">
        <v>284</v>
      </c>
      <c r="C13" s="258">
        <f>Municipality!B13</f>
        <v>439</v>
      </c>
      <c r="D13" s="258">
        <f>Municipality!C13</f>
        <v>9362</v>
      </c>
      <c r="E13" s="258">
        <f>Municipality!D13</f>
        <v>15</v>
      </c>
      <c r="F13" s="258">
        <f>Municipality!E13</f>
        <v>320</v>
      </c>
      <c r="G13" s="258">
        <f>Municipality!F13</f>
        <v>5</v>
      </c>
      <c r="H13" s="258">
        <f>Municipality!G13</f>
        <v>107</v>
      </c>
    </row>
    <row r="14" ht="14.25" customHeight="1">
      <c r="A14" s="257" t="s">
        <v>240</v>
      </c>
      <c r="B14" s="255" t="s">
        <v>285</v>
      </c>
      <c r="C14" s="258">
        <f>Municipality!B14</f>
        <v>732</v>
      </c>
      <c r="D14" s="258">
        <f>Municipality!C14</f>
        <v>7275</v>
      </c>
      <c r="E14" s="258">
        <f>Municipality!D14</f>
        <v>28</v>
      </c>
      <c r="F14" s="258">
        <f>Municipality!E14</f>
        <v>278</v>
      </c>
      <c r="G14" s="258">
        <f>Municipality!F14</f>
        <v>7</v>
      </c>
      <c r="H14" s="258">
        <f>Municipality!G14</f>
        <v>70</v>
      </c>
    </row>
    <row r="15" ht="14.25" customHeight="1">
      <c r="A15" s="257" t="s">
        <v>241</v>
      </c>
      <c r="B15" s="255" t="s">
        <v>286</v>
      </c>
      <c r="C15" s="258">
        <f>Municipality!B15</f>
        <v>541</v>
      </c>
      <c r="D15" s="258">
        <f>Municipality!C15</f>
        <v>6670</v>
      </c>
      <c r="E15" s="258">
        <f>Municipality!D15</f>
        <v>31</v>
      </c>
      <c r="F15" s="258">
        <f>Municipality!E15</f>
        <v>382</v>
      </c>
      <c r="G15" s="258" t="str">
        <f>Municipality!F15</f>
        <v>&lt;5</v>
      </c>
      <c r="H15" s="258" t="str">
        <f>Municipality!G15</f>
        <v>--</v>
      </c>
    </row>
    <row r="16" ht="14.25" customHeight="1">
      <c r="A16" s="257" t="s">
        <v>242</v>
      </c>
      <c r="B16" s="255" t="s">
        <v>287</v>
      </c>
      <c r="C16" s="258">
        <f>Municipality!B16</f>
        <v>302</v>
      </c>
      <c r="D16" s="258">
        <f>Municipality!C16</f>
        <v>5495</v>
      </c>
      <c r="E16" s="258">
        <f>Municipality!D16</f>
        <v>10</v>
      </c>
      <c r="F16" s="258">
        <f>Municipality!E16</f>
        <v>182</v>
      </c>
      <c r="G16" s="258" t="str">
        <f>Municipality!F16</f>
        <v>&lt;5</v>
      </c>
      <c r="H16" s="258" t="str">
        <f>Municipality!G16</f>
        <v>--</v>
      </c>
    </row>
    <row r="17" ht="14.25" customHeight="1">
      <c r="A17" s="257" t="s">
        <v>243</v>
      </c>
      <c r="B17" s="255" t="s">
        <v>288</v>
      </c>
      <c r="C17" s="258">
        <f>Municipality!B17</f>
        <v>4187</v>
      </c>
      <c r="D17" s="258">
        <f>Municipality!C17</f>
        <v>14322</v>
      </c>
      <c r="E17" s="258">
        <f>Municipality!D17</f>
        <v>283</v>
      </c>
      <c r="F17" s="258">
        <f>Municipality!E17</f>
        <v>968</v>
      </c>
      <c r="G17" s="258">
        <f>Municipality!F17</f>
        <v>153</v>
      </c>
      <c r="H17" s="258">
        <f>Municipality!G17</f>
        <v>523</v>
      </c>
    </row>
    <row r="18" ht="14.25" customHeight="1">
      <c r="A18" s="257" t="s">
        <v>244</v>
      </c>
      <c r="B18" s="255" t="s">
        <v>289</v>
      </c>
      <c r="C18" s="258">
        <f>Municipality!B18</f>
        <v>2400</v>
      </c>
      <c r="D18" s="258">
        <f>Municipality!C18</f>
        <v>11089</v>
      </c>
      <c r="E18" s="258">
        <f>Municipality!D18</f>
        <v>177</v>
      </c>
      <c r="F18" s="258">
        <f>Municipality!E18</f>
        <v>818</v>
      </c>
      <c r="G18" s="258">
        <f>Municipality!F18</f>
        <v>75</v>
      </c>
      <c r="H18" s="258">
        <f>Municipality!G18</f>
        <v>347</v>
      </c>
    </row>
    <row r="19" ht="14.25" customHeight="1">
      <c r="A19" s="257" t="s">
        <v>245</v>
      </c>
      <c r="B19" s="255" t="s">
        <v>290</v>
      </c>
      <c r="C19" s="258">
        <f>Municipality!B19</f>
        <v>157</v>
      </c>
      <c r="D19" s="258">
        <f>Municipality!C19</f>
        <v>4479</v>
      </c>
      <c r="E19" s="258" t="str">
        <f>Municipality!D19</f>
        <v>&lt;5</v>
      </c>
      <c r="F19" s="258" t="str">
        <f>Municipality!E19</f>
        <v>--</v>
      </c>
      <c r="G19" s="258" t="str">
        <f>Municipality!F19</f>
        <v>&lt;5</v>
      </c>
      <c r="H19" s="258" t="str">
        <f>Municipality!G19</f>
        <v>--</v>
      </c>
    </row>
    <row r="20" ht="14.25" customHeight="1">
      <c r="A20" s="257" t="s">
        <v>246</v>
      </c>
      <c r="B20" s="255" t="s">
        <v>291</v>
      </c>
      <c r="C20" s="258">
        <f>Municipality!B20</f>
        <v>1023</v>
      </c>
      <c r="D20" s="258">
        <f>Municipality!C20</f>
        <v>6363</v>
      </c>
      <c r="E20" s="258">
        <f>Municipality!D20</f>
        <v>54</v>
      </c>
      <c r="F20" s="258">
        <f>Municipality!E20</f>
        <v>336</v>
      </c>
      <c r="G20" s="258">
        <f>Municipality!F20</f>
        <v>9</v>
      </c>
      <c r="H20" s="258">
        <f>Municipality!G20</f>
        <v>56</v>
      </c>
    </row>
    <row r="21" ht="14.25" customHeight="1">
      <c r="A21" s="257" t="s">
        <v>247</v>
      </c>
      <c r="B21" s="255" t="s">
        <v>292</v>
      </c>
      <c r="C21" s="258">
        <f>Municipality!B21</f>
        <v>1456</v>
      </c>
      <c r="D21" s="258">
        <f>Municipality!C21</f>
        <v>9363</v>
      </c>
      <c r="E21" s="258">
        <f>Municipality!D21</f>
        <v>39</v>
      </c>
      <c r="F21" s="258">
        <f>Municipality!E21</f>
        <v>251</v>
      </c>
      <c r="G21" s="258">
        <f>Municipality!F21</f>
        <v>8</v>
      </c>
      <c r="H21" s="258">
        <f>Municipality!G21</f>
        <v>51</v>
      </c>
    </row>
    <row r="22" ht="14.25" customHeight="1">
      <c r="A22" s="257" t="s">
        <v>248</v>
      </c>
      <c r="B22" s="255" t="s">
        <v>293</v>
      </c>
      <c r="C22" s="258">
        <f>Municipality!B22</f>
        <v>50</v>
      </c>
      <c r="D22" s="258">
        <f>Municipality!C22</f>
        <v>6046</v>
      </c>
      <c r="E22" s="258">
        <f>Municipality!D22</f>
        <v>0</v>
      </c>
      <c r="F22" s="258">
        <f>Municipality!E22</f>
        <v>0</v>
      </c>
      <c r="G22" s="258">
        <f>Municipality!F22</f>
        <v>0</v>
      </c>
      <c r="H22" s="258">
        <f>Municipality!G22</f>
        <v>0</v>
      </c>
    </row>
    <row r="23" ht="14.25" customHeight="1">
      <c r="A23" s="257" t="s">
        <v>249</v>
      </c>
      <c r="B23" s="255" t="s">
        <v>294</v>
      </c>
      <c r="C23" s="258">
        <f>Municipality!B23</f>
        <v>1689</v>
      </c>
      <c r="D23" s="258">
        <f>Municipality!C23</f>
        <v>6821</v>
      </c>
      <c r="E23" s="258">
        <f>Municipality!D23</f>
        <v>69</v>
      </c>
      <c r="F23" s="258">
        <f>Municipality!E23</f>
        <v>279</v>
      </c>
      <c r="G23" s="258">
        <f>Municipality!F23</f>
        <v>9</v>
      </c>
      <c r="H23" s="258">
        <f>Municipality!G23</f>
        <v>36</v>
      </c>
    </row>
    <row r="24" ht="14.25" customHeight="1">
      <c r="A24" s="257" t="s">
        <v>250</v>
      </c>
      <c r="B24" s="255" t="s">
        <v>295</v>
      </c>
      <c r="C24" s="258">
        <f>Municipality!B24</f>
        <v>2098</v>
      </c>
      <c r="D24" s="258">
        <f>Municipality!C24</f>
        <v>8005</v>
      </c>
      <c r="E24" s="258">
        <f>Municipality!D24</f>
        <v>126</v>
      </c>
      <c r="F24" s="258">
        <f>Municipality!E24</f>
        <v>481</v>
      </c>
      <c r="G24" s="258">
        <f>Municipality!F24</f>
        <v>76</v>
      </c>
      <c r="H24" s="258">
        <f>Municipality!G24</f>
        <v>290</v>
      </c>
    </row>
    <row r="25" ht="15.75" customHeight="1">
      <c r="A25" s="257" t="s">
        <v>251</v>
      </c>
      <c r="B25" s="255" t="s">
        <v>296</v>
      </c>
      <c r="C25" s="258">
        <f>Municipality!B25</f>
        <v>4350</v>
      </c>
      <c r="D25" s="258">
        <f>Municipality!C25</f>
        <v>13402</v>
      </c>
      <c r="E25" s="258">
        <f>Municipality!D25</f>
        <v>326</v>
      </c>
      <c r="F25" s="258">
        <f>Municipality!E25</f>
        <v>1004</v>
      </c>
      <c r="G25" s="258">
        <f>Municipality!F25</f>
        <v>122</v>
      </c>
      <c r="H25" s="258">
        <f>Municipality!G25</f>
        <v>376</v>
      </c>
    </row>
    <row r="26" ht="14.25" customHeight="1">
      <c r="A26" s="257" t="s">
        <v>252</v>
      </c>
      <c r="B26" s="255" t="s">
        <v>297</v>
      </c>
      <c r="C26" s="258">
        <f>Municipality!B26</f>
        <v>1263</v>
      </c>
      <c r="D26" s="258">
        <f>Municipality!C26</f>
        <v>10228</v>
      </c>
      <c r="E26" s="258">
        <f>Municipality!D26</f>
        <v>83</v>
      </c>
      <c r="F26" s="258">
        <f>Municipality!E26</f>
        <v>672</v>
      </c>
      <c r="G26" s="258">
        <f>Municipality!F26</f>
        <v>60</v>
      </c>
      <c r="H26" s="258">
        <f>Municipality!G26</f>
        <v>486</v>
      </c>
    </row>
    <row r="27" ht="14.25" customHeight="1">
      <c r="A27" s="257" t="s">
        <v>253</v>
      </c>
      <c r="B27" s="255" t="s">
        <v>298</v>
      </c>
      <c r="C27" s="258">
        <f>Municipality!B27</f>
        <v>10134</v>
      </c>
      <c r="D27" s="258">
        <f>Municipality!C27</f>
        <v>14123</v>
      </c>
      <c r="E27" s="258">
        <f>Municipality!D27</f>
        <v>629</v>
      </c>
      <c r="F27" s="258">
        <f>Municipality!E27</f>
        <v>877</v>
      </c>
      <c r="G27" s="258">
        <f>Municipality!F27</f>
        <v>115</v>
      </c>
      <c r="H27" s="258">
        <f>Municipality!G27</f>
        <v>160</v>
      </c>
    </row>
    <row r="28" ht="14.25" customHeight="1">
      <c r="A28" s="257" t="s">
        <v>254</v>
      </c>
      <c r="B28" s="255" t="s">
        <v>299</v>
      </c>
      <c r="C28" s="258">
        <f>Municipality!B28</f>
        <v>1105</v>
      </c>
      <c r="D28" s="258">
        <f>Municipality!C28</f>
        <v>6344</v>
      </c>
      <c r="E28" s="258">
        <f>Municipality!D28</f>
        <v>19</v>
      </c>
      <c r="F28" s="258">
        <f>Municipality!E28</f>
        <v>109</v>
      </c>
      <c r="G28" s="258">
        <f>Municipality!F28</f>
        <v>5</v>
      </c>
      <c r="H28" s="258">
        <f>Municipality!G28</f>
        <v>29</v>
      </c>
    </row>
    <row r="29" ht="14.25" customHeight="1">
      <c r="A29" s="257" t="s">
        <v>255</v>
      </c>
      <c r="B29" s="255" t="s">
        <v>300</v>
      </c>
      <c r="C29" s="258">
        <f>Municipality!B29</f>
        <v>28235</v>
      </c>
      <c r="D29" s="258">
        <f>Municipality!C29</f>
        <v>15736</v>
      </c>
      <c r="E29" s="258">
        <f>Municipality!D29</f>
        <v>2031</v>
      </c>
      <c r="F29" s="258">
        <f>Municipality!E29</f>
        <v>1132</v>
      </c>
      <c r="G29" s="258">
        <f>Municipality!F29</f>
        <v>500</v>
      </c>
      <c r="H29" s="258">
        <f>Municipality!G29</f>
        <v>279</v>
      </c>
    </row>
    <row r="30" ht="14.25" customHeight="1">
      <c r="A30" s="257" t="s">
        <v>256</v>
      </c>
      <c r="B30" s="255" t="s">
        <v>301</v>
      </c>
      <c r="C30" s="258">
        <f>Municipality!B30</f>
        <v>313</v>
      </c>
      <c r="D30" s="258">
        <f>Municipality!C30</f>
        <v>4104</v>
      </c>
      <c r="E30" s="258">
        <f>Municipality!D30</f>
        <v>17</v>
      </c>
      <c r="F30" s="258">
        <f>Municipality!E30</f>
        <v>223</v>
      </c>
      <c r="G30" s="258" t="str">
        <f>Municipality!F30</f>
        <v>&lt;5</v>
      </c>
      <c r="H30" s="258" t="str">
        <f>Municipality!G30</f>
        <v>--</v>
      </c>
    </row>
    <row r="31" ht="14.25" customHeight="1">
      <c r="A31" s="257" t="s">
        <v>257</v>
      </c>
      <c r="B31" s="255" t="s">
        <v>302</v>
      </c>
      <c r="C31" s="258">
        <f>Municipality!B31</f>
        <v>797</v>
      </c>
      <c r="D31" s="258">
        <f>Municipality!C31</f>
        <v>7517</v>
      </c>
      <c r="E31" s="258">
        <f>Municipality!D31</f>
        <v>35</v>
      </c>
      <c r="F31" s="258">
        <f>Municipality!E31</f>
        <v>330</v>
      </c>
      <c r="G31" s="258" t="str">
        <f>Municipality!F31</f>
        <v>&lt;5</v>
      </c>
      <c r="H31" s="258" t="str">
        <f>Municipality!G31</f>
        <v>--</v>
      </c>
    </row>
    <row r="32" ht="14.25" customHeight="1">
      <c r="A32" s="257" t="s">
        <v>258</v>
      </c>
      <c r="B32" s="255" t="s">
        <v>303</v>
      </c>
      <c r="C32" s="258">
        <f>Municipality!B32</f>
        <v>2851</v>
      </c>
      <c r="D32" s="258">
        <f>Municipality!C32</f>
        <v>13181</v>
      </c>
      <c r="E32" s="258">
        <f>Municipality!D32</f>
        <v>198</v>
      </c>
      <c r="F32" s="258">
        <f>Municipality!E32</f>
        <v>915</v>
      </c>
      <c r="G32" s="258">
        <f>Municipality!F32</f>
        <v>144</v>
      </c>
      <c r="H32" s="258">
        <f>Municipality!G32</f>
        <v>666</v>
      </c>
    </row>
    <row r="33" ht="14.25" customHeight="1">
      <c r="A33" s="257" t="s">
        <v>259</v>
      </c>
      <c r="B33" s="255" t="s">
        <v>304</v>
      </c>
      <c r="C33" s="258">
        <f>Municipality!B33</f>
        <v>1483</v>
      </c>
      <c r="D33" s="258">
        <f>Municipality!C33</f>
        <v>4825</v>
      </c>
      <c r="E33" s="258">
        <f>Municipality!D33</f>
        <v>54</v>
      </c>
      <c r="F33" s="258">
        <f>Municipality!E33</f>
        <v>176</v>
      </c>
      <c r="G33" s="258">
        <f>Municipality!F33</f>
        <v>34</v>
      </c>
      <c r="H33" s="258">
        <f>Municipality!G33</f>
        <v>111</v>
      </c>
    </row>
    <row r="34" ht="14.25" customHeight="1">
      <c r="A34" s="257" t="s">
        <v>260</v>
      </c>
      <c r="B34" s="255" t="s">
        <v>305</v>
      </c>
      <c r="C34" s="258">
        <f>Municipality!B34</f>
        <v>1195</v>
      </c>
      <c r="D34" s="258">
        <f>Municipality!C34</f>
        <v>7556</v>
      </c>
      <c r="E34" s="258">
        <f>Municipality!D34</f>
        <v>14</v>
      </c>
      <c r="F34" s="258">
        <f>Municipality!E34</f>
        <v>89</v>
      </c>
      <c r="G34" s="258">
        <f>Municipality!F34</f>
        <v>14</v>
      </c>
      <c r="H34" s="258">
        <f>Municipality!G34</f>
        <v>89</v>
      </c>
    </row>
    <row r="35" ht="14.25" customHeight="1">
      <c r="A35" s="257" t="s">
        <v>261</v>
      </c>
      <c r="B35" s="255" t="s">
        <v>306</v>
      </c>
      <c r="C35" s="258">
        <f>Municipality!B35</f>
        <v>1081</v>
      </c>
      <c r="D35" s="258">
        <f>Municipality!C35</f>
        <v>10307</v>
      </c>
      <c r="E35" s="258">
        <f>Municipality!D35</f>
        <v>72</v>
      </c>
      <c r="F35" s="258">
        <f>Municipality!E35</f>
        <v>686</v>
      </c>
      <c r="G35" s="258">
        <f>Municipality!F35</f>
        <v>51</v>
      </c>
      <c r="H35" s="258">
        <f>Municipality!G35</f>
        <v>486</v>
      </c>
    </row>
    <row r="36" ht="14.25" customHeight="1">
      <c r="A36" s="257" t="s">
        <v>262</v>
      </c>
      <c r="B36" s="255" t="s">
        <v>307</v>
      </c>
      <c r="C36" s="258">
        <f>Municipality!B36</f>
        <v>7576</v>
      </c>
      <c r="D36" s="258">
        <f>Municipality!C36</f>
        <v>9344</v>
      </c>
      <c r="E36" s="258">
        <f>Municipality!D36</f>
        <v>475</v>
      </c>
      <c r="F36" s="258">
        <f>Municipality!E36</f>
        <v>586</v>
      </c>
      <c r="G36" s="258">
        <f>Municipality!F36</f>
        <v>169</v>
      </c>
      <c r="H36" s="258">
        <f>Municipality!G36</f>
        <v>208</v>
      </c>
    </row>
    <row r="37" ht="14.25" customHeight="1">
      <c r="A37" s="257" t="s">
        <v>263</v>
      </c>
      <c r="B37" s="255" t="s">
        <v>308</v>
      </c>
      <c r="C37" s="258">
        <f>Municipality!B37</f>
        <v>492</v>
      </c>
      <c r="D37" s="258">
        <f>Municipality!C37</f>
        <v>7962</v>
      </c>
      <c r="E37" s="258">
        <f>Municipality!D37</f>
        <v>20</v>
      </c>
      <c r="F37" s="258">
        <f>Municipality!E37</f>
        <v>324</v>
      </c>
      <c r="G37" s="258" t="str">
        <f>Municipality!F37</f>
        <v>&lt;5</v>
      </c>
      <c r="H37" s="258" t="str">
        <f>Municipality!G37</f>
        <v>--</v>
      </c>
    </row>
    <row r="38" ht="14.25" customHeight="1">
      <c r="A38" s="257" t="s">
        <v>264</v>
      </c>
      <c r="B38" s="255" t="s">
        <v>309</v>
      </c>
      <c r="C38" s="258">
        <f>Municipality!B38</f>
        <v>2922</v>
      </c>
      <c r="D38" s="258">
        <f>Municipality!C38</f>
        <v>10092</v>
      </c>
      <c r="E38" s="258">
        <f>Municipality!D38</f>
        <v>179</v>
      </c>
      <c r="F38" s="258">
        <f>Municipality!E38</f>
        <v>618</v>
      </c>
      <c r="G38" s="258">
        <f>Municipality!F38</f>
        <v>48</v>
      </c>
      <c r="H38" s="258">
        <f>Municipality!G38</f>
        <v>166</v>
      </c>
    </row>
    <row r="39" ht="14.25" customHeight="1">
      <c r="A39" s="257" t="s">
        <v>265</v>
      </c>
      <c r="B39" s="255" t="s">
        <v>310</v>
      </c>
      <c r="C39" s="258">
        <f>Municipality!B39</f>
        <v>1639</v>
      </c>
      <c r="D39" s="258">
        <f>Municipality!C39</f>
        <v>7245</v>
      </c>
      <c r="E39" s="258">
        <f>Municipality!D39</f>
        <v>98</v>
      </c>
      <c r="F39" s="258">
        <f>Municipality!E39</f>
        <v>433</v>
      </c>
      <c r="G39" s="258">
        <f>Municipality!F39</f>
        <v>35</v>
      </c>
      <c r="H39" s="258">
        <f>Municipality!G39</f>
        <v>155</v>
      </c>
    </row>
    <row r="40" ht="14.25" customHeight="1">
      <c r="A40" s="257" t="s">
        <v>266</v>
      </c>
      <c r="B40" s="255" t="s">
        <v>311</v>
      </c>
      <c r="C40" s="258">
        <f>Municipality!B40</f>
        <v>4720</v>
      </c>
      <c r="D40" s="258">
        <f>Municipality!C40</f>
        <v>11363</v>
      </c>
      <c r="E40" s="258">
        <f>Municipality!D40</f>
        <v>379</v>
      </c>
      <c r="F40" s="258">
        <f>Municipality!E40</f>
        <v>912</v>
      </c>
      <c r="G40" s="258">
        <f>Municipality!F40</f>
        <v>203</v>
      </c>
      <c r="H40" s="258">
        <f>Municipality!G40</f>
        <v>489</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357</v>
      </c>
      <c r="B1" s="260" t="s">
        <v>358</v>
      </c>
      <c r="C1" s="187" t="s">
        <v>222</v>
      </c>
    </row>
    <row r="2" ht="14.25" customHeight="1">
      <c r="A2" s="261" t="s">
        <v>359</v>
      </c>
      <c r="B2" s="262">
        <v>52.0</v>
      </c>
      <c r="C2" s="263">
        <v>7750.0</v>
      </c>
    </row>
    <row r="3" ht="14.25" customHeight="1">
      <c r="A3" s="264" t="s">
        <v>360</v>
      </c>
      <c r="B3" s="265">
        <v>200.0</v>
      </c>
      <c r="C3" s="266">
        <v>9980.0</v>
      </c>
    </row>
    <row r="4" ht="14.25" customHeight="1">
      <c r="A4" s="264" t="s">
        <v>361</v>
      </c>
      <c r="B4" s="265">
        <v>1170.0</v>
      </c>
      <c r="C4" s="266">
        <v>7226.0</v>
      </c>
    </row>
    <row r="5" ht="14.25" customHeight="1">
      <c r="A5" s="264" t="s">
        <v>362</v>
      </c>
      <c r="B5" s="265">
        <v>49.0</v>
      </c>
      <c r="C5" s="266">
        <v>5925.0</v>
      </c>
    </row>
    <row r="6" ht="14.25" customHeight="1">
      <c r="A6" s="264" t="s">
        <v>363</v>
      </c>
      <c r="B6" s="265">
        <v>169.0</v>
      </c>
      <c r="C6" s="266">
        <v>6589.0</v>
      </c>
    </row>
    <row r="7" ht="14.25" customHeight="1">
      <c r="A7" s="264" t="s">
        <v>364</v>
      </c>
      <c r="B7" s="265">
        <v>2145.0</v>
      </c>
      <c r="C7" s="266">
        <v>9637.0</v>
      </c>
    </row>
    <row r="8" ht="14.25" customHeight="1">
      <c r="A8" s="264" t="s">
        <v>365</v>
      </c>
      <c r="B8" s="265">
        <v>85.0</v>
      </c>
      <c r="C8" s="266">
        <v>7036.0</v>
      </c>
    </row>
    <row r="9" ht="14.25" customHeight="1">
      <c r="A9" s="264" t="s">
        <v>366</v>
      </c>
      <c r="B9" s="265">
        <v>470.0</v>
      </c>
      <c r="C9" s="266">
        <v>6041.0</v>
      </c>
    </row>
    <row r="10" ht="14.25" customHeight="1">
      <c r="A10" s="264" t="s">
        <v>367</v>
      </c>
      <c r="B10" s="265">
        <v>669.0</v>
      </c>
      <c r="C10" s="266">
        <v>8719.0</v>
      </c>
    </row>
    <row r="11" ht="14.25" customHeight="1">
      <c r="A11" s="264" t="s">
        <v>368</v>
      </c>
      <c r="B11" s="265">
        <v>24.0</v>
      </c>
      <c r="C11" s="266">
        <v>11538.0</v>
      </c>
    </row>
    <row r="12" ht="14.25" customHeight="1">
      <c r="A12" s="264" t="s">
        <v>369</v>
      </c>
      <c r="B12" s="265">
        <v>3293.0</v>
      </c>
      <c r="C12" s="266">
        <v>10032.0</v>
      </c>
    </row>
    <row r="13" ht="14.25" customHeight="1">
      <c r="A13" s="264" t="s">
        <v>370</v>
      </c>
      <c r="B13" s="265">
        <v>497.0</v>
      </c>
      <c r="C13" s="266">
        <v>8238.0</v>
      </c>
    </row>
    <row r="14" ht="14.25" customHeight="1">
      <c r="A14" s="264" t="s">
        <v>371</v>
      </c>
      <c r="B14" s="265">
        <v>1590.0</v>
      </c>
      <c r="C14" s="266">
        <v>8741.0</v>
      </c>
    </row>
    <row r="15" ht="14.25" customHeight="1">
      <c r="A15" s="264" t="s">
        <v>372</v>
      </c>
      <c r="B15" s="265">
        <v>447.0</v>
      </c>
      <c r="C15" s="266">
        <v>6792.0</v>
      </c>
    </row>
    <row r="16" ht="14.25" customHeight="1">
      <c r="A16" s="264" t="s">
        <v>373</v>
      </c>
      <c r="B16" s="265">
        <v>432.0</v>
      </c>
      <c r="C16" s="266">
        <v>7855.0</v>
      </c>
    </row>
    <row r="17" ht="14.25" customHeight="1">
      <c r="A17" s="264" t="s">
        <v>374</v>
      </c>
      <c r="B17" s="265">
        <v>79.0</v>
      </c>
      <c r="C17" s="266">
        <v>15768.0</v>
      </c>
    </row>
    <row r="18" ht="14.25" customHeight="1">
      <c r="A18" s="264" t="s">
        <v>375</v>
      </c>
      <c r="B18" s="265">
        <v>199.0</v>
      </c>
      <c r="C18" s="266">
        <v>9660.0</v>
      </c>
    </row>
    <row r="19" ht="14.25" customHeight="1">
      <c r="A19" s="264" t="s">
        <v>376</v>
      </c>
      <c r="B19" s="265">
        <v>983.0</v>
      </c>
      <c r="C19" s="266">
        <v>12502.0</v>
      </c>
    </row>
    <row r="20" ht="14.25" customHeight="1">
      <c r="A20" s="264" t="s">
        <v>377</v>
      </c>
      <c r="B20" s="265">
        <v>582.0</v>
      </c>
      <c r="C20" s="266">
        <v>9806.0</v>
      </c>
    </row>
    <row r="21" ht="14.25" customHeight="1">
      <c r="A21" s="264" t="s">
        <v>378</v>
      </c>
      <c r="B21" s="265">
        <v>452.0</v>
      </c>
      <c r="C21" s="266">
        <v>12911.0</v>
      </c>
    </row>
    <row r="22" ht="14.25" customHeight="1">
      <c r="A22" s="264" t="s">
        <v>379</v>
      </c>
      <c r="B22" s="265">
        <v>311.0</v>
      </c>
      <c r="C22" s="266">
        <v>7199.0</v>
      </c>
    </row>
    <row r="23" ht="14.25" customHeight="1">
      <c r="A23" s="264" t="s">
        <v>380</v>
      </c>
      <c r="B23" s="265">
        <v>31.0</v>
      </c>
      <c r="C23" s="266">
        <v>2710.0</v>
      </c>
    </row>
    <row r="24" ht="14.25" customHeight="1">
      <c r="A24" s="264" t="s">
        <v>381</v>
      </c>
      <c r="B24" s="265">
        <v>303.0</v>
      </c>
      <c r="C24" s="266">
        <v>5513.0</v>
      </c>
    </row>
    <row r="25" ht="14.25" customHeight="1">
      <c r="A25" s="264" t="s">
        <v>382</v>
      </c>
      <c r="B25" s="267">
        <v>6.0</v>
      </c>
      <c r="C25" s="266">
        <v>3209.0</v>
      </c>
    </row>
    <row r="26" ht="14.25" customHeight="1">
      <c r="A26" s="264" t="s">
        <v>383</v>
      </c>
      <c r="B26" s="265">
        <v>156.0</v>
      </c>
      <c r="C26" s="266">
        <v>4451.0</v>
      </c>
    </row>
    <row r="27" ht="14.25" customHeight="1">
      <c r="A27" s="264" t="s">
        <v>384</v>
      </c>
      <c r="B27" s="265">
        <v>463.0</v>
      </c>
      <c r="C27" s="266">
        <v>13157.0</v>
      </c>
    </row>
    <row r="28" ht="14.25" customHeight="1">
      <c r="A28" s="264" t="s">
        <v>385</v>
      </c>
      <c r="B28" s="265">
        <v>175.0</v>
      </c>
      <c r="C28" s="266">
        <v>8487.0</v>
      </c>
    </row>
    <row r="29" ht="14.25" customHeight="1">
      <c r="A29" s="264" t="s">
        <v>386</v>
      </c>
      <c r="B29" s="265">
        <v>1631.0</v>
      </c>
      <c r="C29" s="266">
        <v>7027.0</v>
      </c>
    </row>
    <row r="30" ht="14.25" customHeight="1">
      <c r="A30" s="264" t="s">
        <v>387</v>
      </c>
      <c r="B30" s="265">
        <v>74.0</v>
      </c>
      <c r="C30" s="266">
        <v>4534.0</v>
      </c>
    </row>
    <row r="31" ht="14.25" customHeight="1">
      <c r="A31" s="264" t="s">
        <v>388</v>
      </c>
      <c r="B31" s="265">
        <v>1007.0</v>
      </c>
      <c r="C31" s="266">
        <v>6295.0</v>
      </c>
    </row>
    <row r="32" ht="14.25" customHeight="1">
      <c r="A32" s="264" t="s">
        <v>389</v>
      </c>
      <c r="B32" s="265">
        <v>1970.0</v>
      </c>
      <c r="C32" s="266">
        <v>8942.0</v>
      </c>
    </row>
    <row r="33" ht="14.25" customHeight="1">
      <c r="A33" s="264" t="s">
        <v>390</v>
      </c>
      <c r="B33" s="265">
        <v>733.0</v>
      </c>
      <c r="C33" s="266">
        <v>8393.0</v>
      </c>
    </row>
    <row r="34" ht="14.25" customHeight="1">
      <c r="A34" s="264" t="s">
        <v>391</v>
      </c>
      <c r="B34" s="267">
        <v>68.0</v>
      </c>
      <c r="C34" s="266">
        <v>9341.0</v>
      </c>
    </row>
    <row r="35" ht="14.25" customHeight="1">
      <c r="A35" s="264" t="s">
        <v>392</v>
      </c>
      <c r="B35" s="265">
        <v>846.0</v>
      </c>
      <c r="C35" s="266">
        <v>11706.0</v>
      </c>
    </row>
    <row r="36" ht="14.25" customHeight="1">
      <c r="A36" s="264" t="s">
        <v>393</v>
      </c>
      <c r="B36" s="265">
        <v>6979.0</v>
      </c>
      <c r="C36" s="266">
        <v>14809.0</v>
      </c>
    </row>
    <row r="37" ht="14.25" customHeight="1">
      <c r="A37" s="264" t="s">
        <v>394</v>
      </c>
      <c r="B37" s="265">
        <v>3137.0</v>
      </c>
      <c r="C37" s="266">
        <v>12526.0</v>
      </c>
    </row>
    <row r="38" ht="14.25" customHeight="1">
      <c r="A38" s="264" t="s">
        <v>395</v>
      </c>
      <c r="B38" s="265">
        <v>4107.0</v>
      </c>
      <c r="C38" s="266">
        <v>21229.0</v>
      </c>
    </row>
    <row r="39" ht="14.25" customHeight="1">
      <c r="A39" s="264" t="s">
        <v>396</v>
      </c>
      <c r="B39" s="265">
        <v>3638.0</v>
      </c>
      <c r="C39" s="266">
        <v>10507.0</v>
      </c>
    </row>
    <row r="40" ht="14.25" customHeight="1">
      <c r="A40" s="264" t="s">
        <v>397</v>
      </c>
      <c r="B40" s="265">
        <v>1903.0</v>
      </c>
      <c r="C40" s="266">
        <v>10907.0</v>
      </c>
    </row>
    <row r="41" ht="14.25" customHeight="1">
      <c r="A41" s="264" t="s">
        <v>398</v>
      </c>
      <c r="B41" s="265">
        <v>1099.0</v>
      </c>
      <c r="C41" s="266">
        <v>6412.0</v>
      </c>
    </row>
    <row r="42" ht="14.25" customHeight="1">
      <c r="A42" s="264" t="s">
        <v>399</v>
      </c>
      <c r="B42" s="265">
        <v>6.0</v>
      </c>
      <c r="C42" s="266">
        <v>2158.0</v>
      </c>
    </row>
    <row r="43" ht="14.25" customHeight="1">
      <c r="A43" s="264" t="s">
        <v>400</v>
      </c>
      <c r="B43" s="265">
        <v>12.0</v>
      </c>
      <c r="C43" s="266">
        <v>6316.0</v>
      </c>
    </row>
    <row r="44" ht="14.25" customHeight="1">
      <c r="A44" s="264" t="s">
        <v>401</v>
      </c>
      <c r="B44" s="265">
        <v>462.0</v>
      </c>
      <c r="C44" s="266">
        <v>7752.0</v>
      </c>
    </row>
    <row r="45" ht="14.25" customHeight="1">
      <c r="A45" s="264" t="s">
        <v>402</v>
      </c>
      <c r="B45" s="265">
        <v>24.0</v>
      </c>
      <c r="C45" s="266">
        <v>4396.0</v>
      </c>
    </row>
    <row r="46" ht="14.25" customHeight="1">
      <c r="A46" s="264" t="s">
        <v>403</v>
      </c>
      <c r="B46" s="265">
        <v>66.0</v>
      </c>
      <c r="C46" s="266">
        <v>22680.0</v>
      </c>
    </row>
    <row r="47" ht="14.25" customHeight="1">
      <c r="A47" s="264" t="s">
        <v>404</v>
      </c>
      <c r="B47" s="265">
        <v>1199.0</v>
      </c>
      <c r="C47" s="266">
        <v>7581.0</v>
      </c>
    </row>
    <row r="48" ht="14.25" customHeight="1">
      <c r="A48" s="264" t="s">
        <v>405</v>
      </c>
      <c r="B48" s="265">
        <v>1456.0</v>
      </c>
      <c r="C48" s="266">
        <v>7094.0</v>
      </c>
    </row>
    <row r="49" ht="14.25" customHeight="1">
      <c r="A49" s="264" t="s">
        <v>406</v>
      </c>
      <c r="B49" s="265">
        <v>560.0</v>
      </c>
      <c r="C49" s="266">
        <v>7147.0</v>
      </c>
    </row>
    <row r="50" ht="14.25" customHeight="1">
      <c r="A50" s="264" t="s">
        <v>407</v>
      </c>
      <c r="B50" s="265">
        <v>1365.0</v>
      </c>
      <c r="C50" s="266">
        <v>9784.0</v>
      </c>
    </row>
    <row r="51" ht="14.25" customHeight="1">
      <c r="A51" s="264" t="s">
        <v>408</v>
      </c>
      <c r="B51" s="265">
        <v>1083.0</v>
      </c>
      <c r="C51" s="266">
        <v>10350.0</v>
      </c>
    </row>
    <row r="52" ht="14.25" customHeight="1">
      <c r="A52" s="264" t="s">
        <v>409</v>
      </c>
      <c r="B52" s="265">
        <v>2881.0</v>
      </c>
      <c r="C52" s="266">
        <v>9932.0</v>
      </c>
    </row>
    <row r="53" ht="14.25" customHeight="1">
      <c r="A53" s="264" t="s">
        <v>410</v>
      </c>
      <c r="B53" s="265">
        <v>1855.0</v>
      </c>
      <c r="C53" s="266">
        <v>9678.0</v>
      </c>
    </row>
    <row r="54" ht="14.25" customHeight="1">
      <c r="A54" s="264" t="s">
        <v>411</v>
      </c>
      <c r="B54" s="265">
        <v>2774.0</v>
      </c>
      <c r="C54" s="266">
        <v>10149.0</v>
      </c>
    </row>
    <row r="55" ht="14.25" customHeight="1">
      <c r="A55" s="264" t="s">
        <v>412</v>
      </c>
      <c r="B55" s="265">
        <v>1483.0</v>
      </c>
      <c r="C55" s="266">
        <v>7033.0</v>
      </c>
    </row>
    <row r="56" ht="14.25" customHeight="1">
      <c r="A56" s="264" t="s">
        <v>413</v>
      </c>
      <c r="B56" s="265">
        <v>430.0</v>
      </c>
      <c r="C56" s="266">
        <v>8292.0</v>
      </c>
    </row>
    <row r="57" ht="14.25" customHeight="1">
      <c r="A57" s="264" t="s">
        <v>414</v>
      </c>
      <c r="B57" s="265">
        <v>2914.0</v>
      </c>
      <c r="C57" s="266">
        <v>9996.0</v>
      </c>
    </row>
    <row r="58" ht="14.25" customHeight="1">
      <c r="A58" s="264" t="s">
        <v>415</v>
      </c>
      <c r="B58" s="265">
        <v>49.0</v>
      </c>
      <c r="C58" s="266">
        <v>7270.0</v>
      </c>
    </row>
    <row r="59" ht="14.25" customHeight="1">
      <c r="A59" s="264" t="s">
        <v>416</v>
      </c>
      <c r="B59" s="265">
        <v>4713.0</v>
      </c>
      <c r="C59" s="266">
        <v>11346.0</v>
      </c>
    </row>
    <row r="60" ht="14.25" customHeight="1">
      <c r="A60" s="264" t="s">
        <v>417</v>
      </c>
      <c r="B60" s="265">
        <v>1178.0</v>
      </c>
      <c r="C60" s="266">
        <v>9769.0</v>
      </c>
    </row>
    <row r="61" ht="14.25" customHeight="1">
      <c r="A61" s="264" t="s">
        <v>418</v>
      </c>
      <c r="B61" s="265">
        <v>130.0</v>
      </c>
      <c r="C61" s="266">
        <v>7912.0</v>
      </c>
    </row>
    <row r="62" ht="14.25" customHeight="1">
      <c r="A62" s="264" t="s">
        <v>419</v>
      </c>
      <c r="B62" s="265">
        <v>1088.0</v>
      </c>
      <c r="C62" s="266">
        <v>10321.0</v>
      </c>
    </row>
    <row r="63" ht="14.25" customHeight="1">
      <c r="A63" s="264" t="s">
        <v>420</v>
      </c>
      <c r="B63" s="265">
        <v>4482.0</v>
      </c>
      <c r="C63" s="266">
        <v>14684.0</v>
      </c>
    </row>
    <row r="64" ht="14.25" customHeight="1">
      <c r="A64" s="264" t="s">
        <v>421</v>
      </c>
      <c r="B64" s="265">
        <v>3518.0</v>
      </c>
      <c r="C64" s="266">
        <v>13803.0</v>
      </c>
    </row>
    <row r="65" ht="14.25" customHeight="1">
      <c r="A65" s="264" t="s">
        <v>422</v>
      </c>
      <c r="B65" s="265">
        <v>2836.0</v>
      </c>
      <c r="C65" s="266">
        <v>10058.0</v>
      </c>
    </row>
    <row r="66" ht="14.25" customHeight="1">
      <c r="A66" s="264" t="s">
        <v>423</v>
      </c>
      <c r="B66" s="265">
        <v>5515.0</v>
      </c>
      <c r="C66" s="266">
        <v>17917.0</v>
      </c>
    </row>
    <row r="67" ht="14.25" customHeight="1">
      <c r="A67" s="264" t="s">
        <v>424</v>
      </c>
      <c r="B67" s="265">
        <v>6624.0</v>
      </c>
      <c r="C67" s="266">
        <v>17641.0</v>
      </c>
    </row>
    <row r="68" ht="14.25" customHeight="1">
      <c r="A68" s="264" t="s">
        <v>425</v>
      </c>
      <c r="B68" s="265">
        <v>7739.0</v>
      </c>
      <c r="C68" s="266">
        <v>19075.0</v>
      </c>
    </row>
    <row r="69" ht="14.25" customHeight="1">
      <c r="A69" s="264" t="s">
        <v>426</v>
      </c>
      <c r="B69" s="265">
        <v>2670.0</v>
      </c>
      <c r="C69" s="266">
        <v>12058.0</v>
      </c>
    </row>
    <row r="70" ht="14.25" customHeight="1">
      <c r="A70" s="264" t="s">
        <v>427</v>
      </c>
      <c r="B70" s="265">
        <v>1769.0</v>
      </c>
      <c r="C70" s="266">
        <v>11151.0</v>
      </c>
    </row>
    <row r="71" ht="14.25" customHeight="1">
      <c r="A71" s="264" t="s">
        <v>428</v>
      </c>
      <c r="B71" s="265">
        <v>50.0</v>
      </c>
      <c r="C71" s="266">
        <v>3676.0</v>
      </c>
    </row>
    <row r="72" ht="14.25" customHeight="1">
      <c r="A72" s="264" t="s">
        <v>429</v>
      </c>
      <c r="B72" s="265">
        <v>2792.0</v>
      </c>
      <c r="C72" s="266">
        <v>12923.0</v>
      </c>
    </row>
    <row r="73" ht="14.25" customHeight="1">
      <c r="A73" s="264" t="s">
        <v>430</v>
      </c>
      <c r="B73" s="265">
        <v>1523.0</v>
      </c>
      <c r="C73" s="266">
        <v>9149.0</v>
      </c>
    </row>
    <row r="74" ht="14.25" customHeight="1">
      <c r="A74" s="264" t="s">
        <v>431</v>
      </c>
      <c r="B74" s="265">
        <v>721.0</v>
      </c>
      <c r="C74" s="266">
        <v>7945.0</v>
      </c>
    </row>
    <row r="75" ht="14.25" customHeight="1">
      <c r="A75" s="264" t="s">
        <v>432</v>
      </c>
      <c r="B75" s="265">
        <v>1880.0</v>
      </c>
      <c r="C75" s="266">
        <v>13620.0</v>
      </c>
    </row>
    <row r="76" ht="14.25" customHeight="1">
      <c r="A76" s="264" t="s">
        <v>433</v>
      </c>
      <c r="B76" s="265">
        <v>4187.0</v>
      </c>
      <c r="C76" s="266">
        <v>14313.0</v>
      </c>
    </row>
    <row r="77" ht="14.25" customHeight="1">
      <c r="A77" s="264" t="s">
        <v>434</v>
      </c>
      <c r="B77" s="265">
        <v>5959.0</v>
      </c>
      <c r="C77" s="266">
        <v>16019.0</v>
      </c>
    </row>
    <row r="78" ht="14.25" customHeight="1">
      <c r="A78" s="264" t="s">
        <v>435</v>
      </c>
      <c r="B78" s="265">
        <v>1504.0</v>
      </c>
      <c r="C78" s="266">
        <v>12114.0</v>
      </c>
    </row>
    <row r="79" ht="14.25" customHeight="1">
      <c r="A79" s="268" t="s">
        <v>436</v>
      </c>
      <c r="B79" s="265">
        <v>3880.0</v>
      </c>
      <c r="C79" s="266" t="s">
        <v>38</v>
      </c>
    </row>
    <row r="80" ht="14.25" customHeight="1">
      <c r="A80" s="268" t="s">
        <v>267</v>
      </c>
      <c r="B80" s="265">
        <v>125601.0</v>
      </c>
      <c r="C80" s="266">
        <v>11887.0</v>
      </c>
    </row>
    <row r="81" ht="14.25" customHeight="1">
      <c r="A81" s="269" t="s">
        <v>437</v>
      </c>
    </row>
    <row r="82" ht="14.25" customHeight="1">
      <c r="A82" s="195" t="s">
        <v>438</v>
      </c>
    </row>
    <row r="83" ht="14.25" customHeight="1"/>
    <row r="84" ht="14.25" customHeight="1"/>
    <row r="85" ht="14.25" customHeight="1"/>
    <row r="86" ht="14.25" customHeight="1">
      <c r="A86" s="196" t="s">
        <v>0</v>
      </c>
      <c r="B86" s="197">
        <v>44272.0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439</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440</v>
      </c>
      <c r="B2" s="112"/>
      <c r="C2" s="112"/>
      <c r="D2" s="112"/>
      <c r="E2" s="112"/>
      <c r="F2" s="43"/>
    </row>
    <row r="3">
      <c r="A3" s="274" t="s">
        <v>441</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442</v>
      </c>
      <c r="B4" s="278" t="s">
        <v>443</v>
      </c>
      <c r="C4" s="279" t="s">
        <v>444</v>
      </c>
      <c r="D4" s="279" t="s">
        <v>445</v>
      </c>
      <c r="E4" s="280" t="s">
        <v>446</v>
      </c>
      <c r="F4" s="280" t="s">
        <v>447</v>
      </c>
      <c r="G4" s="281"/>
      <c r="H4" s="281"/>
      <c r="I4" s="281"/>
      <c r="J4" s="281"/>
      <c r="K4" s="281"/>
      <c r="L4" s="281"/>
      <c r="M4" s="281"/>
      <c r="N4" s="281"/>
      <c r="O4" s="281"/>
      <c r="P4" s="281"/>
      <c r="Q4" s="281"/>
      <c r="R4" s="281"/>
      <c r="S4" s="281"/>
      <c r="T4" s="281"/>
      <c r="U4" s="281"/>
      <c r="V4" s="281"/>
      <c r="W4" s="281"/>
      <c r="X4" s="281"/>
      <c r="Y4" s="281"/>
      <c r="Z4" s="281"/>
    </row>
    <row r="5">
      <c r="A5" s="282" t="s">
        <v>448</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449</v>
      </c>
      <c r="B6" s="286" t="s">
        <v>450</v>
      </c>
      <c r="C6" s="287">
        <v>0.0</v>
      </c>
      <c r="D6" s="287">
        <v>0.0</v>
      </c>
      <c r="E6" s="287">
        <v>0.0</v>
      </c>
      <c r="F6" s="287" t="s">
        <v>451</v>
      </c>
      <c r="G6" s="281"/>
      <c r="H6" s="281"/>
      <c r="I6" s="281"/>
      <c r="J6" s="281"/>
      <c r="K6" s="281"/>
      <c r="L6" s="281"/>
      <c r="M6" s="281"/>
      <c r="N6" s="281"/>
      <c r="O6" s="281"/>
      <c r="P6" s="281"/>
      <c r="Q6" s="281"/>
      <c r="R6" s="281"/>
      <c r="S6" s="281"/>
      <c r="T6" s="281"/>
      <c r="U6" s="281"/>
      <c r="V6" s="281"/>
      <c r="W6" s="281"/>
      <c r="X6" s="281"/>
      <c r="Y6" s="281"/>
      <c r="Z6" s="281"/>
    </row>
    <row r="7">
      <c r="A7" s="285" t="s">
        <v>452</v>
      </c>
      <c r="B7" s="286" t="s">
        <v>450</v>
      </c>
      <c r="C7" s="287">
        <v>0.0</v>
      </c>
      <c r="D7" s="287" t="s">
        <v>451</v>
      </c>
      <c r="E7" s="287" t="s">
        <v>451</v>
      </c>
      <c r="F7" s="287" t="s">
        <v>451</v>
      </c>
      <c r="G7" s="281"/>
      <c r="H7" s="281"/>
      <c r="I7" s="281"/>
      <c r="J7" s="281"/>
      <c r="K7" s="281"/>
      <c r="L7" s="281"/>
      <c r="M7" s="281"/>
      <c r="N7" s="281"/>
      <c r="O7" s="281"/>
      <c r="P7" s="281"/>
      <c r="Q7" s="281"/>
      <c r="R7" s="281"/>
      <c r="S7" s="281"/>
      <c r="T7" s="281"/>
      <c r="U7" s="281"/>
      <c r="V7" s="281"/>
      <c r="W7" s="281"/>
      <c r="X7" s="281"/>
      <c r="Y7" s="281"/>
      <c r="Z7" s="281"/>
    </row>
    <row r="8">
      <c r="A8" s="285" t="s">
        <v>453</v>
      </c>
      <c r="B8" s="286" t="s">
        <v>450</v>
      </c>
      <c r="C8" s="287">
        <v>0.0</v>
      </c>
      <c r="D8" s="287" t="s">
        <v>451</v>
      </c>
      <c r="E8" s="287">
        <v>0.0</v>
      </c>
      <c r="F8" s="287" t="s">
        <v>451</v>
      </c>
      <c r="G8" s="281"/>
      <c r="H8" s="281"/>
      <c r="I8" s="281"/>
      <c r="J8" s="281"/>
      <c r="K8" s="281"/>
      <c r="L8" s="281"/>
      <c r="M8" s="281"/>
      <c r="N8" s="281"/>
      <c r="O8" s="281"/>
      <c r="P8" s="281"/>
      <c r="Q8" s="281"/>
      <c r="R8" s="281"/>
      <c r="S8" s="281"/>
      <c r="T8" s="281"/>
      <c r="U8" s="281"/>
      <c r="V8" s="281"/>
      <c r="W8" s="281"/>
      <c r="X8" s="281"/>
      <c r="Y8" s="281"/>
      <c r="Z8" s="281"/>
    </row>
    <row r="9">
      <c r="A9" s="285" t="s">
        <v>454</v>
      </c>
      <c r="B9" s="286" t="s">
        <v>450</v>
      </c>
      <c r="C9" s="287">
        <v>0.0</v>
      </c>
      <c r="D9" s="287" t="s">
        <v>455</v>
      </c>
      <c r="E9" s="287">
        <v>0.0</v>
      </c>
      <c r="F9" s="287" t="s">
        <v>451</v>
      </c>
      <c r="G9" s="281"/>
      <c r="H9" s="281"/>
      <c r="I9" s="281"/>
      <c r="J9" s="281"/>
      <c r="K9" s="281"/>
      <c r="L9" s="281"/>
      <c r="M9" s="281"/>
      <c r="N9" s="281"/>
      <c r="O9" s="281"/>
      <c r="P9" s="281"/>
      <c r="Q9" s="281"/>
      <c r="R9" s="281"/>
      <c r="S9" s="281"/>
      <c r="T9" s="281"/>
      <c r="U9" s="281"/>
      <c r="V9" s="281"/>
      <c r="W9" s="281"/>
      <c r="X9" s="281"/>
      <c r="Y9" s="281"/>
      <c r="Z9" s="281"/>
    </row>
    <row r="10">
      <c r="A10" s="285" t="s">
        <v>456</v>
      </c>
      <c r="B10" s="286" t="s">
        <v>228</v>
      </c>
      <c r="C10" s="287" t="s">
        <v>451</v>
      </c>
      <c r="D10" s="287" t="s">
        <v>457</v>
      </c>
      <c r="E10" s="287">
        <v>0.0</v>
      </c>
      <c r="F10" s="287" t="s">
        <v>455</v>
      </c>
      <c r="G10" s="281"/>
      <c r="H10" s="281"/>
      <c r="I10" s="281"/>
      <c r="J10" s="281"/>
      <c r="K10" s="281"/>
      <c r="L10" s="281"/>
      <c r="M10" s="281"/>
      <c r="N10" s="281"/>
      <c r="O10" s="281"/>
      <c r="P10" s="281"/>
      <c r="Q10" s="281"/>
      <c r="R10" s="281"/>
      <c r="S10" s="281"/>
      <c r="T10" s="281"/>
      <c r="U10" s="281"/>
      <c r="V10" s="281"/>
      <c r="W10" s="281"/>
      <c r="X10" s="281"/>
      <c r="Y10" s="281"/>
      <c r="Z10" s="281"/>
    </row>
    <row r="11">
      <c r="A11" s="285" t="s">
        <v>458</v>
      </c>
      <c r="B11" s="286" t="s">
        <v>228</v>
      </c>
      <c r="C11" s="287" t="s">
        <v>451</v>
      </c>
      <c r="D11" s="287" t="s">
        <v>459</v>
      </c>
      <c r="E11" s="287">
        <v>0.0</v>
      </c>
      <c r="F11" s="287" t="s">
        <v>455</v>
      </c>
      <c r="G11" s="281"/>
      <c r="H11" s="281"/>
      <c r="I11" s="281"/>
      <c r="J11" s="281"/>
      <c r="K11" s="281"/>
      <c r="L11" s="281"/>
      <c r="M11" s="281"/>
      <c r="N11" s="281"/>
      <c r="O11" s="281"/>
      <c r="P11" s="281"/>
      <c r="Q11" s="281"/>
      <c r="R11" s="281"/>
      <c r="S11" s="281"/>
      <c r="T11" s="281"/>
      <c r="U11" s="281"/>
      <c r="V11" s="281"/>
      <c r="W11" s="281"/>
      <c r="X11" s="281"/>
      <c r="Y11" s="281"/>
      <c r="Z11" s="281"/>
    </row>
    <row r="12">
      <c r="A12" s="285" t="s">
        <v>460</v>
      </c>
      <c r="B12" s="286" t="s">
        <v>228</v>
      </c>
      <c r="C12" s="287">
        <v>0.0</v>
      </c>
      <c r="D12" s="287" t="s">
        <v>461</v>
      </c>
      <c r="E12" s="287">
        <v>0.0</v>
      </c>
      <c r="F12" s="287" t="s">
        <v>462</v>
      </c>
      <c r="G12" s="281"/>
      <c r="H12" s="281"/>
      <c r="I12" s="281"/>
      <c r="J12" s="281"/>
      <c r="K12" s="281"/>
      <c r="L12" s="281"/>
      <c r="M12" s="281"/>
      <c r="N12" s="281"/>
      <c r="O12" s="281"/>
      <c r="P12" s="281"/>
      <c r="Q12" s="281"/>
      <c r="R12" s="281"/>
      <c r="S12" s="281"/>
      <c r="T12" s="281"/>
      <c r="U12" s="281"/>
      <c r="V12" s="281"/>
      <c r="W12" s="281"/>
      <c r="X12" s="281"/>
      <c r="Y12" s="281"/>
      <c r="Z12" s="281"/>
    </row>
    <row r="13">
      <c r="A13" s="285" t="s">
        <v>463</v>
      </c>
      <c r="B13" s="286" t="s">
        <v>228</v>
      </c>
      <c r="C13" s="287">
        <v>0.0</v>
      </c>
      <c r="D13" s="287" t="s">
        <v>461</v>
      </c>
      <c r="E13" s="287">
        <v>0.0</v>
      </c>
      <c r="F13" s="287" t="s">
        <v>462</v>
      </c>
      <c r="G13" s="281"/>
      <c r="H13" s="281"/>
      <c r="I13" s="281"/>
      <c r="J13" s="281"/>
      <c r="K13" s="281"/>
      <c r="L13" s="281"/>
      <c r="M13" s="281"/>
      <c r="N13" s="281"/>
      <c r="O13" s="281"/>
      <c r="P13" s="281"/>
      <c r="Q13" s="281"/>
      <c r="R13" s="281"/>
      <c r="S13" s="281"/>
      <c r="T13" s="281"/>
      <c r="U13" s="281"/>
      <c r="V13" s="281"/>
      <c r="W13" s="281"/>
      <c r="X13" s="281"/>
      <c r="Y13" s="281"/>
      <c r="Z13" s="281"/>
    </row>
    <row r="14">
      <c r="A14" s="285" t="s">
        <v>464</v>
      </c>
      <c r="B14" s="286" t="s">
        <v>228</v>
      </c>
      <c r="C14" s="287">
        <v>0.0</v>
      </c>
      <c r="D14" s="287" t="s">
        <v>455</v>
      </c>
      <c r="E14" s="287">
        <v>0.0</v>
      </c>
      <c r="F14" s="287" t="s">
        <v>462</v>
      </c>
      <c r="G14" s="281"/>
      <c r="H14" s="281"/>
      <c r="I14" s="281"/>
      <c r="J14" s="281"/>
      <c r="K14" s="281"/>
      <c r="L14" s="281"/>
      <c r="M14" s="281"/>
      <c r="N14" s="281"/>
      <c r="O14" s="281"/>
      <c r="P14" s="281"/>
      <c r="Q14" s="281"/>
      <c r="R14" s="281"/>
      <c r="S14" s="281"/>
      <c r="T14" s="281"/>
      <c r="U14" s="281"/>
      <c r="V14" s="281"/>
      <c r="W14" s="281"/>
      <c r="X14" s="281"/>
      <c r="Y14" s="281"/>
      <c r="Z14" s="281"/>
    </row>
    <row r="15">
      <c r="A15" s="285" t="s">
        <v>465</v>
      </c>
      <c r="B15" s="286" t="s">
        <v>228</v>
      </c>
      <c r="C15" s="287">
        <v>0.0</v>
      </c>
      <c r="D15" s="287" t="s">
        <v>462</v>
      </c>
      <c r="E15" s="287">
        <v>0.0</v>
      </c>
      <c r="F15" s="287" t="s">
        <v>451</v>
      </c>
      <c r="G15" s="281"/>
      <c r="H15" s="281"/>
      <c r="I15" s="281"/>
      <c r="J15" s="281"/>
      <c r="K15" s="281"/>
      <c r="L15" s="281"/>
      <c r="M15" s="281"/>
      <c r="N15" s="281"/>
      <c r="O15" s="281"/>
      <c r="P15" s="281"/>
      <c r="Q15" s="281"/>
      <c r="R15" s="281"/>
      <c r="S15" s="281"/>
      <c r="T15" s="281"/>
      <c r="U15" s="281"/>
      <c r="V15" s="281"/>
      <c r="W15" s="281"/>
      <c r="X15" s="281"/>
      <c r="Y15" s="281"/>
      <c r="Z15" s="281"/>
    </row>
    <row r="16">
      <c r="A16" s="285" t="s">
        <v>466</v>
      </c>
      <c r="B16" s="286" t="s">
        <v>467</v>
      </c>
      <c r="C16" s="287">
        <v>0.0</v>
      </c>
      <c r="D16" s="287" t="s">
        <v>451</v>
      </c>
      <c r="E16" s="287">
        <v>0.0</v>
      </c>
      <c r="F16" s="287" t="s">
        <v>451</v>
      </c>
      <c r="G16" s="281"/>
      <c r="H16" s="281"/>
      <c r="I16" s="281"/>
      <c r="J16" s="281"/>
      <c r="K16" s="281"/>
      <c r="L16" s="281"/>
      <c r="M16" s="281"/>
      <c r="N16" s="281"/>
      <c r="O16" s="281"/>
      <c r="P16" s="281"/>
      <c r="Q16" s="281"/>
      <c r="R16" s="281"/>
      <c r="S16" s="281"/>
      <c r="T16" s="281"/>
      <c r="U16" s="281"/>
      <c r="V16" s="281"/>
      <c r="W16" s="281"/>
      <c r="X16" s="281"/>
      <c r="Y16" s="281"/>
      <c r="Z16" s="281"/>
    </row>
    <row r="17">
      <c r="A17" s="285" t="s">
        <v>468</v>
      </c>
      <c r="B17" s="286" t="s">
        <v>467</v>
      </c>
      <c r="C17" s="287">
        <v>0.0</v>
      </c>
      <c r="D17" s="287" t="s">
        <v>451</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469</v>
      </c>
      <c r="B18" s="286" t="s">
        <v>470</v>
      </c>
      <c r="C18" s="287">
        <v>0.0</v>
      </c>
      <c r="D18" s="287" t="s">
        <v>451</v>
      </c>
      <c r="E18" s="287">
        <v>0.0</v>
      </c>
      <c r="F18" s="287" t="s">
        <v>451</v>
      </c>
      <c r="G18" s="281"/>
      <c r="H18" s="281"/>
      <c r="I18" s="281"/>
      <c r="J18" s="281"/>
      <c r="K18" s="281"/>
      <c r="L18" s="281"/>
      <c r="M18" s="281"/>
      <c r="N18" s="281"/>
      <c r="O18" s="281"/>
      <c r="P18" s="281"/>
      <c r="Q18" s="281"/>
      <c r="R18" s="281"/>
      <c r="S18" s="281"/>
      <c r="T18" s="281"/>
      <c r="U18" s="281"/>
      <c r="V18" s="281"/>
      <c r="W18" s="281"/>
      <c r="X18" s="281"/>
      <c r="Y18" s="281"/>
      <c r="Z18" s="281"/>
    </row>
    <row r="19">
      <c r="A19" s="285" t="s">
        <v>471</v>
      </c>
      <c r="B19" s="286" t="s">
        <v>472</v>
      </c>
      <c r="C19" s="287">
        <v>0.0</v>
      </c>
      <c r="D19" s="287" t="s">
        <v>462</v>
      </c>
      <c r="E19" s="287">
        <v>0.0</v>
      </c>
      <c r="F19" s="287" t="s">
        <v>451</v>
      </c>
      <c r="G19" s="281"/>
      <c r="H19" s="281"/>
      <c r="I19" s="281"/>
      <c r="J19" s="281"/>
      <c r="K19" s="281"/>
      <c r="L19" s="281"/>
      <c r="M19" s="281"/>
      <c r="N19" s="281"/>
      <c r="O19" s="281"/>
      <c r="P19" s="281"/>
      <c r="Q19" s="281"/>
      <c r="R19" s="281"/>
      <c r="S19" s="281"/>
      <c r="T19" s="281"/>
      <c r="U19" s="281"/>
      <c r="V19" s="281"/>
      <c r="W19" s="281"/>
      <c r="X19" s="281"/>
      <c r="Y19" s="281"/>
      <c r="Z19" s="281"/>
    </row>
    <row r="20">
      <c r="A20" s="285" t="s">
        <v>473</v>
      </c>
      <c r="B20" s="286" t="s">
        <v>472</v>
      </c>
      <c r="C20" s="287">
        <v>0.0</v>
      </c>
      <c r="D20" s="287" t="s">
        <v>462</v>
      </c>
      <c r="E20" s="287">
        <v>0.0</v>
      </c>
      <c r="F20" s="287" t="s">
        <v>451</v>
      </c>
      <c r="G20" s="281"/>
      <c r="H20" s="281"/>
      <c r="I20" s="281"/>
      <c r="J20" s="281"/>
      <c r="K20" s="281"/>
      <c r="L20" s="281"/>
      <c r="M20" s="281"/>
      <c r="N20" s="281"/>
      <c r="O20" s="281"/>
      <c r="P20" s="281"/>
      <c r="Q20" s="281"/>
      <c r="R20" s="281"/>
      <c r="S20" s="281"/>
      <c r="T20" s="281"/>
      <c r="U20" s="281"/>
      <c r="V20" s="281"/>
      <c r="W20" s="281"/>
      <c r="X20" s="281"/>
      <c r="Y20" s="281"/>
      <c r="Z20" s="281"/>
    </row>
    <row r="21">
      <c r="A21" s="285" t="s">
        <v>474</v>
      </c>
      <c r="B21" s="286" t="s">
        <v>472</v>
      </c>
      <c r="C21" s="287" t="s">
        <v>451</v>
      </c>
      <c r="D21" s="287" t="s">
        <v>461</v>
      </c>
      <c r="E21" s="287">
        <v>0.0</v>
      </c>
      <c r="F21" s="287" t="s">
        <v>462</v>
      </c>
      <c r="G21" s="281"/>
      <c r="H21" s="281"/>
      <c r="I21" s="281"/>
      <c r="J21" s="281"/>
      <c r="K21" s="281"/>
      <c r="L21" s="281"/>
      <c r="M21" s="281"/>
      <c r="N21" s="281"/>
      <c r="O21" s="281"/>
      <c r="P21" s="281"/>
      <c r="Q21" s="281"/>
      <c r="R21" s="281"/>
      <c r="S21" s="281"/>
      <c r="T21" s="281"/>
      <c r="U21" s="281"/>
      <c r="V21" s="281"/>
      <c r="W21" s="281"/>
      <c r="X21" s="281"/>
      <c r="Y21" s="281"/>
      <c r="Z21" s="281"/>
    </row>
    <row r="22">
      <c r="A22" s="285" t="s">
        <v>475</v>
      </c>
      <c r="B22" s="286" t="s">
        <v>472</v>
      </c>
      <c r="C22" s="287" t="s">
        <v>451</v>
      </c>
      <c r="D22" s="287" t="s">
        <v>462</v>
      </c>
      <c r="E22" s="287">
        <v>0.0</v>
      </c>
      <c r="F22" s="287" t="s">
        <v>451</v>
      </c>
      <c r="G22" s="281"/>
      <c r="H22" s="281"/>
      <c r="I22" s="281"/>
      <c r="J22" s="281"/>
      <c r="K22" s="281"/>
      <c r="L22" s="281"/>
      <c r="M22" s="281"/>
      <c r="N22" s="281"/>
      <c r="O22" s="281"/>
      <c r="P22" s="281"/>
      <c r="Q22" s="281"/>
      <c r="R22" s="281"/>
      <c r="S22" s="281"/>
      <c r="T22" s="281"/>
      <c r="U22" s="281"/>
      <c r="V22" s="281"/>
      <c r="W22" s="281"/>
      <c r="X22" s="281"/>
      <c r="Y22" s="281"/>
      <c r="Z22" s="281"/>
    </row>
    <row r="23">
      <c r="A23" s="285" t="s">
        <v>476</v>
      </c>
      <c r="B23" s="286" t="s">
        <v>472</v>
      </c>
      <c r="C23" s="287">
        <v>0.0</v>
      </c>
      <c r="D23" s="287" t="s">
        <v>451</v>
      </c>
      <c r="E23" s="287">
        <v>0.0</v>
      </c>
      <c r="F23" s="287" t="s">
        <v>451</v>
      </c>
      <c r="G23" s="281"/>
      <c r="H23" s="281"/>
      <c r="I23" s="281"/>
      <c r="J23" s="281"/>
      <c r="K23" s="281"/>
      <c r="L23" s="281"/>
      <c r="M23" s="281"/>
      <c r="N23" s="281"/>
      <c r="O23" s="281"/>
      <c r="P23" s="281"/>
      <c r="Q23" s="281"/>
      <c r="R23" s="281"/>
      <c r="S23" s="281"/>
      <c r="T23" s="281"/>
      <c r="U23" s="281"/>
      <c r="V23" s="281"/>
      <c r="W23" s="281"/>
      <c r="X23" s="281"/>
      <c r="Y23" s="281"/>
      <c r="Z23" s="281"/>
    </row>
    <row r="24">
      <c r="A24" s="285" t="s">
        <v>477</v>
      </c>
      <c r="B24" s="286" t="s">
        <v>472</v>
      </c>
      <c r="C24" s="287" t="s">
        <v>451</v>
      </c>
      <c r="D24" s="287" t="s">
        <v>462</v>
      </c>
      <c r="E24" s="287">
        <v>0.0</v>
      </c>
      <c r="F24" s="287" t="s">
        <v>451</v>
      </c>
      <c r="G24" s="281"/>
      <c r="H24" s="281"/>
      <c r="I24" s="281"/>
      <c r="J24" s="281"/>
      <c r="K24" s="281"/>
      <c r="L24" s="281"/>
      <c r="M24" s="281"/>
      <c r="N24" s="281"/>
      <c r="O24" s="281"/>
      <c r="P24" s="281"/>
      <c r="Q24" s="281"/>
      <c r="R24" s="281"/>
      <c r="S24" s="281"/>
      <c r="T24" s="281"/>
      <c r="U24" s="281"/>
      <c r="V24" s="281"/>
      <c r="W24" s="281"/>
      <c r="X24" s="281"/>
      <c r="Y24" s="281"/>
      <c r="Z24" s="281"/>
    </row>
    <row r="25">
      <c r="A25" s="285" t="s">
        <v>478</v>
      </c>
      <c r="B25" s="286" t="s">
        <v>479</v>
      </c>
      <c r="C25" s="287" t="s">
        <v>451</v>
      </c>
      <c r="D25" s="287" t="s">
        <v>461</v>
      </c>
      <c r="E25" s="287">
        <v>0.0</v>
      </c>
      <c r="F25" s="287" t="s">
        <v>462</v>
      </c>
      <c r="G25" s="281"/>
      <c r="H25" s="281"/>
      <c r="I25" s="281"/>
      <c r="J25" s="281"/>
      <c r="K25" s="281"/>
      <c r="L25" s="281"/>
      <c r="M25" s="281"/>
      <c r="N25" s="281"/>
      <c r="O25" s="281"/>
      <c r="P25" s="281"/>
      <c r="Q25" s="281"/>
      <c r="R25" s="281"/>
      <c r="S25" s="281"/>
      <c r="T25" s="281"/>
      <c r="U25" s="281"/>
      <c r="V25" s="281"/>
      <c r="W25" s="281"/>
      <c r="X25" s="281"/>
      <c r="Y25" s="281"/>
      <c r="Z25" s="281"/>
    </row>
    <row r="26">
      <c r="A26" s="285" t="s">
        <v>480</v>
      </c>
      <c r="B26" s="286" t="s">
        <v>479</v>
      </c>
      <c r="C26" s="287">
        <v>0.0</v>
      </c>
      <c r="D26" s="287" t="s">
        <v>462</v>
      </c>
      <c r="E26" s="287">
        <v>0.0</v>
      </c>
      <c r="F26" s="287" t="s">
        <v>462</v>
      </c>
      <c r="G26" s="281"/>
      <c r="H26" s="281"/>
      <c r="I26" s="281"/>
      <c r="J26" s="281"/>
      <c r="K26" s="281"/>
      <c r="L26" s="281"/>
      <c r="M26" s="281"/>
      <c r="N26" s="281"/>
      <c r="O26" s="281"/>
      <c r="P26" s="281"/>
      <c r="Q26" s="281"/>
      <c r="R26" s="281"/>
      <c r="S26" s="281"/>
      <c r="T26" s="281"/>
      <c r="U26" s="281"/>
      <c r="V26" s="281"/>
      <c r="W26" s="281"/>
      <c r="X26" s="281"/>
      <c r="Y26" s="281"/>
      <c r="Z26" s="281"/>
    </row>
    <row r="27">
      <c r="A27" s="285" t="s">
        <v>481</v>
      </c>
      <c r="B27" s="286" t="s">
        <v>479</v>
      </c>
      <c r="C27" s="287">
        <v>0.0</v>
      </c>
      <c r="D27" s="287" t="s">
        <v>461</v>
      </c>
      <c r="E27" s="287">
        <v>0.0</v>
      </c>
      <c r="F27" s="287" t="s">
        <v>455</v>
      </c>
      <c r="G27" s="281"/>
      <c r="H27" s="281"/>
      <c r="I27" s="281"/>
      <c r="J27" s="281"/>
      <c r="K27" s="281"/>
      <c r="L27" s="281"/>
      <c r="M27" s="281"/>
      <c r="N27" s="281"/>
      <c r="O27" s="281"/>
      <c r="P27" s="281"/>
      <c r="Q27" s="281"/>
      <c r="R27" s="281"/>
      <c r="S27" s="281"/>
      <c r="T27" s="281"/>
      <c r="U27" s="281"/>
      <c r="V27" s="281"/>
      <c r="W27" s="281"/>
      <c r="X27" s="281"/>
      <c r="Y27" s="281"/>
      <c r="Z27" s="281"/>
    </row>
    <row r="28">
      <c r="A28" s="285" t="s">
        <v>482</v>
      </c>
      <c r="B28" s="286" t="s">
        <v>479</v>
      </c>
      <c r="C28" s="287" t="s">
        <v>451</v>
      </c>
      <c r="D28" s="287" t="s">
        <v>483</v>
      </c>
      <c r="E28" s="287">
        <v>0.0</v>
      </c>
      <c r="F28" s="287" t="s">
        <v>451</v>
      </c>
      <c r="G28" s="281"/>
      <c r="H28" s="281"/>
      <c r="I28" s="281"/>
      <c r="J28" s="281"/>
      <c r="K28" s="281"/>
      <c r="L28" s="281"/>
      <c r="M28" s="281"/>
      <c r="N28" s="281"/>
      <c r="O28" s="281"/>
      <c r="P28" s="281"/>
      <c r="Q28" s="281"/>
      <c r="R28" s="281"/>
      <c r="S28" s="281"/>
      <c r="T28" s="281"/>
      <c r="U28" s="281"/>
      <c r="V28" s="281"/>
      <c r="W28" s="281"/>
      <c r="X28" s="281"/>
      <c r="Y28" s="281"/>
      <c r="Z28" s="281"/>
    </row>
    <row r="29">
      <c r="A29" s="285" t="s">
        <v>484</v>
      </c>
      <c r="B29" s="286" t="s">
        <v>479</v>
      </c>
      <c r="C29" s="287" t="s">
        <v>451</v>
      </c>
      <c r="D29" s="287" t="s">
        <v>459</v>
      </c>
      <c r="E29" s="287">
        <v>0.0</v>
      </c>
      <c r="F29" s="287" t="s">
        <v>455</v>
      </c>
      <c r="G29" s="281"/>
      <c r="H29" s="281"/>
      <c r="I29" s="281"/>
      <c r="J29" s="281"/>
      <c r="K29" s="281"/>
      <c r="L29" s="281"/>
      <c r="M29" s="281"/>
      <c r="N29" s="281"/>
      <c r="O29" s="281"/>
      <c r="P29" s="281"/>
      <c r="Q29" s="281"/>
      <c r="R29" s="281"/>
      <c r="S29" s="281"/>
      <c r="T29" s="281"/>
      <c r="U29" s="281"/>
      <c r="V29" s="281"/>
      <c r="W29" s="281"/>
      <c r="X29" s="281"/>
      <c r="Y29" s="281"/>
      <c r="Z29" s="281"/>
    </row>
    <row r="30">
      <c r="A30" s="285" t="s">
        <v>485</v>
      </c>
      <c r="B30" s="286" t="s">
        <v>479</v>
      </c>
      <c r="C30" s="287">
        <v>0.0</v>
      </c>
      <c r="D30" s="287" t="s">
        <v>455</v>
      </c>
      <c r="E30" s="287">
        <v>0.0</v>
      </c>
      <c r="F30" s="287" t="s">
        <v>451</v>
      </c>
      <c r="G30" s="281"/>
      <c r="H30" s="281"/>
      <c r="I30" s="281"/>
      <c r="J30" s="281"/>
      <c r="K30" s="281"/>
      <c r="L30" s="281"/>
      <c r="M30" s="281"/>
      <c r="N30" s="281"/>
      <c r="O30" s="281"/>
      <c r="P30" s="281"/>
      <c r="Q30" s="281"/>
      <c r="R30" s="281"/>
      <c r="S30" s="281"/>
      <c r="T30" s="281"/>
      <c r="U30" s="281"/>
      <c r="V30" s="281"/>
      <c r="W30" s="281"/>
      <c r="X30" s="281"/>
      <c r="Y30" s="281"/>
      <c r="Z30" s="281"/>
    </row>
    <row r="31">
      <c r="A31" s="285" t="s">
        <v>486</v>
      </c>
      <c r="B31" s="286" t="s">
        <v>230</v>
      </c>
      <c r="C31" s="287">
        <v>0.0</v>
      </c>
      <c r="D31" s="287" t="s">
        <v>455</v>
      </c>
      <c r="E31" s="287">
        <v>0.0</v>
      </c>
      <c r="F31" s="287" t="s">
        <v>451</v>
      </c>
      <c r="G31" s="281"/>
      <c r="H31" s="281"/>
      <c r="I31" s="281"/>
      <c r="J31" s="281"/>
      <c r="K31" s="281"/>
      <c r="L31" s="281"/>
      <c r="M31" s="281"/>
      <c r="N31" s="281"/>
      <c r="O31" s="281"/>
      <c r="P31" s="281"/>
      <c r="Q31" s="281"/>
      <c r="R31" s="281"/>
      <c r="S31" s="281"/>
      <c r="T31" s="281"/>
      <c r="U31" s="281"/>
      <c r="V31" s="281"/>
      <c r="W31" s="281"/>
      <c r="X31" s="281"/>
      <c r="Y31" s="281"/>
      <c r="Z31" s="281"/>
    </row>
    <row r="32">
      <c r="A32" s="285" t="s">
        <v>487</v>
      </c>
      <c r="B32" s="286" t="s">
        <v>230</v>
      </c>
      <c r="C32" s="287">
        <v>0.0</v>
      </c>
      <c r="D32" s="287" t="s">
        <v>457</v>
      </c>
      <c r="E32" s="287">
        <v>0.0</v>
      </c>
      <c r="F32" s="287" t="s">
        <v>462</v>
      </c>
      <c r="G32" s="281"/>
      <c r="H32" s="281"/>
      <c r="I32" s="281"/>
      <c r="J32" s="281"/>
      <c r="K32" s="281"/>
      <c r="L32" s="281"/>
      <c r="M32" s="281"/>
      <c r="N32" s="281"/>
      <c r="O32" s="281"/>
      <c r="P32" s="281"/>
      <c r="Q32" s="281"/>
      <c r="R32" s="281"/>
      <c r="S32" s="281"/>
      <c r="T32" s="281"/>
      <c r="U32" s="281"/>
      <c r="V32" s="281"/>
      <c r="W32" s="281"/>
      <c r="X32" s="281"/>
      <c r="Y32" s="281"/>
      <c r="Z32" s="281"/>
    </row>
    <row r="33">
      <c r="A33" s="285" t="s">
        <v>488</v>
      </c>
      <c r="B33" s="286" t="s">
        <v>230</v>
      </c>
      <c r="C33" s="287">
        <v>0.0</v>
      </c>
      <c r="D33" s="287" t="s">
        <v>455</v>
      </c>
      <c r="E33" s="287">
        <v>0.0</v>
      </c>
      <c r="F33" s="287" t="s">
        <v>462</v>
      </c>
      <c r="G33" s="281"/>
      <c r="H33" s="281"/>
      <c r="I33" s="281"/>
      <c r="J33" s="281"/>
      <c r="K33" s="281"/>
      <c r="L33" s="281"/>
      <c r="M33" s="281"/>
      <c r="N33" s="281"/>
      <c r="O33" s="281"/>
      <c r="P33" s="281"/>
      <c r="Q33" s="281"/>
      <c r="R33" s="281"/>
      <c r="S33" s="281"/>
      <c r="T33" s="281"/>
      <c r="U33" s="281"/>
      <c r="V33" s="281"/>
      <c r="W33" s="281"/>
      <c r="X33" s="281"/>
      <c r="Y33" s="281"/>
      <c r="Z33" s="281"/>
    </row>
    <row r="34">
      <c r="A34" s="285" t="s">
        <v>489</v>
      </c>
      <c r="B34" s="286" t="s">
        <v>230</v>
      </c>
      <c r="C34" s="287" t="s">
        <v>451</v>
      </c>
      <c r="D34" s="287" t="s">
        <v>462</v>
      </c>
      <c r="E34" s="287">
        <v>0.0</v>
      </c>
      <c r="F34" s="287" t="s">
        <v>451</v>
      </c>
      <c r="G34" s="281"/>
      <c r="H34" s="281"/>
      <c r="I34" s="281"/>
      <c r="J34" s="281"/>
      <c r="K34" s="281"/>
      <c r="L34" s="281"/>
      <c r="M34" s="281"/>
      <c r="N34" s="281"/>
      <c r="O34" s="281"/>
      <c r="P34" s="281"/>
      <c r="Q34" s="281"/>
      <c r="R34" s="281"/>
      <c r="S34" s="281"/>
      <c r="T34" s="281"/>
      <c r="U34" s="281"/>
      <c r="V34" s="281"/>
      <c r="W34" s="281"/>
      <c r="X34" s="281"/>
      <c r="Y34" s="281"/>
      <c r="Z34" s="281"/>
    </row>
    <row r="35">
      <c r="A35" s="285" t="s">
        <v>490</v>
      </c>
      <c r="B35" s="286" t="s">
        <v>230</v>
      </c>
      <c r="C35" s="287" t="s">
        <v>451</v>
      </c>
      <c r="D35" s="287" t="s">
        <v>491</v>
      </c>
      <c r="E35" s="287" t="s">
        <v>451</v>
      </c>
      <c r="F35" s="287" t="s">
        <v>451</v>
      </c>
      <c r="G35" s="281"/>
      <c r="H35" s="281"/>
      <c r="I35" s="281"/>
      <c r="J35" s="281"/>
      <c r="K35" s="281"/>
      <c r="L35" s="281"/>
      <c r="M35" s="281"/>
      <c r="N35" s="281"/>
      <c r="O35" s="281"/>
      <c r="P35" s="281"/>
      <c r="Q35" s="281"/>
      <c r="R35" s="281"/>
      <c r="S35" s="281"/>
      <c r="T35" s="281"/>
      <c r="U35" s="281"/>
      <c r="V35" s="281"/>
      <c r="W35" s="281"/>
      <c r="X35" s="281"/>
      <c r="Y35" s="281"/>
      <c r="Z35" s="281"/>
    </row>
    <row r="36">
      <c r="A36" s="285" t="s">
        <v>492</v>
      </c>
      <c r="B36" s="286" t="s">
        <v>493</v>
      </c>
      <c r="C36" s="287">
        <v>0.0</v>
      </c>
      <c r="D36" s="287" t="s">
        <v>462</v>
      </c>
      <c r="E36" s="287" t="s">
        <v>451</v>
      </c>
      <c r="F36" s="287" t="s">
        <v>451</v>
      </c>
      <c r="G36" s="281"/>
      <c r="H36" s="281"/>
      <c r="I36" s="281"/>
      <c r="J36" s="281"/>
      <c r="K36" s="281"/>
      <c r="L36" s="281"/>
      <c r="M36" s="281"/>
      <c r="N36" s="281"/>
      <c r="O36" s="281"/>
      <c r="P36" s="281"/>
      <c r="Q36" s="281"/>
      <c r="R36" s="281"/>
      <c r="S36" s="281"/>
      <c r="T36" s="281"/>
      <c r="U36" s="281"/>
      <c r="V36" s="281"/>
      <c r="W36" s="281"/>
      <c r="X36" s="281"/>
      <c r="Y36" s="281"/>
      <c r="Z36" s="281"/>
    </row>
    <row r="37">
      <c r="A37" s="285" t="s">
        <v>494</v>
      </c>
      <c r="B37" s="286" t="s">
        <v>493</v>
      </c>
      <c r="C37" s="287">
        <v>0.0</v>
      </c>
      <c r="D37" s="287" t="s">
        <v>451</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495</v>
      </c>
      <c r="B38" s="286" t="s">
        <v>493</v>
      </c>
      <c r="C38" s="287" t="s">
        <v>451</v>
      </c>
      <c r="D38" s="287" t="s">
        <v>496</v>
      </c>
      <c r="E38" s="287">
        <v>0.0</v>
      </c>
      <c r="F38" s="287" t="s">
        <v>462</v>
      </c>
      <c r="G38" s="281"/>
      <c r="H38" s="281"/>
      <c r="I38" s="281"/>
      <c r="J38" s="281"/>
      <c r="K38" s="281"/>
      <c r="L38" s="281"/>
      <c r="M38" s="281"/>
      <c r="N38" s="281"/>
      <c r="O38" s="281"/>
      <c r="P38" s="281"/>
      <c r="Q38" s="281"/>
      <c r="R38" s="281"/>
      <c r="S38" s="281"/>
      <c r="T38" s="281"/>
      <c r="U38" s="281"/>
      <c r="V38" s="281"/>
      <c r="W38" s="281"/>
      <c r="X38" s="281"/>
      <c r="Y38" s="281"/>
      <c r="Z38" s="281"/>
    </row>
    <row r="39">
      <c r="A39" s="285" t="s">
        <v>497</v>
      </c>
      <c r="B39" s="286" t="s">
        <v>493</v>
      </c>
      <c r="C39" s="287">
        <v>0.0</v>
      </c>
      <c r="D39" s="287" t="s">
        <v>455</v>
      </c>
      <c r="E39" s="287">
        <v>0.0</v>
      </c>
      <c r="F39" s="287" t="s">
        <v>451</v>
      </c>
      <c r="G39" s="281"/>
      <c r="H39" s="281"/>
      <c r="I39" s="281"/>
      <c r="J39" s="281"/>
      <c r="K39" s="281"/>
      <c r="L39" s="281"/>
      <c r="M39" s="281"/>
      <c r="N39" s="281"/>
      <c r="O39" s="281"/>
      <c r="P39" s="281"/>
      <c r="Q39" s="281"/>
      <c r="R39" s="281"/>
      <c r="S39" s="281"/>
      <c r="T39" s="281"/>
      <c r="U39" s="281"/>
      <c r="V39" s="281"/>
      <c r="W39" s="281"/>
      <c r="X39" s="281"/>
      <c r="Y39" s="281"/>
      <c r="Z39" s="281"/>
    </row>
    <row r="40">
      <c r="A40" s="285" t="s">
        <v>498</v>
      </c>
      <c r="B40" s="286" t="s">
        <v>493</v>
      </c>
      <c r="C40" s="287">
        <v>0.0</v>
      </c>
      <c r="D40" s="287" t="s">
        <v>455</v>
      </c>
      <c r="E40" s="287">
        <v>0.0</v>
      </c>
      <c r="F40" s="287" t="s">
        <v>451</v>
      </c>
      <c r="G40" s="281"/>
      <c r="H40" s="281"/>
      <c r="I40" s="281"/>
      <c r="J40" s="281"/>
      <c r="K40" s="281"/>
      <c r="L40" s="281"/>
      <c r="M40" s="281"/>
      <c r="N40" s="281"/>
      <c r="O40" s="281"/>
      <c r="P40" s="281"/>
      <c r="Q40" s="281"/>
      <c r="R40" s="281"/>
      <c r="S40" s="281"/>
      <c r="T40" s="281"/>
      <c r="U40" s="281"/>
      <c r="V40" s="281"/>
      <c r="W40" s="281"/>
      <c r="X40" s="281"/>
      <c r="Y40" s="281"/>
      <c r="Z40" s="281"/>
    </row>
    <row r="41">
      <c r="A41" s="285" t="s">
        <v>499</v>
      </c>
      <c r="B41" s="286" t="s">
        <v>493</v>
      </c>
      <c r="C41" s="287">
        <v>0.0</v>
      </c>
      <c r="D41" s="287" t="s">
        <v>461</v>
      </c>
      <c r="E41" s="287">
        <v>0.0</v>
      </c>
      <c r="F41" s="287" t="s">
        <v>451</v>
      </c>
      <c r="G41" s="281"/>
      <c r="H41" s="281"/>
      <c r="I41" s="281"/>
      <c r="J41" s="281"/>
      <c r="K41" s="281"/>
      <c r="L41" s="281"/>
      <c r="M41" s="281"/>
      <c r="N41" s="281"/>
      <c r="O41" s="281"/>
      <c r="P41" s="281"/>
      <c r="Q41" s="281"/>
      <c r="R41" s="281"/>
      <c r="S41" s="281"/>
      <c r="T41" s="281"/>
      <c r="U41" s="281"/>
      <c r="V41" s="281"/>
      <c r="W41" s="281"/>
      <c r="X41" s="281"/>
      <c r="Y41" s="281"/>
      <c r="Z41" s="281"/>
    </row>
    <row r="42">
      <c r="A42" s="285" t="s">
        <v>500</v>
      </c>
      <c r="B42" s="286" t="s">
        <v>493</v>
      </c>
      <c r="C42" s="287">
        <v>0.0</v>
      </c>
      <c r="D42" s="287" t="s">
        <v>455</v>
      </c>
      <c r="E42" s="287">
        <v>0.0</v>
      </c>
      <c r="F42" s="287" t="s">
        <v>451</v>
      </c>
      <c r="G42" s="281"/>
      <c r="H42" s="281"/>
      <c r="I42" s="281"/>
      <c r="J42" s="281"/>
      <c r="K42" s="281"/>
      <c r="L42" s="281"/>
      <c r="M42" s="281"/>
      <c r="N42" s="281"/>
      <c r="O42" s="281"/>
      <c r="P42" s="281"/>
      <c r="Q42" s="281"/>
      <c r="R42" s="281"/>
      <c r="S42" s="281"/>
      <c r="T42" s="281"/>
      <c r="U42" s="281"/>
      <c r="V42" s="281"/>
      <c r="W42" s="281"/>
      <c r="X42" s="281"/>
      <c r="Y42" s="281"/>
      <c r="Z42" s="281"/>
    </row>
    <row r="43">
      <c r="A43" s="285" t="s">
        <v>501</v>
      </c>
      <c r="B43" s="286" t="s">
        <v>493</v>
      </c>
      <c r="C43" s="287">
        <v>0.0</v>
      </c>
      <c r="D43" s="287" t="s">
        <v>451</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502</v>
      </c>
      <c r="B44" s="286" t="s">
        <v>493</v>
      </c>
      <c r="C44" s="287" t="s">
        <v>451</v>
      </c>
      <c r="D44" s="287" t="s">
        <v>457</v>
      </c>
      <c r="E44" s="287">
        <v>0.0</v>
      </c>
      <c r="F44" s="287" t="s">
        <v>451</v>
      </c>
      <c r="G44" s="281"/>
      <c r="H44" s="281"/>
      <c r="I44" s="281"/>
      <c r="J44" s="281"/>
      <c r="K44" s="281"/>
      <c r="L44" s="281"/>
      <c r="M44" s="281"/>
      <c r="N44" s="281"/>
      <c r="O44" s="281"/>
      <c r="P44" s="281"/>
      <c r="Q44" s="281"/>
      <c r="R44" s="281"/>
      <c r="S44" s="281"/>
      <c r="T44" s="281"/>
      <c r="U44" s="281"/>
      <c r="V44" s="281"/>
      <c r="W44" s="281"/>
      <c r="X44" s="281"/>
      <c r="Y44" s="281"/>
      <c r="Z44" s="281"/>
    </row>
    <row r="45">
      <c r="A45" s="285" t="s">
        <v>503</v>
      </c>
      <c r="B45" s="286" t="s">
        <v>493</v>
      </c>
      <c r="C45" s="287" t="s">
        <v>462</v>
      </c>
      <c r="D45" s="287" t="s">
        <v>504</v>
      </c>
      <c r="E45" s="287">
        <v>0.0</v>
      </c>
      <c r="F45" s="287" t="s">
        <v>462</v>
      </c>
      <c r="G45" s="281"/>
      <c r="H45" s="281"/>
      <c r="I45" s="281"/>
      <c r="J45" s="281"/>
      <c r="K45" s="281"/>
      <c r="L45" s="281"/>
      <c r="M45" s="281"/>
      <c r="N45" s="281"/>
      <c r="O45" s="281"/>
      <c r="P45" s="281"/>
      <c r="Q45" s="281"/>
      <c r="R45" s="281"/>
      <c r="S45" s="281"/>
      <c r="T45" s="281"/>
      <c r="U45" s="281"/>
      <c r="V45" s="281"/>
      <c r="W45" s="281"/>
      <c r="X45" s="281"/>
      <c r="Y45" s="281"/>
      <c r="Z45" s="281"/>
    </row>
    <row r="46">
      <c r="A46" s="285" t="s">
        <v>505</v>
      </c>
      <c r="B46" s="286" t="s">
        <v>493</v>
      </c>
      <c r="C46" s="287" t="s">
        <v>451</v>
      </c>
      <c r="D46" s="287" t="s">
        <v>455</v>
      </c>
      <c r="E46" s="287">
        <v>0.0</v>
      </c>
      <c r="F46" s="287" t="s">
        <v>462</v>
      </c>
      <c r="G46" s="281"/>
      <c r="H46" s="281"/>
      <c r="I46" s="281"/>
      <c r="J46" s="281"/>
      <c r="K46" s="281"/>
      <c r="L46" s="281"/>
      <c r="M46" s="281"/>
      <c r="N46" s="281"/>
      <c r="O46" s="281"/>
      <c r="P46" s="281"/>
      <c r="Q46" s="281"/>
      <c r="R46" s="281"/>
      <c r="S46" s="281"/>
      <c r="T46" s="281"/>
      <c r="U46" s="281"/>
      <c r="V46" s="281"/>
      <c r="W46" s="281"/>
      <c r="X46" s="281"/>
      <c r="Y46" s="281"/>
      <c r="Z46" s="281"/>
    </row>
    <row r="47">
      <c r="A47" s="285" t="s">
        <v>506</v>
      </c>
      <c r="B47" s="286" t="s">
        <v>493</v>
      </c>
      <c r="C47" s="287" t="s">
        <v>451</v>
      </c>
      <c r="D47" s="287" t="s">
        <v>459</v>
      </c>
      <c r="E47" s="287">
        <v>0.0</v>
      </c>
      <c r="F47" s="287" t="s">
        <v>462</v>
      </c>
      <c r="G47" s="281"/>
      <c r="H47" s="281"/>
      <c r="I47" s="281"/>
      <c r="J47" s="281"/>
      <c r="K47" s="281"/>
      <c r="L47" s="281"/>
      <c r="M47" s="281"/>
      <c r="N47" s="281"/>
      <c r="O47" s="281"/>
      <c r="P47" s="281"/>
      <c r="Q47" s="281"/>
      <c r="R47" s="281"/>
      <c r="S47" s="281"/>
      <c r="T47" s="281"/>
      <c r="U47" s="281"/>
      <c r="V47" s="281"/>
      <c r="W47" s="281"/>
      <c r="X47" s="281"/>
      <c r="Y47" s="281"/>
      <c r="Z47" s="281"/>
    </row>
    <row r="48">
      <c r="A48" s="285" t="s">
        <v>507</v>
      </c>
      <c r="B48" s="286" t="s">
        <v>493</v>
      </c>
      <c r="C48" s="287">
        <v>0.0</v>
      </c>
      <c r="D48" s="287" t="s">
        <v>455</v>
      </c>
      <c r="E48" s="287">
        <v>0.0</v>
      </c>
      <c r="F48" s="287" t="s">
        <v>451</v>
      </c>
      <c r="G48" s="281"/>
      <c r="H48" s="281"/>
      <c r="I48" s="281"/>
      <c r="J48" s="281"/>
      <c r="K48" s="281"/>
      <c r="L48" s="281"/>
      <c r="M48" s="281"/>
      <c r="N48" s="281"/>
      <c r="O48" s="281"/>
      <c r="P48" s="281"/>
      <c r="Q48" s="281"/>
      <c r="R48" s="281"/>
      <c r="S48" s="281"/>
      <c r="T48" s="281"/>
      <c r="U48" s="281"/>
      <c r="V48" s="281"/>
      <c r="W48" s="281"/>
      <c r="X48" s="281"/>
      <c r="Y48" s="281"/>
      <c r="Z48" s="281"/>
    </row>
    <row r="49">
      <c r="A49" s="285" t="s">
        <v>508</v>
      </c>
      <c r="B49" s="286" t="s">
        <v>493</v>
      </c>
      <c r="C49" s="287">
        <v>0.0</v>
      </c>
      <c r="D49" s="287" t="s">
        <v>455</v>
      </c>
      <c r="E49" s="287">
        <v>0.0</v>
      </c>
      <c r="F49" s="287" t="s">
        <v>451</v>
      </c>
      <c r="G49" s="281"/>
      <c r="H49" s="281"/>
      <c r="I49" s="281"/>
      <c r="J49" s="281"/>
      <c r="K49" s="281"/>
      <c r="L49" s="281"/>
      <c r="M49" s="281"/>
      <c r="N49" s="281"/>
      <c r="O49" s="281"/>
      <c r="P49" s="281"/>
      <c r="Q49" s="281"/>
      <c r="R49" s="281"/>
      <c r="S49" s="281"/>
      <c r="T49" s="281"/>
      <c r="U49" s="281"/>
      <c r="V49" s="281"/>
      <c r="W49" s="281"/>
      <c r="X49" s="281"/>
      <c r="Y49" s="281"/>
      <c r="Z49" s="281"/>
    </row>
    <row r="50">
      <c r="A50" s="285" t="s">
        <v>509</v>
      </c>
      <c r="B50" s="286" t="s">
        <v>493</v>
      </c>
      <c r="C50" s="287">
        <v>0.0</v>
      </c>
      <c r="D50" s="287" t="s">
        <v>462</v>
      </c>
      <c r="E50" s="287">
        <v>0.0</v>
      </c>
      <c r="F50" s="287">
        <v>0.0</v>
      </c>
      <c r="G50" s="281"/>
      <c r="H50" s="281"/>
      <c r="I50" s="281"/>
      <c r="J50" s="281"/>
      <c r="K50" s="281"/>
      <c r="L50" s="281"/>
      <c r="M50" s="281"/>
      <c r="N50" s="281"/>
      <c r="O50" s="281"/>
      <c r="P50" s="281"/>
      <c r="Q50" s="281"/>
      <c r="R50" s="281"/>
      <c r="S50" s="281"/>
      <c r="T50" s="281"/>
      <c r="U50" s="281"/>
      <c r="V50" s="281"/>
      <c r="W50" s="281"/>
      <c r="X50" s="281"/>
      <c r="Y50" s="281"/>
      <c r="Z50" s="281"/>
    </row>
    <row r="51">
      <c r="A51" s="285" t="s">
        <v>510</v>
      </c>
      <c r="B51" s="286" t="s">
        <v>493</v>
      </c>
      <c r="C51" s="287">
        <v>0.0</v>
      </c>
      <c r="D51" s="287" t="s">
        <v>451</v>
      </c>
      <c r="E51" s="287">
        <v>0.0</v>
      </c>
      <c r="F51" s="287" t="s">
        <v>462</v>
      </c>
      <c r="G51" s="281"/>
      <c r="H51" s="281"/>
      <c r="I51" s="281"/>
      <c r="J51" s="281"/>
      <c r="K51" s="281"/>
      <c r="L51" s="281"/>
      <c r="M51" s="281"/>
      <c r="N51" s="281"/>
      <c r="O51" s="281"/>
      <c r="P51" s="281"/>
      <c r="Q51" s="281"/>
      <c r="R51" s="281"/>
      <c r="S51" s="281"/>
      <c r="T51" s="281"/>
      <c r="U51" s="281"/>
      <c r="V51" s="281"/>
      <c r="W51" s="281"/>
      <c r="X51" s="281"/>
      <c r="Y51" s="281"/>
      <c r="Z51" s="281"/>
    </row>
    <row r="52">
      <c r="A52" s="285" t="s">
        <v>511</v>
      </c>
      <c r="B52" s="286" t="s">
        <v>493</v>
      </c>
      <c r="C52" s="287">
        <v>0.0</v>
      </c>
      <c r="D52" s="287" t="s">
        <v>455</v>
      </c>
      <c r="E52" s="287">
        <v>0.0</v>
      </c>
      <c r="F52" s="287" t="s">
        <v>451</v>
      </c>
      <c r="G52" s="281"/>
      <c r="H52" s="281"/>
      <c r="I52" s="281"/>
      <c r="J52" s="281"/>
      <c r="K52" s="281"/>
      <c r="L52" s="281"/>
      <c r="M52" s="281"/>
      <c r="N52" s="281"/>
      <c r="O52" s="281"/>
      <c r="P52" s="281"/>
      <c r="Q52" s="281"/>
      <c r="R52" s="281"/>
      <c r="S52" s="281"/>
      <c r="T52" s="281"/>
      <c r="U52" s="281"/>
      <c r="V52" s="281"/>
      <c r="W52" s="281"/>
      <c r="X52" s="281"/>
      <c r="Y52" s="281"/>
      <c r="Z52" s="281"/>
    </row>
    <row r="53">
      <c r="A53" s="285" t="s">
        <v>512</v>
      </c>
      <c r="B53" s="286" t="s">
        <v>493</v>
      </c>
      <c r="C53" s="287">
        <v>0.0</v>
      </c>
      <c r="D53" s="287" t="s">
        <v>462</v>
      </c>
      <c r="E53" s="287">
        <v>0.0</v>
      </c>
      <c r="F53" s="287" t="s">
        <v>462</v>
      </c>
      <c r="G53" s="281"/>
      <c r="H53" s="281"/>
      <c r="I53" s="281"/>
      <c r="J53" s="281"/>
      <c r="K53" s="281"/>
      <c r="L53" s="281"/>
      <c r="M53" s="281"/>
      <c r="N53" s="281"/>
      <c r="O53" s="281"/>
      <c r="P53" s="281"/>
      <c r="Q53" s="281"/>
      <c r="R53" s="281"/>
      <c r="S53" s="281"/>
      <c r="T53" s="281"/>
      <c r="U53" s="281"/>
      <c r="V53" s="281"/>
      <c r="W53" s="281"/>
      <c r="X53" s="281"/>
      <c r="Y53" s="281"/>
      <c r="Z53" s="281"/>
    </row>
    <row r="54">
      <c r="A54" s="285" t="s">
        <v>513</v>
      </c>
      <c r="B54" s="286" t="s">
        <v>493</v>
      </c>
      <c r="C54" s="287" t="s">
        <v>451</v>
      </c>
      <c r="D54" s="287" t="s">
        <v>455</v>
      </c>
      <c r="E54" s="287">
        <v>0.0</v>
      </c>
      <c r="F54" s="287" t="s">
        <v>451</v>
      </c>
      <c r="G54" s="281"/>
      <c r="H54" s="281"/>
      <c r="I54" s="281"/>
      <c r="J54" s="281"/>
      <c r="K54" s="281"/>
      <c r="L54" s="281"/>
      <c r="M54" s="281"/>
      <c r="N54" s="281"/>
      <c r="O54" s="281"/>
      <c r="P54" s="281"/>
      <c r="Q54" s="281"/>
      <c r="R54" s="281"/>
      <c r="S54" s="281"/>
      <c r="T54" s="281"/>
      <c r="U54" s="281"/>
      <c r="V54" s="281"/>
      <c r="W54" s="281"/>
      <c r="X54" s="281"/>
      <c r="Y54" s="281"/>
      <c r="Z54" s="281"/>
    </row>
    <row r="55">
      <c r="A55" s="285" t="s">
        <v>514</v>
      </c>
      <c r="B55" s="286" t="s">
        <v>493</v>
      </c>
      <c r="C55" s="287">
        <v>0.0</v>
      </c>
      <c r="D55" s="287" t="s">
        <v>461</v>
      </c>
      <c r="E55" s="287">
        <v>0.0</v>
      </c>
      <c r="F55" s="287" t="s">
        <v>462</v>
      </c>
      <c r="G55" s="281"/>
      <c r="H55" s="281"/>
      <c r="I55" s="281"/>
      <c r="J55" s="281"/>
      <c r="K55" s="281"/>
      <c r="L55" s="281"/>
      <c r="M55" s="281"/>
      <c r="N55" s="281"/>
      <c r="O55" s="281"/>
      <c r="P55" s="281"/>
      <c r="Q55" s="281"/>
      <c r="R55" s="281"/>
      <c r="S55" s="281"/>
      <c r="T55" s="281"/>
      <c r="U55" s="281"/>
      <c r="V55" s="281"/>
      <c r="W55" s="281"/>
      <c r="X55" s="281"/>
      <c r="Y55" s="281"/>
      <c r="Z55" s="281"/>
    </row>
    <row r="56">
      <c r="A56" s="285" t="s">
        <v>515</v>
      </c>
      <c r="B56" s="286" t="s">
        <v>493</v>
      </c>
      <c r="C56" s="287">
        <v>0.0</v>
      </c>
      <c r="D56" s="287" t="s">
        <v>451</v>
      </c>
      <c r="E56" s="287">
        <v>0.0</v>
      </c>
      <c r="F56" s="287" t="s">
        <v>451</v>
      </c>
      <c r="G56" s="281"/>
      <c r="H56" s="281"/>
      <c r="I56" s="281"/>
      <c r="J56" s="281"/>
      <c r="K56" s="281"/>
      <c r="L56" s="281"/>
      <c r="M56" s="281"/>
      <c r="N56" s="281"/>
      <c r="O56" s="281"/>
      <c r="P56" s="281"/>
      <c r="Q56" s="281"/>
      <c r="R56" s="281"/>
      <c r="S56" s="281"/>
      <c r="T56" s="281"/>
      <c r="U56" s="281"/>
      <c r="V56" s="281"/>
      <c r="W56" s="281"/>
      <c r="X56" s="281"/>
      <c r="Y56" s="281"/>
      <c r="Z56" s="281"/>
    </row>
    <row r="57">
      <c r="A57" s="285" t="s">
        <v>516</v>
      </c>
      <c r="B57" s="286" t="s">
        <v>493</v>
      </c>
      <c r="C57" s="287">
        <v>0.0</v>
      </c>
      <c r="D57" s="287" t="s">
        <v>462</v>
      </c>
      <c r="E57" s="287">
        <v>0.0</v>
      </c>
      <c r="F57" s="287" t="s">
        <v>451</v>
      </c>
      <c r="G57" s="281"/>
      <c r="H57" s="281"/>
      <c r="I57" s="281"/>
      <c r="J57" s="281"/>
      <c r="K57" s="281"/>
      <c r="L57" s="281"/>
      <c r="M57" s="281"/>
      <c r="N57" s="281"/>
      <c r="O57" s="281"/>
      <c r="P57" s="281"/>
      <c r="Q57" s="281"/>
      <c r="R57" s="281"/>
      <c r="S57" s="281"/>
      <c r="T57" s="281"/>
      <c r="U57" s="281"/>
      <c r="V57" s="281"/>
      <c r="W57" s="281"/>
      <c r="X57" s="281"/>
      <c r="Y57" s="281"/>
      <c r="Z57" s="281"/>
    </row>
    <row r="58">
      <c r="A58" s="285" t="s">
        <v>517</v>
      </c>
      <c r="B58" s="286" t="s">
        <v>493</v>
      </c>
      <c r="C58" s="287">
        <v>0.0</v>
      </c>
      <c r="D58" s="287" t="s">
        <v>491</v>
      </c>
      <c r="E58" s="287">
        <v>0.0</v>
      </c>
      <c r="F58" s="287" t="s">
        <v>451</v>
      </c>
      <c r="G58" s="281"/>
      <c r="H58" s="281"/>
      <c r="I58" s="281"/>
      <c r="J58" s="281"/>
      <c r="K58" s="281"/>
      <c r="L58" s="281"/>
      <c r="M58" s="281"/>
      <c r="N58" s="281"/>
      <c r="O58" s="281"/>
      <c r="P58" s="281"/>
      <c r="Q58" s="281"/>
      <c r="R58" s="281"/>
      <c r="S58" s="281"/>
      <c r="T58" s="281"/>
      <c r="U58" s="281"/>
      <c r="V58" s="281"/>
      <c r="W58" s="281"/>
      <c r="X58" s="281"/>
      <c r="Y58" s="281"/>
      <c r="Z58" s="281"/>
    </row>
    <row r="59">
      <c r="A59" s="285" t="s">
        <v>518</v>
      </c>
      <c r="B59" s="286" t="s">
        <v>493</v>
      </c>
      <c r="C59" s="287">
        <v>0.0</v>
      </c>
      <c r="D59" s="287" t="s">
        <v>455</v>
      </c>
      <c r="E59" s="287">
        <v>0.0</v>
      </c>
      <c r="F59" s="287" t="s">
        <v>451</v>
      </c>
      <c r="G59" s="281"/>
      <c r="H59" s="281"/>
      <c r="I59" s="281"/>
      <c r="J59" s="281"/>
      <c r="K59" s="281"/>
      <c r="L59" s="281"/>
      <c r="M59" s="281"/>
      <c r="N59" s="281"/>
      <c r="O59" s="281"/>
      <c r="P59" s="281"/>
      <c r="Q59" s="281"/>
      <c r="R59" s="281"/>
      <c r="S59" s="281"/>
      <c r="T59" s="281"/>
      <c r="U59" s="281"/>
      <c r="V59" s="281"/>
      <c r="W59" s="281"/>
      <c r="X59" s="281"/>
      <c r="Y59" s="281"/>
      <c r="Z59" s="281"/>
    </row>
    <row r="60">
      <c r="A60" s="285" t="s">
        <v>519</v>
      </c>
      <c r="B60" s="286" t="s">
        <v>493</v>
      </c>
      <c r="C60" s="287">
        <v>0.0</v>
      </c>
      <c r="D60" s="287" t="s">
        <v>451</v>
      </c>
      <c r="E60" s="287">
        <v>0.0</v>
      </c>
      <c r="F60" s="287">
        <v>0.0</v>
      </c>
      <c r="G60" s="281"/>
      <c r="H60" s="281"/>
      <c r="I60" s="281"/>
      <c r="J60" s="281"/>
      <c r="K60" s="281"/>
      <c r="L60" s="281"/>
      <c r="M60" s="281"/>
      <c r="N60" s="281"/>
      <c r="O60" s="281"/>
      <c r="P60" s="281"/>
      <c r="Q60" s="281"/>
      <c r="R60" s="281"/>
      <c r="S60" s="281"/>
      <c r="T60" s="281"/>
      <c r="U60" s="281"/>
      <c r="V60" s="281"/>
      <c r="W60" s="281"/>
      <c r="X60" s="281"/>
      <c r="Y60" s="281"/>
      <c r="Z60" s="281"/>
    </row>
    <row r="61">
      <c r="A61" s="285" t="s">
        <v>520</v>
      </c>
      <c r="B61" s="286" t="s">
        <v>493</v>
      </c>
      <c r="C61" s="287">
        <v>0.0</v>
      </c>
      <c r="D61" s="287" t="s">
        <v>461</v>
      </c>
      <c r="E61" s="287">
        <v>0.0</v>
      </c>
      <c r="F61" s="287" t="s">
        <v>451</v>
      </c>
      <c r="G61" s="281"/>
      <c r="H61" s="281"/>
      <c r="I61" s="281"/>
      <c r="J61" s="281"/>
      <c r="K61" s="281"/>
      <c r="L61" s="281"/>
      <c r="M61" s="281"/>
      <c r="N61" s="281"/>
      <c r="O61" s="281"/>
      <c r="P61" s="281"/>
      <c r="Q61" s="281"/>
      <c r="R61" s="281"/>
      <c r="S61" s="281"/>
      <c r="T61" s="281"/>
      <c r="U61" s="281"/>
      <c r="V61" s="281"/>
      <c r="W61" s="281"/>
      <c r="X61" s="281"/>
      <c r="Y61" s="281"/>
      <c r="Z61" s="281"/>
    </row>
    <row r="62">
      <c r="A62" s="285" t="s">
        <v>521</v>
      </c>
      <c r="B62" s="286" t="s">
        <v>493</v>
      </c>
      <c r="C62" s="287">
        <v>0.0</v>
      </c>
      <c r="D62" s="287" t="s">
        <v>462</v>
      </c>
      <c r="E62" s="287">
        <v>0.0</v>
      </c>
      <c r="F62" s="287" t="s">
        <v>451</v>
      </c>
      <c r="G62" s="281"/>
      <c r="H62" s="281"/>
      <c r="I62" s="281"/>
      <c r="J62" s="281"/>
      <c r="K62" s="281"/>
      <c r="L62" s="281"/>
      <c r="M62" s="281"/>
      <c r="N62" s="281"/>
      <c r="O62" s="281"/>
      <c r="P62" s="281"/>
      <c r="Q62" s="281"/>
      <c r="R62" s="281"/>
      <c r="S62" s="281"/>
      <c r="T62" s="281"/>
      <c r="U62" s="281"/>
      <c r="V62" s="281"/>
      <c r="W62" s="281"/>
      <c r="X62" s="281"/>
      <c r="Y62" s="281"/>
      <c r="Z62" s="281"/>
    </row>
    <row r="63">
      <c r="A63" s="285" t="s">
        <v>522</v>
      </c>
      <c r="B63" s="286" t="s">
        <v>493</v>
      </c>
      <c r="C63" s="287" t="s">
        <v>451</v>
      </c>
      <c r="D63" s="287" t="s">
        <v>455</v>
      </c>
      <c r="E63" s="287">
        <v>0.0</v>
      </c>
      <c r="F63" s="287" t="s">
        <v>451</v>
      </c>
      <c r="G63" s="281"/>
      <c r="H63" s="281"/>
      <c r="I63" s="281"/>
      <c r="J63" s="281"/>
      <c r="K63" s="281"/>
      <c r="L63" s="281"/>
      <c r="M63" s="281"/>
      <c r="N63" s="281"/>
      <c r="O63" s="281"/>
      <c r="P63" s="281"/>
      <c r="Q63" s="281"/>
      <c r="R63" s="281"/>
      <c r="S63" s="281"/>
      <c r="T63" s="281"/>
      <c r="U63" s="281"/>
      <c r="V63" s="281"/>
      <c r="W63" s="281"/>
      <c r="X63" s="281"/>
      <c r="Y63" s="281"/>
      <c r="Z63" s="281"/>
    </row>
    <row r="64">
      <c r="A64" s="285" t="s">
        <v>523</v>
      </c>
      <c r="B64" s="286" t="s">
        <v>493</v>
      </c>
      <c r="C64" s="287" t="s">
        <v>451</v>
      </c>
      <c r="D64" s="287" t="s">
        <v>455</v>
      </c>
      <c r="E64" s="287">
        <v>0.0</v>
      </c>
      <c r="F64" s="287" t="s">
        <v>451</v>
      </c>
      <c r="G64" s="281"/>
      <c r="H64" s="281"/>
      <c r="I64" s="281"/>
      <c r="J64" s="281"/>
      <c r="K64" s="281"/>
      <c r="L64" s="281"/>
      <c r="M64" s="281"/>
      <c r="N64" s="281"/>
      <c r="O64" s="281"/>
      <c r="P64" s="281"/>
      <c r="Q64" s="281"/>
      <c r="R64" s="281"/>
      <c r="S64" s="281"/>
      <c r="T64" s="281"/>
      <c r="U64" s="281"/>
      <c r="V64" s="281"/>
      <c r="W64" s="281"/>
      <c r="X64" s="281"/>
      <c r="Y64" s="281"/>
      <c r="Z64" s="281"/>
    </row>
    <row r="65">
      <c r="A65" s="285" t="s">
        <v>524</v>
      </c>
      <c r="B65" s="286" t="s">
        <v>493</v>
      </c>
      <c r="C65" s="287">
        <v>0.0</v>
      </c>
      <c r="D65" s="287" t="s">
        <v>462</v>
      </c>
      <c r="E65" s="287">
        <v>0.0</v>
      </c>
      <c r="F65" s="287" t="s">
        <v>451</v>
      </c>
      <c r="G65" s="281"/>
      <c r="H65" s="281"/>
      <c r="I65" s="281"/>
      <c r="J65" s="281"/>
      <c r="K65" s="281"/>
      <c r="L65" s="281"/>
      <c r="M65" s="281"/>
      <c r="N65" s="281"/>
      <c r="O65" s="281"/>
      <c r="P65" s="281"/>
      <c r="Q65" s="281"/>
      <c r="R65" s="281"/>
      <c r="S65" s="281"/>
      <c r="T65" s="281"/>
      <c r="U65" s="281"/>
      <c r="V65" s="281"/>
      <c r="W65" s="281"/>
      <c r="X65" s="281"/>
      <c r="Y65" s="281"/>
      <c r="Z65" s="281"/>
    </row>
    <row r="66">
      <c r="A66" s="285" t="s">
        <v>525</v>
      </c>
      <c r="B66" s="286" t="s">
        <v>493</v>
      </c>
      <c r="C66" s="287" t="s">
        <v>451</v>
      </c>
      <c r="D66" s="287" t="s">
        <v>461</v>
      </c>
      <c r="E66" s="287">
        <v>0.0</v>
      </c>
      <c r="F66" s="287" t="s">
        <v>451</v>
      </c>
      <c r="G66" s="281"/>
      <c r="H66" s="281"/>
      <c r="I66" s="281"/>
      <c r="J66" s="281"/>
      <c r="K66" s="281"/>
      <c r="L66" s="281"/>
      <c r="M66" s="281"/>
      <c r="N66" s="281"/>
      <c r="O66" s="281"/>
      <c r="P66" s="281"/>
      <c r="Q66" s="281"/>
      <c r="R66" s="281"/>
      <c r="S66" s="281"/>
      <c r="T66" s="281"/>
      <c r="U66" s="281"/>
      <c r="V66" s="281"/>
      <c r="W66" s="281"/>
      <c r="X66" s="281"/>
      <c r="Y66" s="281"/>
      <c r="Z66" s="281"/>
    </row>
    <row r="67">
      <c r="A67" s="285" t="s">
        <v>526</v>
      </c>
      <c r="B67" s="286" t="s">
        <v>493</v>
      </c>
      <c r="C67" s="287">
        <v>0.0</v>
      </c>
      <c r="D67" s="287" t="s">
        <v>455</v>
      </c>
      <c r="E67" s="287">
        <v>0.0</v>
      </c>
      <c r="F67" s="287" t="s">
        <v>451</v>
      </c>
      <c r="G67" s="281"/>
      <c r="H67" s="281"/>
      <c r="I67" s="281"/>
      <c r="J67" s="281"/>
      <c r="K67" s="281"/>
      <c r="L67" s="281"/>
      <c r="M67" s="281"/>
      <c r="N67" s="281"/>
      <c r="O67" s="281"/>
      <c r="P67" s="281"/>
      <c r="Q67" s="281"/>
      <c r="R67" s="281"/>
      <c r="S67" s="281"/>
      <c r="T67" s="281"/>
      <c r="U67" s="281"/>
      <c r="V67" s="281"/>
      <c r="W67" s="281"/>
      <c r="X67" s="281"/>
      <c r="Y67" s="281"/>
      <c r="Z67" s="281"/>
    </row>
    <row r="68">
      <c r="A68" s="285" t="s">
        <v>527</v>
      </c>
      <c r="B68" s="286" t="s">
        <v>493</v>
      </c>
      <c r="C68" s="287">
        <v>0.0</v>
      </c>
      <c r="D68" s="287" t="s">
        <v>462</v>
      </c>
      <c r="E68" s="287">
        <v>0.0</v>
      </c>
      <c r="F68" s="287" t="s">
        <v>451</v>
      </c>
      <c r="G68" s="281"/>
      <c r="H68" s="281"/>
      <c r="I68" s="281"/>
      <c r="J68" s="281"/>
      <c r="K68" s="281"/>
      <c r="L68" s="281"/>
      <c r="M68" s="281"/>
      <c r="N68" s="281"/>
      <c r="O68" s="281"/>
      <c r="P68" s="281"/>
      <c r="Q68" s="281"/>
      <c r="R68" s="281"/>
      <c r="S68" s="281"/>
      <c r="T68" s="281"/>
      <c r="U68" s="281"/>
      <c r="V68" s="281"/>
      <c r="W68" s="281"/>
      <c r="X68" s="281"/>
      <c r="Y68" s="281"/>
      <c r="Z68" s="281"/>
    </row>
    <row r="69">
      <c r="A69" s="285" t="s">
        <v>528</v>
      </c>
      <c r="B69" s="286" t="s">
        <v>493</v>
      </c>
      <c r="C69" s="287">
        <v>0.0</v>
      </c>
      <c r="D69" s="287" t="s">
        <v>455</v>
      </c>
      <c r="E69" s="287">
        <v>0.0</v>
      </c>
      <c r="F69" s="287" t="s">
        <v>451</v>
      </c>
      <c r="G69" s="281"/>
      <c r="H69" s="281"/>
      <c r="I69" s="281"/>
      <c r="J69" s="281"/>
      <c r="K69" s="281"/>
      <c r="L69" s="281"/>
      <c r="M69" s="281"/>
      <c r="N69" s="281"/>
      <c r="O69" s="281"/>
      <c r="P69" s="281"/>
      <c r="Q69" s="281"/>
      <c r="R69" s="281"/>
      <c r="S69" s="281"/>
      <c r="T69" s="281"/>
      <c r="U69" s="281"/>
      <c r="V69" s="281"/>
      <c r="W69" s="281"/>
      <c r="X69" s="281"/>
      <c r="Y69" s="281"/>
      <c r="Z69" s="281"/>
    </row>
    <row r="70">
      <c r="A70" s="285" t="s">
        <v>529</v>
      </c>
      <c r="B70" s="286" t="s">
        <v>493</v>
      </c>
      <c r="C70" s="287">
        <v>0.0</v>
      </c>
      <c r="D70" s="287" t="s">
        <v>462</v>
      </c>
      <c r="E70" s="287">
        <v>0.0</v>
      </c>
      <c r="F70" s="287" t="s">
        <v>451</v>
      </c>
      <c r="G70" s="281"/>
      <c r="H70" s="281"/>
      <c r="I70" s="281"/>
      <c r="J70" s="281"/>
      <c r="K70" s="281"/>
      <c r="L70" s="281"/>
      <c r="M70" s="281"/>
      <c r="N70" s="281"/>
      <c r="O70" s="281"/>
      <c r="P70" s="281"/>
      <c r="Q70" s="281"/>
      <c r="R70" s="281"/>
      <c r="S70" s="281"/>
      <c r="T70" s="281"/>
      <c r="U70" s="281"/>
      <c r="V70" s="281"/>
      <c r="W70" s="281"/>
      <c r="X70" s="281"/>
      <c r="Y70" s="281"/>
      <c r="Z70" s="281"/>
    </row>
    <row r="71">
      <c r="A71" s="285" t="s">
        <v>530</v>
      </c>
      <c r="B71" s="286" t="s">
        <v>493</v>
      </c>
      <c r="C71" s="287" t="s">
        <v>451</v>
      </c>
      <c r="D71" s="287" t="s">
        <v>457</v>
      </c>
      <c r="E71" s="287">
        <v>0.0</v>
      </c>
      <c r="F71" s="287" t="s">
        <v>451</v>
      </c>
      <c r="G71" s="281"/>
      <c r="H71" s="281"/>
      <c r="I71" s="281"/>
      <c r="J71" s="281"/>
      <c r="K71" s="281"/>
      <c r="L71" s="281"/>
      <c r="M71" s="281"/>
      <c r="N71" s="281"/>
      <c r="O71" s="281"/>
      <c r="P71" s="281"/>
      <c r="Q71" s="281"/>
      <c r="R71" s="281"/>
      <c r="S71" s="281"/>
      <c r="T71" s="281"/>
      <c r="U71" s="281"/>
      <c r="V71" s="281"/>
      <c r="W71" s="281"/>
      <c r="X71" s="281"/>
      <c r="Y71" s="281"/>
      <c r="Z71" s="281"/>
    </row>
    <row r="72">
      <c r="A72" s="285" t="s">
        <v>531</v>
      </c>
      <c r="B72" s="286" t="s">
        <v>231</v>
      </c>
      <c r="C72" s="287" t="s">
        <v>451</v>
      </c>
      <c r="D72" s="287" t="s">
        <v>455</v>
      </c>
      <c r="E72" s="287">
        <v>0.0</v>
      </c>
      <c r="F72" s="287" t="s">
        <v>462</v>
      </c>
      <c r="G72" s="281"/>
      <c r="H72" s="281"/>
      <c r="I72" s="281"/>
      <c r="J72" s="281"/>
      <c r="K72" s="281"/>
      <c r="L72" s="281"/>
      <c r="M72" s="281"/>
      <c r="N72" s="281"/>
      <c r="O72" s="281"/>
      <c r="P72" s="281"/>
      <c r="Q72" s="281"/>
      <c r="R72" s="281"/>
      <c r="S72" s="281"/>
      <c r="T72" s="281"/>
      <c r="U72" s="281"/>
      <c r="V72" s="281"/>
      <c r="W72" s="281"/>
      <c r="X72" s="281"/>
      <c r="Y72" s="281"/>
      <c r="Z72" s="281"/>
    </row>
    <row r="73">
      <c r="A73" s="285" t="s">
        <v>532</v>
      </c>
      <c r="B73" s="286" t="s">
        <v>231</v>
      </c>
      <c r="C73" s="287">
        <v>0.0</v>
      </c>
      <c r="D73" s="287" t="s">
        <v>451</v>
      </c>
      <c r="E73" s="287">
        <v>0.0</v>
      </c>
      <c r="F73" s="287" t="s">
        <v>451</v>
      </c>
      <c r="G73" s="281"/>
      <c r="H73" s="281"/>
      <c r="I73" s="281"/>
      <c r="J73" s="281"/>
      <c r="K73" s="281"/>
      <c r="L73" s="281"/>
      <c r="M73" s="281"/>
      <c r="N73" s="281"/>
      <c r="O73" s="281"/>
      <c r="P73" s="281"/>
      <c r="Q73" s="281"/>
      <c r="R73" s="281"/>
      <c r="S73" s="281"/>
      <c r="T73" s="281"/>
      <c r="U73" s="281"/>
      <c r="V73" s="281"/>
      <c r="W73" s="281"/>
      <c r="X73" s="281"/>
      <c r="Y73" s="281"/>
      <c r="Z73" s="281"/>
    </row>
    <row r="74">
      <c r="A74" s="285" t="s">
        <v>533</v>
      </c>
      <c r="B74" s="286" t="s">
        <v>231</v>
      </c>
      <c r="C74" s="287">
        <v>0.0</v>
      </c>
      <c r="D74" s="287" t="s">
        <v>462</v>
      </c>
      <c r="E74" s="287">
        <v>0.0</v>
      </c>
      <c r="F74" s="287" t="s">
        <v>462</v>
      </c>
      <c r="G74" s="281"/>
      <c r="H74" s="281"/>
      <c r="I74" s="281"/>
      <c r="J74" s="281"/>
      <c r="K74" s="281"/>
      <c r="L74" s="281"/>
      <c r="M74" s="281"/>
      <c r="N74" s="281"/>
      <c r="O74" s="281"/>
      <c r="P74" s="281"/>
      <c r="Q74" s="281"/>
      <c r="R74" s="281"/>
      <c r="S74" s="281"/>
      <c r="T74" s="281"/>
      <c r="U74" s="281"/>
      <c r="V74" s="281"/>
      <c r="W74" s="281"/>
      <c r="X74" s="281"/>
      <c r="Y74" s="281"/>
      <c r="Z74" s="281"/>
    </row>
    <row r="75">
      <c r="A75" s="285" t="s">
        <v>534</v>
      </c>
      <c r="B75" s="286" t="s">
        <v>231</v>
      </c>
      <c r="C75" s="287">
        <v>0.0</v>
      </c>
      <c r="D75" s="287" t="s">
        <v>461</v>
      </c>
      <c r="E75" s="287">
        <v>0.0</v>
      </c>
      <c r="F75" s="287" t="s">
        <v>462</v>
      </c>
      <c r="G75" s="281"/>
      <c r="H75" s="281"/>
      <c r="I75" s="281"/>
      <c r="J75" s="281"/>
      <c r="K75" s="281"/>
      <c r="L75" s="281"/>
      <c r="M75" s="281"/>
      <c r="N75" s="281"/>
      <c r="O75" s="281"/>
      <c r="P75" s="281"/>
      <c r="Q75" s="281"/>
      <c r="R75" s="281"/>
      <c r="S75" s="281"/>
      <c r="T75" s="281"/>
      <c r="U75" s="281"/>
      <c r="V75" s="281"/>
      <c r="W75" s="281"/>
      <c r="X75" s="281"/>
      <c r="Y75" s="281"/>
      <c r="Z75" s="281"/>
    </row>
    <row r="76">
      <c r="A76" s="285" t="s">
        <v>535</v>
      </c>
      <c r="B76" s="286" t="s">
        <v>231</v>
      </c>
      <c r="C76" s="287">
        <v>0.0</v>
      </c>
      <c r="D76" s="287" t="s">
        <v>451</v>
      </c>
      <c r="E76" s="287">
        <v>0.0</v>
      </c>
      <c r="F76" s="287" t="s">
        <v>451</v>
      </c>
      <c r="G76" s="281"/>
      <c r="H76" s="281"/>
      <c r="I76" s="281"/>
      <c r="J76" s="281"/>
      <c r="K76" s="281"/>
      <c r="L76" s="281"/>
      <c r="M76" s="281"/>
      <c r="N76" s="281"/>
      <c r="O76" s="281"/>
      <c r="P76" s="281"/>
      <c r="Q76" s="281"/>
      <c r="R76" s="281"/>
      <c r="S76" s="281"/>
      <c r="T76" s="281"/>
      <c r="U76" s="281"/>
      <c r="V76" s="281"/>
      <c r="W76" s="281"/>
      <c r="X76" s="281"/>
      <c r="Y76" s="281"/>
      <c r="Z76" s="281"/>
    </row>
    <row r="77">
      <c r="A77" s="285" t="s">
        <v>536</v>
      </c>
      <c r="B77" s="286" t="s">
        <v>231</v>
      </c>
      <c r="C77" s="287">
        <v>0.0</v>
      </c>
      <c r="D77" s="287" t="s">
        <v>462</v>
      </c>
      <c r="E77" s="287">
        <v>0.0</v>
      </c>
      <c r="F77" s="287" t="s">
        <v>451</v>
      </c>
      <c r="G77" s="281"/>
      <c r="H77" s="281"/>
      <c r="I77" s="281"/>
      <c r="J77" s="281"/>
      <c r="K77" s="281"/>
      <c r="L77" s="281"/>
      <c r="M77" s="281"/>
      <c r="N77" s="281"/>
      <c r="O77" s="281"/>
      <c r="P77" s="281"/>
      <c r="Q77" s="281"/>
      <c r="R77" s="281"/>
      <c r="S77" s="281"/>
      <c r="T77" s="281"/>
      <c r="U77" s="281"/>
      <c r="V77" s="281"/>
      <c r="W77" s="281"/>
      <c r="X77" s="281"/>
      <c r="Y77" s="281"/>
      <c r="Z77" s="281"/>
    </row>
    <row r="78">
      <c r="A78" s="285" t="s">
        <v>537</v>
      </c>
      <c r="B78" s="286" t="s">
        <v>231</v>
      </c>
      <c r="C78" s="287">
        <v>0.0</v>
      </c>
      <c r="D78" s="287" t="s">
        <v>455</v>
      </c>
      <c r="E78" s="287">
        <v>0.0</v>
      </c>
      <c r="F78" s="287" t="s">
        <v>451</v>
      </c>
      <c r="G78" s="281"/>
      <c r="H78" s="281"/>
      <c r="I78" s="281"/>
      <c r="J78" s="281"/>
      <c r="K78" s="281"/>
      <c r="L78" s="281"/>
      <c r="M78" s="281"/>
      <c r="N78" s="281"/>
      <c r="O78" s="281"/>
      <c r="P78" s="281"/>
      <c r="Q78" s="281"/>
      <c r="R78" s="281"/>
      <c r="S78" s="281"/>
      <c r="T78" s="281"/>
      <c r="U78" s="281"/>
      <c r="V78" s="281"/>
      <c r="W78" s="281"/>
      <c r="X78" s="281"/>
      <c r="Y78" s="281"/>
      <c r="Z78" s="281"/>
    </row>
    <row r="79">
      <c r="A79" s="285" t="s">
        <v>538</v>
      </c>
      <c r="B79" s="286" t="s">
        <v>539</v>
      </c>
      <c r="C79" s="287">
        <v>0.0</v>
      </c>
      <c r="D79" s="287" t="s">
        <v>451</v>
      </c>
      <c r="E79" s="287">
        <v>0.0</v>
      </c>
      <c r="F79" s="287" t="s">
        <v>451</v>
      </c>
      <c r="G79" s="281"/>
      <c r="H79" s="281"/>
      <c r="I79" s="281"/>
      <c r="J79" s="281"/>
      <c r="K79" s="281"/>
      <c r="L79" s="281"/>
      <c r="M79" s="281"/>
      <c r="N79" s="281"/>
      <c r="O79" s="281"/>
      <c r="P79" s="281"/>
      <c r="Q79" s="281"/>
      <c r="R79" s="281"/>
      <c r="S79" s="281"/>
      <c r="T79" s="281"/>
      <c r="U79" s="281"/>
      <c r="V79" s="281"/>
      <c r="W79" s="281"/>
      <c r="X79" s="281"/>
      <c r="Y79" s="281"/>
      <c r="Z79" s="281"/>
    </row>
    <row r="80">
      <c r="A80" s="285" t="s">
        <v>540</v>
      </c>
      <c r="B80" s="286" t="s">
        <v>541</v>
      </c>
      <c r="C80" s="287">
        <v>0.0</v>
      </c>
      <c r="D80" s="287" t="s">
        <v>451</v>
      </c>
      <c r="E80" s="287">
        <v>0.0</v>
      </c>
      <c r="F80" s="287" t="s">
        <v>462</v>
      </c>
      <c r="G80" s="281"/>
      <c r="H80" s="281"/>
      <c r="I80" s="281"/>
      <c r="J80" s="281"/>
      <c r="K80" s="281"/>
      <c r="L80" s="281"/>
      <c r="M80" s="281"/>
      <c r="N80" s="281"/>
      <c r="O80" s="281"/>
      <c r="P80" s="281"/>
      <c r="Q80" s="281"/>
      <c r="R80" s="281"/>
      <c r="S80" s="281"/>
      <c r="T80" s="281"/>
      <c r="U80" s="281"/>
      <c r="V80" s="281"/>
      <c r="W80" s="281"/>
      <c r="X80" s="281"/>
      <c r="Y80" s="281"/>
      <c r="Z80" s="281"/>
    </row>
    <row r="81">
      <c r="A81" s="285" t="s">
        <v>542</v>
      </c>
      <c r="B81" s="286" t="s">
        <v>541</v>
      </c>
      <c r="C81" s="287">
        <v>0.0</v>
      </c>
      <c r="D81" s="287" t="s">
        <v>451</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543</v>
      </c>
      <c r="B82" s="286" t="s">
        <v>541</v>
      </c>
      <c r="C82" s="287" t="s">
        <v>451</v>
      </c>
      <c r="D82" s="287" t="s">
        <v>451</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544</v>
      </c>
      <c r="B83" s="286" t="s">
        <v>541</v>
      </c>
      <c r="C83" s="287" t="s">
        <v>462</v>
      </c>
      <c r="D83" s="287" t="s">
        <v>545</v>
      </c>
      <c r="E83" s="287">
        <v>0.0</v>
      </c>
      <c r="F83" s="287" t="s">
        <v>462</v>
      </c>
      <c r="G83" s="281"/>
      <c r="H83" s="281"/>
      <c r="I83" s="281"/>
      <c r="J83" s="281"/>
      <c r="K83" s="281"/>
      <c r="L83" s="281"/>
      <c r="M83" s="281"/>
      <c r="N83" s="281"/>
      <c r="O83" s="281"/>
      <c r="P83" s="281"/>
      <c r="Q83" s="281"/>
      <c r="R83" s="281"/>
      <c r="S83" s="281"/>
      <c r="T83" s="281"/>
      <c r="U83" s="281"/>
      <c r="V83" s="281"/>
      <c r="W83" s="281"/>
      <c r="X83" s="281"/>
      <c r="Y83" s="281"/>
      <c r="Z83" s="281"/>
    </row>
    <row r="84">
      <c r="A84" s="285" t="s">
        <v>546</v>
      </c>
      <c r="B84" s="286" t="s">
        <v>541</v>
      </c>
      <c r="C84" s="287" t="s">
        <v>451</v>
      </c>
      <c r="D84" s="287" t="s">
        <v>547</v>
      </c>
      <c r="E84" s="287">
        <v>0.0</v>
      </c>
      <c r="F84" s="287" t="s">
        <v>455</v>
      </c>
      <c r="G84" s="281"/>
      <c r="H84" s="281"/>
      <c r="I84" s="281"/>
      <c r="J84" s="281"/>
      <c r="K84" s="281"/>
      <c r="L84" s="281"/>
      <c r="M84" s="281"/>
      <c r="N84" s="281"/>
      <c r="O84" s="281"/>
      <c r="P84" s="281"/>
      <c r="Q84" s="281"/>
      <c r="R84" s="281"/>
      <c r="S84" s="281"/>
      <c r="T84" s="281"/>
      <c r="U84" s="281"/>
      <c r="V84" s="281"/>
      <c r="W84" s="281"/>
      <c r="X84" s="281"/>
      <c r="Y84" s="281"/>
      <c r="Z84" s="281"/>
    </row>
    <row r="85">
      <c r="A85" s="285" t="s">
        <v>548</v>
      </c>
      <c r="B85" s="286" t="s">
        <v>541</v>
      </c>
      <c r="C85" s="287">
        <v>0.0</v>
      </c>
      <c r="D85" s="287" t="s">
        <v>455</v>
      </c>
      <c r="E85" s="287">
        <v>0.0</v>
      </c>
      <c r="F85" s="287" t="s">
        <v>451</v>
      </c>
      <c r="G85" s="281"/>
      <c r="H85" s="281"/>
      <c r="I85" s="281"/>
      <c r="J85" s="281"/>
      <c r="K85" s="281"/>
      <c r="L85" s="281"/>
      <c r="M85" s="281"/>
      <c r="N85" s="281"/>
      <c r="O85" s="281"/>
      <c r="P85" s="281"/>
      <c r="Q85" s="281"/>
      <c r="R85" s="281"/>
      <c r="S85" s="281"/>
      <c r="T85" s="281"/>
      <c r="U85" s="281"/>
      <c r="V85" s="281"/>
      <c r="W85" s="281"/>
      <c r="X85" s="281"/>
      <c r="Y85" s="281"/>
      <c r="Z85" s="281"/>
    </row>
    <row r="86">
      <c r="A86" s="285" t="s">
        <v>549</v>
      </c>
      <c r="B86" s="286" t="s">
        <v>541</v>
      </c>
      <c r="C86" s="287">
        <v>0.0</v>
      </c>
      <c r="D86" s="287" t="s">
        <v>462</v>
      </c>
      <c r="E86" s="287">
        <v>0.0</v>
      </c>
      <c r="F86" s="287" t="s">
        <v>462</v>
      </c>
      <c r="G86" s="281"/>
      <c r="H86" s="281"/>
      <c r="I86" s="281"/>
      <c r="J86" s="281"/>
      <c r="K86" s="281"/>
      <c r="L86" s="281"/>
      <c r="M86" s="281"/>
      <c r="N86" s="281"/>
      <c r="O86" s="281"/>
      <c r="P86" s="281"/>
      <c r="Q86" s="281"/>
      <c r="R86" s="281"/>
      <c r="S86" s="281"/>
      <c r="T86" s="281"/>
      <c r="U86" s="281"/>
      <c r="V86" s="281"/>
      <c r="W86" s="281"/>
      <c r="X86" s="281"/>
      <c r="Y86" s="281"/>
      <c r="Z86" s="281"/>
    </row>
    <row r="87">
      <c r="A87" s="285" t="s">
        <v>550</v>
      </c>
      <c r="B87" s="286" t="s">
        <v>541</v>
      </c>
      <c r="C87" s="287">
        <v>0.0</v>
      </c>
      <c r="D87" s="287">
        <v>0.0</v>
      </c>
      <c r="E87" s="287">
        <v>0.0</v>
      </c>
      <c r="F87" s="287" t="s">
        <v>451</v>
      </c>
      <c r="G87" s="281"/>
      <c r="H87" s="281"/>
      <c r="I87" s="281"/>
      <c r="J87" s="281"/>
      <c r="K87" s="281"/>
      <c r="L87" s="281"/>
      <c r="M87" s="281"/>
      <c r="N87" s="281"/>
      <c r="O87" s="281"/>
      <c r="P87" s="281"/>
      <c r="Q87" s="281"/>
      <c r="R87" s="281"/>
      <c r="S87" s="281"/>
      <c r="T87" s="281"/>
      <c r="U87" s="281"/>
      <c r="V87" s="281"/>
      <c r="W87" s="281"/>
      <c r="X87" s="281"/>
      <c r="Y87" s="281"/>
      <c r="Z87" s="281"/>
    </row>
    <row r="88">
      <c r="A88" s="285" t="s">
        <v>551</v>
      </c>
      <c r="B88" s="286" t="s">
        <v>541</v>
      </c>
      <c r="C88" s="287">
        <v>0.0</v>
      </c>
      <c r="D88" s="287" t="s">
        <v>462</v>
      </c>
      <c r="E88" s="287">
        <v>0.0</v>
      </c>
      <c r="F88" s="287" t="s">
        <v>451</v>
      </c>
      <c r="G88" s="281"/>
      <c r="H88" s="281"/>
      <c r="I88" s="281"/>
      <c r="J88" s="281"/>
      <c r="K88" s="281"/>
      <c r="L88" s="281"/>
      <c r="M88" s="281"/>
      <c r="N88" s="281"/>
      <c r="O88" s="281"/>
      <c r="P88" s="281"/>
      <c r="Q88" s="281"/>
      <c r="R88" s="281"/>
      <c r="S88" s="281"/>
      <c r="T88" s="281"/>
      <c r="U88" s="281"/>
      <c r="V88" s="281"/>
      <c r="W88" s="281"/>
      <c r="X88" s="281"/>
      <c r="Y88" s="281"/>
      <c r="Z88" s="281"/>
    </row>
    <row r="89">
      <c r="A89" s="285" t="s">
        <v>552</v>
      </c>
      <c r="B89" s="286" t="s">
        <v>233</v>
      </c>
      <c r="C89" s="287" t="s">
        <v>451</v>
      </c>
      <c r="D89" s="287" t="s">
        <v>547</v>
      </c>
      <c r="E89" s="287">
        <v>0.0</v>
      </c>
      <c r="F89" s="287" t="s">
        <v>455</v>
      </c>
      <c r="G89" s="281"/>
      <c r="H89" s="281"/>
      <c r="I89" s="281"/>
      <c r="J89" s="281"/>
      <c r="K89" s="281"/>
      <c r="L89" s="281"/>
      <c r="M89" s="281"/>
      <c r="N89" s="281"/>
      <c r="O89" s="281"/>
      <c r="P89" s="281"/>
      <c r="Q89" s="281"/>
      <c r="R89" s="281"/>
      <c r="S89" s="281"/>
      <c r="T89" s="281"/>
      <c r="U89" s="281"/>
      <c r="V89" s="281"/>
      <c r="W89" s="281"/>
      <c r="X89" s="281"/>
      <c r="Y89" s="281"/>
      <c r="Z89" s="281"/>
    </row>
    <row r="90">
      <c r="A90" s="285" t="s">
        <v>553</v>
      </c>
      <c r="B90" s="286" t="s">
        <v>233</v>
      </c>
      <c r="C90" s="287" t="s">
        <v>451</v>
      </c>
      <c r="D90" s="287" t="s">
        <v>462</v>
      </c>
      <c r="E90" s="287">
        <v>0.0</v>
      </c>
      <c r="F90" s="287" t="s">
        <v>451</v>
      </c>
      <c r="G90" s="281"/>
      <c r="H90" s="281"/>
      <c r="I90" s="281"/>
      <c r="J90" s="281"/>
      <c r="K90" s="281"/>
      <c r="L90" s="281"/>
      <c r="M90" s="281"/>
      <c r="N90" s="281"/>
      <c r="O90" s="281"/>
      <c r="P90" s="281"/>
      <c r="Q90" s="281"/>
      <c r="R90" s="281"/>
      <c r="S90" s="281"/>
      <c r="T90" s="281"/>
      <c r="U90" s="281"/>
      <c r="V90" s="281"/>
      <c r="W90" s="281"/>
      <c r="X90" s="281"/>
      <c r="Y90" s="281"/>
      <c r="Z90" s="281"/>
    </row>
    <row r="91">
      <c r="A91" s="285" t="s">
        <v>554</v>
      </c>
      <c r="B91" s="286" t="s">
        <v>233</v>
      </c>
      <c r="C91" s="287" t="s">
        <v>451</v>
      </c>
      <c r="D91" s="287" t="s">
        <v>555</v>
      </c>
      <c r="E91" s="287">
        <v>0.0</v>
      </c>
      <c r="F91" s="287" t="s">
        <v>455</v>
      </c>
      <c r="G91" s="281"/>
      <c r="H91" s="281"/>
      <c r="I91" s="281"/>
      <c r="J91" s="281"/>
      <c r="K91" s="281"/>
      <c r="L91" s="281"/>
      <c r="M91" s="281"/>
      <c r="N91" s="281"/>
      <c r="O91" s="281"/>
      <c r="P91" s="281"/>
      <c r="Q91" s="281"/>
      <c r="R91" s="281"/>
      <c r="S91" s="281"/>
      <c r="T91" s="281"/>
      <c r="U91" s="281"/>
      <c r="V91" s="281"/>
      <c r="W91" s="281"/>
      <c r="X91" s="281"/>
      <c r="Y91" s="281"/>
      <c r="Z91" s="281"/>
    </row>
    <row r="92">
      <c r="A92" s="285" t="s">
        <v>556</v>
      </c>
      <c r="B92" s="286" t="s">
        <v>233</v>
      </c>
      <c r="C92" s="287" t="s">
        <v>451</v>
      </c>
      <c r="D92" s="287" t="s">
        <v>455</v>
      </c>
      <c r="E92" s="287">
        <v>0.0</v>
      </c>
      <c r="F92" s="287" t="s">
        <v>462</v>
      </c>
      <c r="G92" s="281"/>
      <c r="H92" s="281"/>
      <c r="I92" s="281"/>
      <c r="J92" s="281"/>
      <c r="K92" s="281"/>
      <c r="L92" s="281"/>
      <c r="M92" s="281"/>
      <c r="N92" s="281"/>
      <c r="O92" s="281"/>
      <c r="P92" s="281"/>
      <c r="Q92" s="281"/>
      <c r="R92" s="281"/>
      <c r="S92" s="281"/>
      <c r="T92" s="281"/>
      <c r="U92" s="281"/>
      <c r="V92" s="281"/>
      <c r="W92" s="281"/>
      <c r="X92" s="281"/>
      <c r="Y92" s="281"/>
      <c r="Z92" s="281"/>
    </row>
    <row r="93">
      <c r="A93" s="285" t="s">
        <v>557</v>
      </c>
      <c r="B93" s="286" t="s">
        <v>233</v>
      </c>
      <c r="C93" s="287">
        <v>0.0</v>
      </c>
      <c r="D93" s="287">
        <v>0.0</v>
      </c>
      <c r="E93" s="287">
        <v>0.0</v>
      </c>
      <c r="F93" s="287" t="s">
        <v>451</v>
      </c>
      <c r="G93" s="281"/>
      <c r="H93" s="281"/>
      <c r="I93" s="281"/>
      <c r="J93" s="281"/>
      <c r="K93" s="281"/>
      <c r="L93" s="281"/>
      <c r="M93" s="281"/>
      <c r="N93" s="281"/>
      <c r="O93" s="281"/>
      <c r="P93" s="281"/>
      <c r="Q93" s="281"/>
      <c r="R93" s="281"/>
      <c r="S93" s="281"/>
      <c r="T93" s="281"/>
      <c r="U93" s="281"/>
      <c r="V93" s="281"/>
      <c r="W93" s="281"/>
      <c r="X93" s="281"/>
      <c r="Y93" s="281"/>
      <c r="Z93" s="281"/>
    </row>
    <row r="94">
      <c r="A94" s="285" t="s">
        <v>558</v>
      </c>
      <c r="B94" s="286" t="s">
        <v>233</v>
      </c>
      <c r="C94" s="287">
        <v>0.0</v>
      </c>
      <c r="D94" s="287" t="s">
        <v>455</v>
      </c>
      <c r="E94" s="287">
        <v>0.0</v>
      </c>
      <c r="F94" s="287" t="s">
        <v>462</v>
      </c>
      <c r="G94" s="281"/>
      <c r="H94" s="281"/>
      <c r="I94" s="281"/>
      <c r="J94" s="281"/>
      <c r="K94" s="281"/>
      <c r="L94" s="281"/>
      <c r="M94" s="281"/>
      <c r="N94" s="281"/>
      <c r="O94" s="281"/>
      <c r="P94" s="281"/>
      <c r="Q94" s="281"/>
      <c r="R94" s="281"/>
      <c r="S94" s="281"/>
      <c r="T94" s="281"/>
      <c r="U94" s="281"/>
      <c r="V94" s="281"/>
      <c r="W94" s="281"/>
      <c r="X94" s="281"/>
      <c r="Y94" s="281"/>
      <c r="Z94" s="281"/>
    </row>
    <row r="95">
      <c r="A95" s="285" t="s">
        <v>559</v>
      </c>
      <c r="B95" s="286" t="s">
        <v>233</v>
      </c>
      <c r="C95" s="287">
        <v>0.0</v>
      </c>
      <c r="D95" s="287" t="s">
        <v>461</v>
      </c>
      <c r="E95" s="287">
        <v>0.0</v>
      </c>
      <c r="F95" s="287" t="s">
        <v>462</v>
      </c>
      <c r="G95" s="281"/>
      <c r="H95" s="281"/>
      <c r="I95" s="281"/>
      <c r="J95" s="281"/>
      <c r="K95" s="281"/>
      <c r="L95" s="281"/>
      <c r="M95" s="281"/>
      <c r="N95" s="281"/>
      <c r="O95" s="281"/>
      <c r="P95" s="281"/>
      <c r="Q95" s="281"/>
      <c r="R95" s="281"/>
      <c r="S95" s="281"/>
      <c r="T95" s="281"/>
      <c r="U95" s="281"/>
      <c r="V95" s="281"/>
      <c r="W95" s="281"/>
      <c r="X95" s="281"/>
      <c r="Y95" s="281"/>
      <c r="Z95" s="281"/>
    </row>
    <row r="96">
      <c r="A96" s="285" t="s">
        <v>560</v>
      </c>
      <c r="B96" s="286" t="s">
        <v>233</v>
      </c>
      <c r="C96" s="287" t="s">
        <v>451</v>
      </c>
      <c r="D96" s="287" t="s">
        <v>455</v>
      </c>
      <c r="E96" s="287">
        <v>0.0</v>
      </c>
      <c r="F96" s="287" t="s">
        <v>451</v>
      </c>
      <c r="G96" s="281"/>
      <c r="H96" s="281"/>
      <c r="I96" s="281"/>
      <c r="J96" s="281"/>
      <c r="K96" s="281"/>
      <c r="L96" s="281"/>
      <c r="M96" s="281"/>
      <c r="N96" s="281"/>
      <c r="O96" s="281"/>
      <c r="P96" s="281"/>
      <c r="Q96" s="281"/>
      <c r="R96" s="281"/>
      <c r="S96" s="281"/>
      <c r="T96" s="281"/>
      <c r="U96" s="281"/>
      <c r="V96" s="281"/>
      <c r="W96" s="281"/>
      <c r="X96" s="281"/>
      <c r="Y96" s="281"/>
      <c r="Z96" s="281"/>
    </row>
    <row r="97">
      <c r="A97" s="285" t="s">
        <v>561</v>
      </c>
      <c r="B97" s="286" t="s">
        <v>234</v>
      </c>
      <c r="C97" s="287">
        <v>0.0</v>
      </c>
      <c r="D97" s="287">
        <v>0.0</v>
      </c>
      <c r="E97" s="287">
        <v>0.0</v>
      </c>
      <c r="F97" s="287" t="s">
        <v>451</v>
      </c>
      <c r="G97" s="281"/>
      <c r="H97" s="281"/>
      <c r="I97" s="281"/>
      <c r="J97" s="281"/>
      <c r="K97" s="281"/>
      <c r="L97" s="281"/>
      <c r="M97" s="281"/>
      <c r="N97" s="281"/>
      <c r="O97" s="281"/>
      <c r="P97" s="281"/>
      <c r="Q97" s="281"/>
      <c r="R97" s="281"/>
      <c r="S97" s="281"/>
      <c r="T97" s="281"/>
      <c r="U97" s="281"/>
      <c r="V97" s="281"/>
      <c r="W97" s="281"/>
      <c r="X97" s="281"/>
      <c r="Y97" s="281"/>
      <c r="Z97" s="281"/>
    </row>
    <row r="98">
      <c r="A98" s="285" t="s">
        <v>562</v>
      </c>
      <c r="B98" s="286" t="s">
        <v>234</v>
      </c>
      <c r="C98" s="287">
        <v>0.0</v>
      </c>
      <c r="D98" s="287" t="s">
        <v>451</v>
      </c>
      <c r="E98" s="287">
        <v>0.0</v>
      </c>
      <c r="F98" s="287" t="s">
        <v>451</v>
      </c>
      <c r="G98" s="281"/>
      <c r="H98" s="281"/>
      <c r="I98" s="281"/>
      <c r="J98" s="281"/>
      <c r="K98" s="281"/>
      <c r="L98" s="281"/>
      <c r="M98" s="281"/>
      <c r="N98" s="281"/>
      <c r="O98" s="281"/>
      <c r="P98" s="281"/>
      <c r="Q98" s="281"/>
      <c r="R98" s="281"/>
      <c r="S98" s="281"/>
      <c r="T98" s="281"/>
      <c r="U98" s="281"/>
      <c r="V98" s="281"/>
      <c r="W98" s="281"/>
      <c r="X98" s="281"/>
      <c r="Y98" s="281"/>
      <c r="Z98" s="281"/>
    </row>
    <row r="99">
      <c r="A99" s="285" t="s">
        <v>563</v>
      </c>
      <c r="B99" s="286" t="s">
        <v>234</v>
      </c>
      <c r="C99" s="287">
        <v>0.0</v>
      </c>
      <c r="D99" s="287" t="s">
        <v>451</v>
      </c>
      <c r="E99" s="287">
        <v>0.0</v>
      </c>
      <c r="F99" s="287" t="s">
        <v>451</v>
      </c>
      <c r="G99" s="281"/>
      <c r="H99" s="281"/>
      <c r="I99" s="281"/>
      <c r="J99" s="281"/>
      <c r="K99" s="281"/>
      <c r="L99" s="281"/>
      <c r="M99" s="281"/>
      <c r="N99" s="281"/>
      <c r="O99" s="281"/>
      <c r="P99" s="281"/>
      <c r="Q99" s="281"/>
      <c r="R99" s="281"/>
      <c r="S99" s="281"/>
      <c r="T99" s="281"/>
      <c r="U99" s="281"/>
      <c r="V99" s="281"/>
      <c r="W99" s="281"/>
      <c r="X99" s="281"/>
      <c r="Y99" s="281"/>
      <c r="Z99" s="281"/>
    </row>
    <row r="100">
      <c r="A100" s="285" t="s">
        <v>564</v>
      </c>
      <c r="B100" s="286" t="s">
        <v>234</v>
      </c>
      <c r="C100" s="287" t="s">
        <v>451</v>
      </c>
      <c r="D100" s="287" t="s">
        <v>491</v>
      </c>
      <c r="E100" s="287">
        <v>0.0</v>
      </c>
      <c r="F100" s="287" t="s">
        <v>455</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565</v>
      </c>
      <c r="B101" s="286" t="s">
        <v>234</v>
      </c>
      <c r="C101" s="287" t="s">
        <v>451</v>
      </c>
      <c r="D101" s="287" t="s">
        <v>459</v>
      </c>
      <c r="E101" s="287">
        <v>0.0</v>
      </c>
      <c r="F101" s="287" t="s">
        <v>455</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566</v>
      </c>
      <c r="B102" s="286" t="s">
        <v>234</v>
      </c>
      <c r="C102" s="287">
        <v>0.0</v>
      </c>
      <c r="D102" s="287" t="s">
        <v>462</v>
      </c>
      <c r="E102" s="287">
        <v>0.0</v>
      </c>
      <c r="F102" s="287" t="s">
        <v>451</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567</v>
      </c>
      <c r="B103" s="286" t="s">
        <v>234</v>
      </c>
      <c r="C103" s="287" t="s">
        <v>451</v>
      </c>
      <c r="D103" s="287" t="s">
        <v>462</v>
      </c>
      <c r="E103" s="287">
        <v>0.0</v>
      </c>
      <c r="F103" s="287" t="s">
        <v>451</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568</v>
      </c>
      <c r="B104" s="286" t="s">
        <v>234</v>
      </c>
      <c r="C104" s="287" t="s">
        <v>451</v>
      </c>
      <c r="D104" s="287" t="s">
        <v>462</v>
      </c>
      <c r="E104" s="287">
        <v>0.0</v>
      </c>
      <c r="F104" s="287" t="s">
        <v>451</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569</v>
      </c>
      <c r="B105" s="286" t="s">
        <v>234</v>
      </c>
      <c r="C105" s="287">
        <v>0.0</v>
      </c>
      <c r="D105" s="287" t="s">
        <v>462</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570</v>
      </c>
      <c r="B106" s="286" t="s">
        <v>234</v>
      </c>
      <c r="C106" s="287" t="s">
        <v>462</v>
      </c>
      <c r="D106" s="287" t="s">
        <v>457</v>
      </c>
      <c r="E106" s="287">
        <v>0.0</v>
      </c>
      <c r="F106" s="287" t="s">
        <v>462</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571</v>
      </c>
      <c r="B107" s="286" t="s">
        <v>234</v>
      </c>
      <c r="C107" s="287">
        <v>0.0</v>
      </c>
      <c r="D107" s="287" t="s">
        <v>455</v>
      </c>
      <c r="E107" s="287">
        <v>0.0</v>
      </c>
      <c r="F107" s="287" t="s">
        <v>462</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572</v>
      </c>
      <c r="B108" s="286" t="s">
        <v>234</v>
      </c>
      <c r="C108" s="287">
        <v>0.0</v>
      </c>
      <c r="D108" s="287" t="s">
        <v>462</v>
      </c>
      <c r="E108" s="287">
        <v>0.0</v>
      </c>
      <c r="F108" s="287" t="s">
        <v>451</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573</v>
      </c>
      <c r="B109" s="286" t="s">
        <v>234</v>
      </c>
      <c r="C109" s="287">
        <v>0.0</v>
      </c>
      <c r="D109" s="287" t="s">
        <v>462</v>
      </c>
      <c r="E109" s="287">
        <v>0.0</v>
      </c>
      <c r="F109" s="287" t="s">
        <v>451</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574</v>
      </c>
      <c r="B110" s="286" t="s">
        <v>234</v>
      </c>
      <c r="C110" s="287">
        <v>0.0</v>
      </c>
      <c r="D110" s="287" t="s">
        <v>455</v>
      </c>
      <c r="E110" s="287">
        <v>0.0</v>
      </c>
      <c r="F110" s="287" t="s">
        <v>451</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575</v>
      </c>
      <c r="B111" s="286" t="s">
        <v>234</v>
      </c>
      <c r="C111" s="287" t="s">
        <v>451</v>
      </c>
      <c r="D111" s="287" t="s">
        <v>491</v>
      </c>
      <c r="E111" s="287">
        <v>0.0</v>
      </c>
      <c r="F111" s="287" t="s">
        <v>462</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576</v>
      </c>
      <c r="B112" s="286" t="s">
        <v>234</v>
      </c>
      <c r="C112" s="287">
        <v>0.0</v>
      </c>
      <c r="D112" s="287" t="s">
        <v>462</v>
      </c>
      <c r="E112" s="287">
        <v>0.0</v>
      </c>
      <c r="F112" s="287" t="s">
        <v>451</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577</v>
      </c>
      <c r="B113" s="286" t="s">
        <v>234</v>
      </c>
      <c r="C113" s="287">
        <v>0.0</v>
      </c>
      <c r="D113" s="287" t="s">
        <v>455</v>
      </c>
      <c r="E113" s="287">
        <v>0.0</v>
      </c>
      <c r="F113" s="287" t="s">
        <v>451</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578</v>
      </c>
      <c r="B114" s="286" t="s">
        <v>234</v>
      </c>
      <c r="C114" s="287" t="s">
        <v>451</v>
      </c>
      <c r="D114" s="287" t="s">
        <v>461</v>
      </c>
      <c r="E114" s="287">
        <v>0.0</v>
      </c>
      <c r="F114" s="287" t="s">
        <v>462</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579</v>
      </c>
      <c r="B115" s="286" t="s">
        <v>234</v>
      </c>
      <c r="C115" s="287">
        <v>0.0</v>
      </c>
      <c r="D115" s="287" t="s">
        <v>491</v>
      </c>
      <c r="E115" s="287">
        <v>0.0</v>
      </c>
      <c r="F115" s="287" t="s">
        <v>455</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580</v>
      </c>
      <c r="B116" s="286" t="s">
        <v>234</v>
      </c>
      <c r="C116" s="287">
        <v>0.0</v>
      </c>
      <c r="D116" s="287">
        <v>0.0</v>
      </c>
      <c r="E116" s="287">
        <v>0.0</v>
      </c>
      <c r="F116" s="287" t="s">
        <v>451</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581</v>
      </c>
      <c r="B117" s="286" t="s">
        <v>234</v>
      </c>
      <c r="C117" s="287">
        <v>0.0</v>
      </c>
      <c r="D117" s="287" t="s">
        <v>455</v>
      </c>
      <c r="E117" s="287">
        <v>0.0</v>
      </c>
      <c r="F117" s="287" t="s">
        <v>462</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582</v>
      </c>
      <c r="B118" s="286" t="s">
        <v>234</v>
      </c>
      <c r="C118" s="287" t="s">
        <v>451</v>
      </c>
      <c r="D118" s="287" t="s">
        <v>455</v>
      </c>
      <c r="E118" s="287">
        <v>0.0</v>
      </c>
      <c r="F118" s="287" t="s">
        <v>451</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583</v>
      </c>
      <c r="B119" s="286" t="s">
        <v>234</v>
      </c>
      <c r="C119" s="287" t="s">
        <v>451</v>
      </c>
      <c r="D119" s="287" t="s">
        <v>491</v>
      </c>
      <c r="E119" s="287">
        <v>0.0</v>
      </c>
      <c r="F119" s="287" t="s">
        <v>462</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584</v>
      </c>
      <c r="B120" s="286" t="s">
        <v>234</v>
      </c>
      <c r="C120" s="287">
        <v>0.0</v>
      </c>
      <c r="D120" s="287" t="s">
        <v>462</v>
      </c>
      <c r="E120" s="287">
        <v>0.0</v>
      </c>
      <c r="F120" s="287" t="s">
        <v>451</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585</v>
      </c>
      <c r="B121" s="286" t="s">
        <v>234</v>
      </c>
      <c r="C121" s="287">
        <v>0.0</v>
      </c>
      <c r="D121" s="287" t="s">
        <v>462</v>
      </c>
      <c r="E121" s="287">
        <v>0.0</v>
      </c>
      <c r="F121" s="287" t="s">
        <v>451</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586</v>
      </c>
      <c r="B122" s="286" t="s">
        <v>235</v>
      </c>
      <c r="C122" s="287" t="s">
        <v>451</v>
      </c>
      <c r="D122" s="287" t="s">
        <v>462</v>
      </c>
      <c r="E122" s="287">
        <v>0.0</v>
      </c>
      <c r="F122" s="287" t="s">
        <v>451</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587</v>
      </c>
      <c r="B123" s="286" t="s">
        <v>235</v>
      </c>
      <c r="C123" s="287">
        <v>0.0</v>
      </c>
      <c r="D123" s="287" t="s">
        <v>455</v>
      </c>
      <c r="E123" s="287">
        <v>0.0</v>
      </c>
      <c r="F123" s="287" t="s">
        <v>451</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588</v>
      </c>
      <c r="B124" s="286" t="s">
        <v>235</v>
      </c>
      <c r="C124" s="287" t="s">
        <v>451</v>
      </c>
      <c r="D124" s="287" t="s">
        <v>457</v>
      </c>
      <c r="E124" s="287" t="s">
        <v>451</v>
      </c>
      <c r="F124" s="287" t="s">
        <v>462</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589</v>
      </c>
      <c r="B125" s="286" t="s">
        <v>235</v>
      </c>
      <c r="C125" s="287" t="s">
        <v>462</v>
      </c>
      <c r="D125" s="287" t="s">
        <v>545</v>
      </c>
      <c r="E125" s="287">
        <v>0.0</v>
      </c>
      <c r="F125" s="287" t="s">
        <v>455</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590</v>
      </c>
      <c r="B126" s="286" t="s">
        <v>235</v>
      </c>
      <c r="C126" s="287">
        <v>0.0</v>
      </c>
      <c r="D126" s="287" t="s">
        <v>451</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591</v>
      </c>
      <c r="B127" s="286" t="s">
        <v>235</v>
      </c>
      <c r="C127" s="287" t="s">
        <v>451</v>
      </c>
      <c r="D127" s="287" t="s">
        <v>455</v>
      </c>
      <c r="E127" s="287">
        <v>0.0</v>
      </c>
      <c r="F127" s="287" t="s">
        <v>462</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592</v>
      </c>
      <c r="B128" s="286" t="s">
        <v>235</v>
      </c>
      <c r="C128" s="287" t="s">
        <v>451</v>
      </c>
      <c r="D128" s="287" t="s">
        <v>462</v>
      </c>
      <c r="E128" s="287">
        <v>0.0</v>
      </c>
      <c r="F128" s="287" t="s">
        <v>462</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593</v>
      </c>
      <c r="B129" s="286" t="s">
        <v>235</v>
      </c>
      <c r="C129" s="287" t="s">
        <v>451</v>
      </c>
      <c r="D129" s="287" t="s">
        <v>457</v>
      </c>
      <c r="E129" s="287">
        <v>0.0</v>
      </c>
      <c r="F129" s="287" t="s">
        <v>451</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594</v>
      </c>
      <c r="B130" s="286" t="s">
        <v>235</v>
      </c>
      <c r="C130" s="287">
        <v>0.0</v>
      </c>
      <c r="D130" s="287" t="s">
        <v>491</v>
      </c>
      <c r="E130" s="287" t="s">
        <v>451</v>
      </c>
      <c r="F130" s="287" t="s">
        <v>462</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595</v>
      </c>
      <c r="B131" s="286" t="s">
        <v>596</v>
      </c>
      <c r="C131" s="287">
        <v>0.0</v>
      </c>
      <c r="D131" s="287" t="s">
        <v>451</v>
      </c>
      <c r="E131" s="287" t="s">
        <v>451</v>
      </c>
      <c r="F131" s="287" t="s">
        <v>451</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597</v>
      </c>
      <c r="B132" s="286" t="s">
        <v>596</v>
      </c>
      <c r="C132" s="287">
        <v>0.0</v>
      </c>
      <c r="D132" s="287" t="s">
        <v>451</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598</v>
      </c>
      <c r="B133" s="286" t="s">
        <v>599</v>
      </c>
      <c r="C133" s="287">
        <v>0.0</v>
      </c>
      <c r="D133" s="287" t="s">
        <v>600</v>
      </c>
      <c r="E133" s="287">
        <v>0.0</v>
      </c>
      <c r="F133" s="287" t="s">
        <v>455</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601</v>
      </c>
      <c r="B134" s="286" t="s">
        <v>601</v>
      </c>
      <c r="C134" s="287">
        <v>0.0</v>
      </c>
      <c r="D134" s="287" t="s">
        <v>451</v>
      </c>
      <c r="E134" s="287">
        <v>0.0</v>
      </c>
      <c r="F134" s="287" t="s">
        <v>451</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602</v>
      </c>
      <c r="B135" s="286" t="s">
        <v>236</v>
      </c>
      <c r="C135" s="287" t="s">
        <v>451</v>
      </c>
      <c r="D135" s="287" t="s">
        <v>457</v>
      </c>
      <c r="E135" s="287">
        <v>0.0</v>
      </c>
      <c r="F135" s="287" t="s">
        <v>462</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603</v>
      </c>
      <c r="B136" s="286" t="s">
        <v>236</v>
      </c>
      <c r="C136" s="287" t="s">
        <v>451</v>
      </c>
      <c r="D136" s="287" t="s">
        <v>483</v>
      </c>
      <c r="E136" s="287">
        <v>0.0</v>
      </c>
      <c r="F136" s="287" t="s">
        <v>462</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604</v>
      </c>
      <c r="B137" s="286" t="s">
        <v>236</v>
      </c>
      <c r="C137" s="287">
        <v>0.0</v>
      </c>
      <c r="D137" s="287" t="s">
        <v>462</v>
      </c>
      <c r="E137" s="287">
        <v>0.0</v>
      </c>
      <c r="F137" s="287" t="s">
        <v>451</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605</v>
      </c>
      <c r="B138" s="286" t="s">
        <v>236</v>
      </c>
      <c r="C138" s="287">
        <v>0.0</v>
      </c>
      <c r="D138" s="287" t="s">
        <v>462</v>
      </c>
      <c r="E138" s="287">
        <v>0.0</v>
      </c>
      <c r="F138" s="287" t="s">
        <v>451</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606</v>
      </c>
      <c r="B139" s="286" t="s">
        <v>236</v>
      </c>
      <c r="C139" s="287">
        <v>0.0</v>
      </c>
      <c r="D139" s="287" t="s">
        <v>455</v>
      </c>
      <c r="E139" s="287">
        <v>0.0</v>
      </c>
      <c r="F139" s="287" t="s">
        <v>451</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607</v>
      </c>
      <c r="B140" s="286" t="s">
        <v>236</v>
      </c>
      <c r="C140" s="287">
        <v>0.0</v>
      </c>
      <c r="D140" s="287" t="s">
        <v>461</v>
      </c>
      <c r="E140" s="287">
        <v>0.0</v>
      </c>
      <c r="F140" s="287" t="s">
        <v>451</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608</v>
      </c>
      <c r="B141" s="286" t="s">
        <v>237</v>
      </c>
      <c r="C141" s="287" t="s">
        <v>451</v>
      </c>
      <c r="D141" s="287" t="s">
        <v>455</v>
      </c>
      <c r="E141" s="287">
        <v>0.0</v>
      </c>
      <c r="F141" s="287" t="s">
        <v>451</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609</v>
      </c>
      <c r="B142" s="286" t="s">
        <v>237</v>
      </c>
      <c r="C142" s="287">
        <v>0.0</v>
      </c>
      <c r="D142" s="287" t="s">
        <v>455</v>
      </c>
      <c r="E142" s="287" t="s">
        <v>451</v>
      </c>
      <c r="F142" s="287" t="s">
        <v>462</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610</v>
      </c>
      <c r="B143" s="286" t="s">
        <v>237</v>
      </c>
      <c r="C143" s="287">
        <v>0.0</v>
      </c>
      <c r="D143" s="287" t="s">
        <v>459</v>
      </c>
      <c r="E143" s="287">
        <v>0.0</v>
      </c>
      <c r="F143" s="287" t="s">
        <v>457</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611</v>
      </c>
      <c r="B144" s="286" t="s">
        <v>237</v>
      </c>
      <c r="C144" s="287" t="s">
        <v>451</v>
      </c>
      <c r="D144" s="287" t="s">
        <v>461</v>
      </c>
      <c r="E144" s="287">
        <v>0.0</v>
      </c>
      <c r="F144" s="287" t="s">
        <v>462</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612</v>
      </c>
      <c r="B145" s="286" t="s">
        <v>237</v>
      </c>
      <c r="C145" s="287">
        <v>0.0</v>
      </c>
      <c r="D145" s="287" t="s">
        <v>451</v>
      </c>
      <c r="E145" s="287">
        <v>0.0</v>
      </c>
      <c r="F145" s="287" t="s">
        <v>451</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613</v>
      </c>
      <c r="B146" s="286" t="s">
        <v>237</v>
      </c>
      <c r="C146" s="287" t="s">
        <v>451</v>
      </c>
      <c r="D146" s="287" t="s">
        <v>462</v>
      </c>
      <c r="E146" s="287">
        <v>0.0</v>
      </c>
      <c r="F146" s="287" t="s">
        <v>462</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614</v>
      </c>
      <c r="B147" s="286" t="s">
        <v>237</v>
      </c>
      <c r="C147" s="287">
        <v>0.0</v>
      </c>
      <c r="D147" s="287" t="s">
        <v>451</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615</v>
      </c>
      <c r="B148" s="286" t="s">
        <v>237</v>
      </c>
      <c r="C148" s="287" t="s">
        <v>451</v>
      </c>
      <c r="D148" s="287" t="s">
        <v>462</v>
      </c>
      <c r="E148" s="287" t="s">
        <v>451</v>
      </c>
      <c r="F148" s="287" t="s">
        <v>451</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616</v>
      </c>
      <c r="B149" s="286" t="s">
        <v>237</v>
      </c>
      <c r="C149" s="287">
        <v>0.0</v>
      </c>
      <c r="D149" s="287" t="s">
        <v>455</v>
      </c>
      <c r="E149" s="287">
        <v>0.0</v>
      </c>
      <c r="F149" s="287" t="s">
        <v>451</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617</v>
      </c>
      <c r="B150" s="286" t="s">
        <v>237</v>
      </c>
      <c r="C150" s="287">
        <v>0.0</v>
      </c>
      <c r="D150" s="287" t="s">
        <v>462</v>
      </c>
      <c r="E150" s="287">
        <v>0.0</v>
      </c>
      <c r="F150" s="287" t="s">
        <v>451</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618</v>
      </c>
      <c r="B151" s="286" t="s">
        <v>237</v>
      </c>
      <c r="C151" s="287" t="s">
        <v>451</v>
      </c>
      <c r="D151" s="287" t="s">
        <v>455</v>
      </c>
      <c r="E151" s="287">
        <v>0.0</v>
      </c>
      <c r="F151" s="287" t="s">
        <v>462</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619</v>
      </c>
      <c r="B152" s="286" t="s">
        <v>237</v>
      </c>
      <c r="C152" s="287">
        <v>0.0</v>
      </c>
      <c r="D152" s="287" t="s">
        <v>451</v>
      </c>
      <c r="E152" s="287">
        <v>0.0</v>
      </c>
      <c r="F152" s="287" t="s">
        <v>462</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620</v>
      </c>
      <c r="B153" s="286" t="s">
        <v>237</v>
      </c>
      <c r="C153" s="287">
        <v>0.0</v>
      </c>
      <c r="D153" s="287">
        <v>0.0</v>
      </c>
      <c r="E153" s="287">
        <v>0.0</v>
      </c>
      <c r="F153" s="287" t="s">
        <v>451</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621</v>
      </c>
      <c r="B154" s="286" t="s">
        <v>622</v>
      </c>
      <c r="C154" s="287" t="s">
        <v>451</v>
      </c>
      <c r="D154" s="287" t="s">
        <v>461</v>
      </c>
      <c r="E154" s="287" t="s">
        <v>451</v>
      </c>
      <c r="F154" s="287" t="s">
        <v>451</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623</v>
      </c>
      <c r="B155" s="286" t="s">
        <v>622</v>
      </c>
      <c r="C155" s="287">
        <v>0.0</v>
      </c>
      <c r="D155" s="287" t="s">
        <v>462</v>
      </c>
      <c r="E155" s="287">
        <v>0.0</v>
      </c>
      <c r="F155" s="287" t="s">
        <v>451</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624</v>
      </c>
      <c r="B156" s="286" t="s">
        <v>622</v>
      </c>
      <c r="C156" s="287" t="s">
        <v>451</v>
      </c>
      <c r="D156" s="287" t="s">
        <v>491</v>
      </c>
      <c r="E156" s="287">
        <v>0.0</v>
      </c>
      <c r="F156" s="287" t="s">
        <v>451</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625</v>
      </c>
      <c r="B157" s="286" t="s">
        <v>622</v>
      </c>
      <c r="C157" s="287">
        <v>0.0</v>
      </c>
      <c r="D157" s="287" t="s">
        <v>451</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626</v>
      </c>
      <c r="B158" s="286" t="s">
        <v>622</v>
      </c>
      <c r="C158" s="287">
        <v>0.0</v>
      </c>
      <c r="D158" s="287" t="s">
        <v>462</v>
      </c>
      <c r="E158" s="287" t="s">
        <v>451</v>
      </c>
      <c r="F158" s="287" t="s">
        <v>462</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627</v>
      </c>
      <c r="B159" s="286" t="s">
        <v>239</v>
      </c>
      <c r="C159" s="287">
        <v>0.0</v>
      </c>
      <c r="D159" s="287" t="s">
        <v>462</v>
      </c>
      <c r="E159" s="287">
        <v>0.0</v>
      </c>
      <c r="F159" s="287" t="s">
        <v>451</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628</v>
      </c>
      <c r="B160" s="286" t="s">
        <v>629</v>
      </c>
      <c r="C160" s="287" t="s">
        <v>451</v>
      </c>
      <c r="D160" s="287" t="s">
        <v>483</v>
      </c>
      <c r="E160" s="287">
        <v>0.0</v>
      </c>
      <c r="F160" s="287" t="s">
        <v>455</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630</v>
      </c>
      <c r="B161" s="286" t="s">
        <v>629</v>
      </c>
      <c r="C161" s="287">
        <v>0.0</v>
      </c>
      <c r="D161" s="287" t="s">
        <v>455</v>
      </c>
      <c r="E161" s="287">
        <v>0.0</v>
      </c>
      <c r="F161" s="287" t="s">
        <v>451</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631</v>
      </c>
      <c r="B162" s="286" t="s">
        <v>240</v>
      </c>
      <c r="C162" s="287" t="s">
        <v>451</v>
      </c>
      <c r="D162" s="287" t="s">
        <v>455</v>
      </c>
      <c r="E162" s="287">
        <v>0.0</v>
      </c>
      <c r="F162" s="287" t="s">
        <v>462</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632</v>
      </c>
      <c r="B163" s="286" t="s">
        <v>240</v>
      </c>
      <c r="C163" s="287">
        <v>0.0</v>
      </c>
      <c r="D163" s="287" t="s">
        <v>462</v>
      </c>
      <c r="E163" s="287">
        <v>0.0</v>
      </c>
      <c r="F163" s="287" t="s">
        <v>451</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633</v>
      </c>
      <c r="B164" s="286" t="s">
        <v>634</v>
      </c>
      <c r="C164" s="287" t="s">
        <v>451</v>
      </c>
      <c r="D164" s="287" t="s">
        <v>462</v>
      </c>
      <c r="E164" s="287">
        <v>0.0</v>
      </c>
      <c r="F164" s="287" t="s">
        <v>451</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635</v>
      </c>
      <c r="B165" s="286" t="s">
        <v>634</v>
      </c>
      <c r="C165" s="287" t="s">
        <v>451</v>
      </c>
      <c r="D165" s="287" t="s">
        <v>462</v>
      </c>
      <c r="E165" s="287">
        <v>0.0</v>
      </c>
      <c r="F165" s="287" t="s">
        <v>451</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636</v>
      </c>
      <c r="B166" s="286" t="s">
        <v>637</v>
      </c>
      <c r="C166" s="287">
        <v>0.0</v>
      </c>
      <c r="D166" s="287" t="s">
        <v>455</v>
      </c>
      <c r="E166" s="287">
        <v>0.0</v>
      </c>
      <c r="F166" s="287" t="s">
        <v>462</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638</v>
      </c>
      <c r="B167" s="286" t="s">
        <v>242</v>
      </c>
      <c r="C167" s="287">
        <v>0.0</v>
      </c>
      <c r="D167" s="287" t="s">
        <v>451</v>
      </c>
      <c r="E167" s="287">
        <v>0.0</v>
      </c>
      <c r="F167" s="287" t="s">
        <v>451</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639</v>
      </c>
      <c r="B168" s="286" t="s">
        <v>242</v>
      </c>
      <c r="C168" s="287">
        <v>0.0</v>
      </c>
      <c r="D168" s="287" t="s">
        <v>451</v>
      </c>
      <c r="E168" s="287">
        <v>0.0</v>
      </c>
      <c r="F168" s="287" t="s">
        <v>451</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640</v>
      </c>
      <c r="B169" s="286" t="s">
        <v>243</v>
      </c>
      <c r="C169" s="287">
        <v>0.0</v>
      </c>
      <c r="D169" s="287" t="s">
        <v>462</v>
      </c>
      <c r="E169" s="287">
        <v>0.0</v>
      </c>
      <c r="F169" s="287" t="s">
        <v>462</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641</v>
      </c>
      <c r="B170" s="286" t="s">
        <v>243</v>
      </c>
      <c r="C170" s="287">
        <v>0.0</v>
      </c>
      <c r="D170" s="287" t="s">
        <v>451</v>
      </c>
      <c r="E170" s="287">
        <v>0.0</v>
      </c>
      <c r="F170" s="287" t="s">
        <v>451</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642</v>
      </c>
      <c r="B171" s="286" t="s">
        <v>243</v>
      </c>
      <c r="C171" s="287">
        <v>0.0</v>
      </c>
      <c r="D171" s="287" t="s">
        <v>451</v>
      </c>
      <c r="E171" s="287">
        <v>0.0</v>
      </c>
      <c r="F171" s="287" t="s">
        <v>451</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643</v>
      </c>
      <c r="B172" s="286" t="s">
        <v>243</v>
      </c>
      <c r="C172" s="287" t="s">
        <v>451</v>
      </c>
      <c r="D172" s="287" t="s">
        <v>483</v>
      </c>
      <c r="E172" s="287">
        <v>0.0</v>
      </c>
      <c r="F172" s="287" t="s">
        <v>455</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644</v>
      </c>
      <c r="B173" s="286" t="s">
        <v>243</v>
      </c>
      <c r="C173" s="287" t="s">
        <v>451</v>
      </c>
      <c r="D173" s="287" t="s">
        <v>483</v>
      </c>
      <c r="E173" s="287">
        <v>0.0</v>
      </c>
      <c r="F173" s="287" t="s">
        <v>462</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645</v>
      </c>
      <c r="B174" s="286" t="s">
        <v>243</v>
      </c>
      <c r="C174" s="287">
        <v>0.0</v>
      </c>
      <c r="D174" s="287" t="s">
        <v>462</v>
      </c>
      <c r="E174" s="287">
        <v>0.0</v>
      </c>
      <c r="F174" s="287" t="s">
        <v>451</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646</v>
      </c>
      <c r="B175" s="286" t="s">
        <v>243</v>
      </c>
      <c r="C175" s="287">
        <v>0.0</v>
      </c>
      <c r="D175" s="287" t="s">
        <v>451</v>
      </c>
      <c r="E175" s="287">
        <v>0.0</v>
      </c>
      <c r="F175" s="287" t="s">
        <v>451</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647</v>
      </c>
      <c r="B176" s="286" t="s">
        <v>243</v>
      </c>
      <c r="C176" s="287">
        <v>0.0</v>
      </c>
      <c r="D176" s="287" t="s">
        <v>461</v>
      </c>
      <c r="E176" s="287" t="s">
        <v>451</v>
      </c>
      <c r="F176" s="287" t="s">
        <v>462</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648</v>
      </c>
      <c r="B177" s="286" t="s">
        <v>648</v>
      </c>
      <c r="C177" s="287">
        <v>0.0</v>
      </c>
      <c r="D177" s="287" t="s">
        <v>451</v>
      </c>
      <c r="E177" s="287">
        <v>0.0</v>
      </c>
      <c r="F177" s="287" t="s">
        <v>451</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649</v>
      </c>
      <c r="B178" s="286" t="s">
        <v>650</v>
      </c>
      <c r="C178" s="287">
        <v>0.0</v>
      </c>
      <c r="D178" s="287" t="s">
        <v>451</v>
      </c>
      <c r="E178" s="287">
        <v>0.0</v>
      </c>
      <c r="F178" s="287" t="s">
        <v>451</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651</v>
      </c>
      <c r="B179" s="286" t="s">
        <v>244</v>
      </c>
      <c r="C179" s="287">
        <v>0.0</v>
      </c>
      <c r="D179" s="287" t="s">
        <v>455</v>
      </c>
      <c r="E179" s="287">
        <v>0.0</v>
      </c>
      <c r="F179" s="287" t="s">
        <v>462</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652</v>
      </c>
      <c r="B180" s="286" t="s">
        <v>244</v>
      </c>
      <c r="C180" s="287" t="s">
        <v>451</v>
      </c>
      <c r="D180" s="287" t="s">
        <v>457</v>
      </c>
      <c r="E180" s="287">
        <v>0.0</v>
      </c>
      <c r="F180" s="287" t="s">
        <v>462</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653</v>
      </c>
      <c r="B181" s="286" t="s">
        <v>244</v>
      </c>
      <c r="C181" s="287" t="s">
        <v>451</v>
      </c>
      <c r="D181" s="287" t="s">
        <v>547</v>
      </c>
      <c r="E181" s="287">
        <v>0.0</v>
      </c>
      <c r="F181" s="287" t="s">
        <v>455</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654</v>
      </c>
      <c r="B182" s="286" t="s">
        <v>244</v>
      </c>
      <c r="C182" s="287">
        <v>0.0</v>
      </c>
      <c r="D182" s="287" t="s">
        <v>455</v>
      </c>
      <c r="E182" s="287">
        <v>0.0</v>
      </c>
      <c r="F182" s="287" t="s">
        <v>462</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655</v>
      </c>
      <c r="B183" s="286" t="s">
        <v>244</v>
      </c>
      <c r="C183" s="287" t="s">
        <v>451</v>
      </c>
      <c r="D183" s="287" t="s">
        <v>457</v>
      </c>
      <c r="E183" s="287">
        <v>0.0</v>
      </c>
      <c r="F183" s="287" t="s">
        <v>462</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656</v>
      </c>
      <c r="B184" s="286" t="s">
        <v>244</v>
      </c>
      <c r="C184" s="287">
        <v>0.0</v>
      </c>
      <c r="D184" s="287" t="s">
        <v>462</v>
      </c>
      <c r="E184" s="287">
        <v>0.0</v>
      </c>
      <c r="F184" s="287" t="s">
        <v>451</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657</v>
      </c>
      <c r="B185" s="286" t="s">
        <v>245</v>
      </c>
      <c r="C185" s="287" t="s">
        <v>451</v>
      </c>
      <c r="D185" s="287" t="s">
        <v>462</v>
      </c>
      <c r="E185" s="287">
        <v>0.0</v>
      </c>
      <c r="F185" s="287" t="s">
        <v>451</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658</v>
      </c>
      <c r="B186" s="286" t="s">
        <v>659</v>
      </c>
      <c r="C186" s="287">
        <v>0.0</v>
      </c>
      <c r="D186" s="287" t="s">
        <v>455</v>
      </c>
      <c r="E186" s="287">
        <v>0.0</v>
      </c>
      <c r="F186" s="287" t="s">
        <v>462</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660</v>
      </c>
      <c r="B187" s="286" t="s">
        <v>246</v>
      </c>
      <c r="C187" s="287" t="s">
        <v>451</v>
      </c>
      <c r="D187" s="287" t="s">
        <v>455</v>
      </c>
      <c r="E187" s="287">
        <v>0.0</v>
      </c>
      <c r="F187" s="287" t="s">
        <v>451</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661</v>
      </c>
      <c r="B188" s="286" t="s">
        <v>246</v>
      </c>
      <c r="C188" s="287">
        <v>0.0</v>
      </c>
      <c r="D188" s="287" t="s">
        <v>455</v>
      </c>
      <c r="E188" s="287">
        <v>0.0</v>
      </c>
      <c r="F188" s="287" t="s">
        <v>451</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662</v>
      </c>
      <c r="B189" s="286" t="s">
        <v>246</v>
      </c>
      <c r="C189" s="287">
        <v>0.0</v>
      </c>
      <c r="D189" s="287" t="s">
        <v>462</v>
      </c>
      <c r="E189" s="287">
        <v>0.0</v>
      </c>
      <c r="F189" s="287" t="s">
        <v>451</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663</v>
      </c>
      <c r="B190" s="286" t="s">
        <v>246</v>
      </c>
      <c r="C190" s="287" t="s">
        <v>451</v>
      </c>
      <c r="D190" s="287" t="s">
        <v>461</v>
      </c>
      <c r="E190" s="287">
        <v>0.0</v>
      </c>
      <c r="F190" s="287" t="s">
        <v>462</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664</v>
      </c>
      <c r="B191" s="286" t="s">
        <v>246</v>
      </c>
      <c r="C191" s="287" t="s">
        <v>451</v>
      </c>
      <c r="D191" s="287" t="s">
        <v>457</v>
      </c>
      <c r="E191" s="287">
        <v>0.0</v>
      </c>
      <c r="F191" s="287" t="s">
        <v>451</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665</v>
      </c>
      <c r="B192" s="286" t="s">
        <v>247</v>
      </c>
      <c r="C192" s="287" t="s">
        <v>451</v>
      </c>
      <c r="D192" s="287" t="s">
        <v>461</v>
      </c>
      <c r="E192" s="287">
        <v>0.0</v>
      </c>
      <c r="F192" s="287" t="s">
        <v>455</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666</v>
      </c>
      <c r="B193" s="286" t="s">
        <v>247</v>
      </c>
      <c r="C193" s="287" t="s">
        <v>451</v>
      </c>
      <c r="D193" s="287" t="s">
        <v>491</v>
      </c>
      <c r="E193" s="287">
        <v>0.0</v>
      </c>
      <c r="F193" s="287" t="s">
        <v>462</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667</v>
      </c>
      <c r="B194" s="286" t="s">
        <v>247</v>
      </c>
      <c r="C194" s="287" t="s">
        <v>451</v>
      </c>
      <c r="D194" s="287" t="s">
        <v>455</v>
      </c>
      <c r="E194" s="287" t="s">
        <v>451</v>
      </c>
      <c r="F194" s="287" t="s">
        <v>451</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668</v>
      </c>
      <c r="B195" s="286" t="s">
        <v>248</v>
      </c>
      <c r="C195" s="287">
        <v>0.0</v>
      </c>
      <c r="D195" s="287" t="s">
        <v>462</v>
      </c>
      <c r="E195" s="287">
        <v>0.0</v>
      </c>
      <c r="F195" s="287" t="s">
        <v>451</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669</v>
      </c>
      <c r="B196" s="286" t="s">
        <v>249</v>
      </c>
      <c r="C196" s="287">
        <v>0.0</v>
      </c>
      <c r="D196" s="287" t="s">
        <v>461</v>
      </c>
      <c r="E196" s="287">
        <v>0.0</v>
      </c>
      <c r="F196" s="287" t="s">
        <v>451</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670</v>
      </c>
      <c r="B197" s="286" t="s">
        <v>249</v>
      </c>
      <c r="C197" s="287">
        <v>0.0</v>
      </c>
      <c r="D197" s="287" t="s">
        <v>455</v>
      </c>
      <c r="E197" s="287">
        <v>0.0</v>
      </c>
      <c r="F197" s="287" t="s">
        <v>451</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671</v>
      </c>
      <c r="B198" s="286" t="s">
        <v>249</v>
      </c>
      <c r="C198" s="287" t="s">
        <v>451</v>
      </c>
      <c r="D198" s="287" t="s">
        <v>457</v>
      </c>
      <c r="E198" s="287">
        <v>0.0</v>
      </c>
      <c r="F198" s="287" t="s">
        <v>462</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672</v>
      </c>
      <c r="B199" s="286" t="s">
        <v>249</v>
      </c>
      <c r="C199" s="287">
        <v>0.0</v>
      </c>
      <c r="D199" s="287" t="s">
        <v>451</v>
      </c>
      <c r="E199" s="287">
        <v>0.0</v>
      </c>
      <c r="F199" s="287" t="s">
        <v>451</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673</v>
      </c>
      <c r="B200" s="286" t="s">
        <v>250</v>
      </c>
      <c r="C200" s="287">
        <v>0.0</v>
      </c>
      <c r="D200" s="287">
        <v>0.0</v>
      </c>
      <c r="E200" s="287" t="s">
        <v>451</v>
      </c>
      <c r="F200" s="287" t="s">
        <v>451</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674</v>
      </c>
      <c r="B201" s="286" t="s">
        <v>250</v>
      </c>
      <c r="C201" s="287" t="s">
        <v>451</v>
      </c>
      <c r="D201" s="287" t="s">
        <v>491</v>
      </c>
      <c r="E201" s="287">
        <v>0.0</v>
      </c>
      <c r="F201" s="287" t="s">
        <v>462</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675</v>
      </c>
      <c r="B202" s="286" t="s">
        <v>250</v>
      </c>
      <c r="C202" s="287">
        <v>0.0</v>
      </c>
      <c r="D202" s="287" t="s">
        <v>462</v>
      </c>
      <c r="E202" s="287">
        <v>0.0</v>
      </c>
      <c r="F202" s="287" t="s">
        <v>462</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676</v>
      </c>
      <c r="B203" s="286" t="s">
        <v>250</v>
      </c>
      <c r="C203" s="287">
        <v>0.0</v>
      </c>
      <c r="D203" s="287" t="s">
        <v>462</v>
      </c>
      <c r="E203" s="287">
        <v>0.0</v>
      </c>
      <c r="F203" s="287" t="s">
        <v>462</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677</v>
      </c>
      <c r="B204" s="286" t="s">
        <v>250</v>
      </c>
      <c r="C204" s="287" t="s">
        <v>451</v>
      </c>
      <c r="D204" s="287" t="s">
        <v>455</v>
      </c>
      <c r="E204" s="287">
        <v>0.0</v>
      </c>
      <c r="F204" s="287" t="s">
        <v>451</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678</v>
      </c>
      <c r="B205" s="286" t="s">
        <v>250</v>
      </c>
      <c r="C205" s="287" t="s">
        <v>462</v>
      </c>
      <c r="D205" s="287" t="s">
        <v>600</v>
      </c>
      <c r="E205" s="287">
        <v>0.0</v>
      </c>
      <c r="F205" s="287" t="s">
        <v>455</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679</v>
      </c>
      <c r="B206" s="286" t="s">
        <v>250</v>
      </c>
      <c r="C206" s="287" t="s">
        <v>451</v>
      </c>
      <c r="D206" s="287" t="s">
        <v>455</v>
      </c>
      <c r="E206" s="287">
        <v>0.0</v>
      </c>
      <c r="F206" s="287" t="s">
        <v>451</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680</v>
      </c>
      <c r="B207" s="286" t="s">
        <v>250</v>
      </c>
      <c r="C207" s="287">
        <v>0.0</v>
      </c>
      <c r="D207" s="287" t="s">
        <v>462</v>
      </c>
      <c r="E207" s="287">
        <v>0.0</v>
      </c>
      <c r="F207" s="287" t="s">
        <v>451</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681</v>
      </c>
      <c r="B208" s="286" t="s">
        <v>250</v>
      </c>
      <c r="C208" s="287" t="s">
        <v>451</v>
      </c>
      <c r="D208" s="287" t="s">
        <v>455</v>
      </c>
      <c r="E208" s="287">
        <v>0.0</v>
      </c>
      <c r="F208" s="287" t="s">
        <v>451</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682</v>
      </c>
      <c r="B209" s="286" t="s">
        <v>251</v>
      </c>
      <c r="C209" s="287">
        <v>0.0</v>
      </c>
      <c r="D209" s="287" t="s">
        <v>491</v>
      </c>
      <c r="E209" s="287">
        <v>0.0</v>
      </c>
      <c r="F209" s="287" t="s">
        <v>462</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683</v>
      </c>
      <c r="B210" s="286" t="s">
        <v>251</v>
      </c>
      <c r="C210" s="287">
        <v>0.0</v>
      </c>
      <c r="D210" s="287" t="s">
        <v>451</v>
      </c>
      <c r="E210" s="287">
        <v>0.0</v>
      </c>
      <c r="F210" s="287" t="s">
        <v>451</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684</v>
      </c>
      <c r="B211" s="286" t="s">
        <v>251</v>
      </c>
      <c r="C211" s="287">
        <v>0.0</v>
      </c>
      <c r="D211" s="287" t="s">
        <v>455</v>
      </c>
      <c r="E211" s="287">
        <v>0.0</v>
      </c>
      <c r="F211" s="287" t="s">
        <v>462</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685</v>
      </c>
      <c r="B212" s="286" t="s">
        <v>251</v>
      </c>
      <c r="C212" s="287">
        <v>0.0</v>
      </c>
      <c r="D212" s="287" t="s">
        <v>462</v>
      </c>
      <c r="E212" s="287">
        <v>0.0</v>
      </c>
      <c r="F212" s="287" t="s">
        <v>451</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686</v>
      </c>
      <c r="B213" s="286" t="s">
        <v>251</v>
      </c>
      <c r="C213" s="287">
        <v>0.0</v>
      </c>
      <c r="D213" s="287" t="s">
        <v>462</v>
      </c>
      <c r="E213" s="287">
        <v>0.0</v>
      </c>
      <c r="F213" s="287" t="s">
        <v>462</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687</v>
      </c>
      <c r="B214" s="286" t="s">
        <v>251</v>
      </c>
      <c r="C214" s="287" t="s">
        <v>451</v>
      </c>
      <c r="D214" s="287" t="s">
        <v>461</v>
      </c>
      <c r="E214" s="287" t="s">
        <v>451</v>
      </c>
      <c r="F214" s="287" t="s">
        <v>462</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688</v>
      </c>
      <c r="B215" s="286" t="s">
        <v>251</v>
      </c>
      <c r="C215" s="287">
        <v>0.0</v>
      </c>
      <c r="D215" s="287" t="s">
        <v>547</v>
      </c>
      <c r="E215" s="287">
        <v>0.0</v>
      </c>
      <c r="F215" s="287" t="s">
        <v>461</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689</v>
      </c>
      <c r="B216" s="286" t="s">
        <v>251</v>
      </c>
      <c r="C216" s="287">
        <v>0.0</v>
      </c>
      <c r="D216" s="287" t="s">
        <v>461</v>
      </c>
      <c r="E216" s="287">
        <v>0.0</v>
      </c>
      <c r="F216" s="287" t="s">
        <v>462</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690</v>
      </c>
      <c r="B217" s="286" t="s">
        <v>252</v>
      </c>
      <c r="C217" s="287">
        <v>0.0</v>
      </c>
      <c r="D217" s="287" t="s">
        <v>461</v>
      </c>
      <c r="E217" s="287">
        <v>0.0</v>
      </c>
      <c r="F217" s="287" t="s">
        <v>455</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691</v>
      </c>
      <c r="B218" s="286" t="s">
        <v>252</v>
      </c>
      <c r="C218" s="287" t="s">
        <v>451</v>
      </c>
      <c r="D218" s="287" t="s">
        <v>483</v>
      </c>
      <c r="E218" s="287">
        <v>0.0</v>
      </c>
      <c r="F218" s="287" t="s">
        <v>462</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692</v>
      </c>
      <c r="B219" s="286" t="s">
        <v>252</v>
      </c>
      <c r="C219" s="287">
        <v>0.0</v>
      </c>
      <c r="D219" s="287" t="s">
        <v>461</v>
      </c>
      <c r="E219" s="287">
        <v>0.0</v>
      </c>
      <c r="F219" s="287" t="s">
        <v>462</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693</v>
      </c>
      <c r="B220" s="286" t="s">
        <v>693</v>
      </c>
      <c r="C220" s="287" t="s">
        <v>451</v>
      </c>
      <c r="D220" s="287" t="s">
        <v>462</v>
      </c>
      <c r="E220" s="287">
        <v>0.0</v>
      </c>
      <c r="F220" s="287" t="s">
        <v>451</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694</v>
      </c>
      <c r="B221" s="286" t="s">
        <v>695</v>
      </c>
      <c r="C221" s="287">
        <v>0.0</v>
      </c>
      <c r="D221" s="287" t="s">
        <v>462</v>
      </c>
      <c r="E221" s="287">
        <v>0.0</v>
      </c>
      <c r="F221" s="287" t="s">
        <v>462</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696</v>
      </c>
      <c r="B222" s="286" t="s">
        <v>695</v>
      </c>
      <c r="C222" s="287">
        <v>0.0</v>
      </c>
      <c r="D222" s="287" t="s">
        <v>455</v>
      </c>
      <c r="E222" s="287">
        <v>0.0</v>
      </c>
      <c r="F222" s="287" t="s">
        <v>451</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697</v>
      </c>
      <c r="B223" s="286" t="s">
        <v>695</v>
      </c>
      <c r="C223" s="287">
        <v>0.0</v>
      </c>
      <c r="D223" s="287" t="s">
        <v>462</v>
      </c>
      <c r="E223" s="287">
        <v>0.0</v>
      </c>
      <c r="F223" s="287" t="s">
        <v>451</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698</v>
      </c>
      <c r="B224" s="286" t="s">
        <v>253</v>
      </c>
      <c r="C224" s="287">
        <v>0.0</v>
      </c>
      <c r="D224" s="287" t="s">
        <v>451</v>
      </c>
      <c r="E224" s="287">
        <v>0.0</v>
      </c>
      <c r="F224" s="287" t="s">
        <v>451</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699</v>
      </c>
      <c r="B225" s="286" t="s">
        <v>253</v>
      </c>
      <c r="C225" s="287">
        <v>0.0</v>
      </c>
      <c r="D225" s="287" t="s">
        <v>451</v>
      </c>
      <c r="E225" s="287">
        <v>0.0</v>
      </c>
      <c r="F225" s="287" t="s">
        <v>451</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700</v>
      </c>
      <c r="B226" s="286" t="s">
        <v>253</v>
      </c>
      <c r="C226" s="287">
        <v>0.0</v>
      </c>
      <c r="D226" s="287" t="s">
        <v>451</v>
      </c>
      <c r="E226" s="287">
        <v>0.0</v>
      </c>
      <c r="F226" s="287" t="s">
        <v>451</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701</v>
      </c>
      <c r="B227" s="286" t="s">
        <v>253</v>
      </c>
      <c r="C227" s="287" t="s">
        <v>451</v>
      </c>
      <c r="D227" s="287" t="s">
        <v>451</v>
      </c>
      <c r="E227" s="287" t="s">
        <v>451</v>
      </c>
      <c r="F227" s="287" t="s">
        <v>462</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702</v>
      </c>
      <c r="B228" s="286" t="s">
        <v>253</v>
      </c>
      <c r="C228" s="287" t="s">
        <v>451</v>
      </c>
      <c r="D228" s="287" t="s">
        <v>451</v>
      </c>
      <c r="E228" s="287">
        <v>0.0</v>
      </c>
      <c r="F228" s="287" t="s">
        <v>451</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703</v>
      </c>
      <c r="B229" s="286" t="s">
        <v>253</v>
      </c>
      <c r="C229" s="287">
        <v>0.0</v>
      </c>
      <c r="D229" s="287" t="s">
        <v>451</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704</v>
      </c>
      <c r="B230" s="286" t="s">
        <v>253</v>
      </c>
      <c r="C230" s="287">
        <v>0.0</v>
      </c>
      <c r="D230" s="287" t="s">
        <v>462</v>
      </c>
      <c r="E230" s="287">
        <v>0.0</v>
      </c>
      <c r="F230" s="287" t="s">
        <v>455</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705</v>
      </c>
      <c r="B231" s="286" t="s">
        <v>253</v>
      </c>
      <c r="C231" s="287">
        <v>0.0</v>
      </c>
      <c r="D231" s="287" t="s">
        <v>451</v>
      </c>
      <c r="E231" s="287">
        <v>0.0</v>
      </c>
      <c r="F231" s="287" t="s">
        <v>451</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706</v>
      </c>
      <c r="B232" s="286" t="s">
        <v>253</v>
      </c>
      <c r="C232" s="287">
        <v>0.0</v>
      </c>
      <c r="D232" s="287" t="s">
        <v>451</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707</v>
      </c>
      <c r="B233" s="286" t="s">
        <v>253</v>
      </c>
      <c r="C233" s="287">
        <v>0.0</v>
      </c>
      <c r="D233" s="287" t="s">
        <v>462</v>
      </c>
      <c r="E233" s="287">
        <v>0.0</v>
      </c>
      <c r="F233" s="287" t="s">
        <v>455</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708</v>
      </c>
      <c r="B234" s="286" t="s">
        <v>253</v>
      </c>
      <c r="C234" s="287">
        <v>0.0</v>
      </c>
      <c r="D234" s="287">
        <v>0.0</v>
      </c>
      <c r="E234" s="287">
        <v>0.0</v>
      </c>
      <c r="F234" s="287" t="s">
        <v>451</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709</v>
      </c>
      <c r="B235" s="286" t="s">
        <v>253</v>
      </c>
      <c r="C235" s="287">
        <v>0.0</v>
      </c>
      <c r="D235" s="287">
        <v>0.0</v>
      </c>
      <c r="E235" s="287">
        <v>0.0</v>
      </c>
      <c r="F235" s="287" t="s">
        <v>451</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710</v>
      </c>
      <c r="B236" s="286" t="s">
        <v>253</v>
      </c>
      <c r="C236" s="287">
        <v>0.0</v>
      </c>
      <c r="D236" s="287" t="s">
        <v>455</v>
      </c>
      <c r="E236" s="287">
        <v>0.0</v>
      </c>
      <c r="F236" s="287" t="s">
        <v>462</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711</v>
      </c>
      <c r="B237" s="286" t="s">
        <v>253</v>
      </c>
      <c r="C237" s="287">
        <v>0.0</v>
      </c>
      <c r="D237" s="287" t="s">
        <v>462</v>
      </c>
      <c r="E237" s="287">
        <v>0.0</v>
      </c>
      <c r="F237" s="287" t="s">
        <v>462</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712</v>
      </c>
      <c r="B238" s="286" t="s">
        <v>253</v>
      </c>
      <c r="C238" s="287">
        <v>0.0</v>
      </c>
      <c r="D238" s="287" t="s">
        <v>451</v>
      </c>
      <c r="E238" s="287">
        <v>0.0</v>
      </c>
      <c r="F238" s="287" t="s">
        <v>451</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713</v>
      </c>
      <c r="B239" s="286" t="s">
        <v>253</v>
      </c>
      <c r="C239" s="287">
        <v>0.0</v>
      </c>
      <c r="D239" s="287" t="s">
        <v>451</v>
      </c>
      <c r="E239" s="287">
        <v>0.0</v>
      </c>
      <c r="F239" s="287" t="s">
        <v>451</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714</v>
      </c>
      <c r="B240" s="286" t="s">
        <v>253</v>
      </c>
      <c r="C240" s="287">
        <v>0.0</v>
      </c>
      <c r="D240" s="287" t="s">
        <v>451</v>
      </c>
      <c r="E240" s="287">
        <v>0.0</v>
      </c>
      <c r="F240" s="287" t="s">
        <v>451</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715</v>
      </c>
      <c r="B241" s="286" t="s">
        <v>253</v>
      </c>
      <c r="C241" s="287" t="s">
        <v>451</v>
      </c>
      <c r="D241" s="287" t="s">
        <v>462</v>
      </c>
      <c r="E241" s="287">
        <v>0.0</v>
      </c>
      <c r="F241" s="287" t="s">
        <v>451</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716</v>
      </c>
      <c r="B242" s="286" t="s">
        <v>254</v>
      </c>
      <c r="C242" s="287">
        <v>0.0</v>
      </c>
      <c r="D242" s="287" t="s">
        <v>462</v>
      </c>
      <c r="E242" s="287">
        <v>0.0</v>
      </c>
      <c r="F242" s="287" t="s">
        <v>451</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717</v>
      </c>
      <c r="B243" s="286" t="s">
        <v>254</v>
      </c>
      <c r="C243" s="287" t="s">
        <v>451</v>
      </c>
      <c r="D243" s="287" t="s">
        <v>461</v>
      </c>
      <c r="E243" s="287">
        <v>0.0</v>
      </c>
      <c r="F243" s="287" t="s">
        <v>462</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718</v>
      </c>
      <c r="B244" s="286" t="s">
        <v>254</v>
      </c>
      <c r="C244" s="287">
        <v>0.0</v>
      </c>
      <c r="D244" s="287" t="s">
        <v>457</v>
      </c>
      <c r="E244" s="287">
        <v>0.0</v>
      </c>
      <c r="F244" s="287" t="s">
        <v>462</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719</v>
      </c>
      <c r="B245" s="286" t="s">
        <v>254</v>
      </c>
      <c r="C245" s="287">
        <v>0.0</v>
      </c>
      <c r="D245" s="287" t="s">
        <v>461</v>
      </c>
      <c r="E245" s="287">
        <v>0.0</v>
      </c>
      <c r="F245" s="287" t="s">
        <v>451</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720</v>
      </c>
      <c r="B246" s="286" t="s">
        <v>721</v>
      </c>
      <c r="C246" s="287">
        <v>0.0</v>
      </c>
      <c r="D246" s="287" t="s">
        <v>451</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722</v>
      </c>
      <c r="B247" s="286" t="s">
        <v>721</v>
      </c>
      <c r="C247" s="287">
        <v>0.0</v>
      </c>
      <c r="D247" s="287">
        <v>0.0</v>
      </c>
      <c r="E247" s="287">
        <v>0.0</v>
      </c>
      <c r="F247" s="287" t="s">
        <v>451</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723</v>
      </c>
      <c r="B248" s="286" t="s">
        <v>721</v>
      </c>
      <c r="C248" s="287">
        <v>0.0</v>
      </c>
      <c r="D248" s="287" t="s">
        <v>455</v>
      </c>
      <c r="E248" s="287">
        <v>0.0</v>
      </c>
      <c r="F248" s="287" t="s">
        <v>462</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724</v>
      </c>
      <c r="B249" s="286" t="s">
        <v>721</v>
      </c>
      <c r="C249" s="287">
        <v>0.0</v>
      </c>
      <c r="D249" s="287" t="s">
        <v>451</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725</v>
      </c>
      <c r="B250" s="286" t="s">
        <v>721</v>
      </c>
      <c r="C250" s="287">
        <v>0.0</v>
      </c>
      <c r="D250" s="287" t="s">
        <v>462</v>
      </c>
      <c r="E250" s="287">
        <v>0.0</v>
      </c>
      <c r="F250" s="287" t="s">
        <v>451</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726</v>
      </c>
      <c r="B251" s="286" t="s">
        <v>721</v>
      </c>
      <c r="C251" s="287" t="s">
        <v>451</v>
      </c>
      <c r="D251" s="287" t="s">
        <v>451</v>
      </c>
      <c r="E251" s="287">
        <v>0.0</v>
      </c>
      <c r="F251" s="287" t="s">
        <v>462</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727</v>
      </c>
      <c r="B252" s="286" t="s">
        <v>721</v>
      </c>
      <c r="C252" s="287">
        <v>0.0</v>
      </c>
      <c r="D252" s="287" t="s">
        <v>451</v>
      </c>
      <c r="E252" s="287">
        <v>0.0</v>
      </c>
      <c r="F252" s="287" t="s">
        <v>451</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728</v>
      </c>
      <c r="B253" s="286" t="s">
        <v>721</v>
      </c>
      <c r="C253" s="287">
        <v>0.0</v>
      </c>
      <c r="D253" s="287" t="s">
        <v>451</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729</v>
      </c>
      <c r="B254" s="286" t="s">
        <v>721</v>
      </c>
      <c r="C254" s="287">
        <v>0.0</v>
      </c>
      <c r="D254" s="287" t="s">
        <v>451</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730</v>
      </c>
      <c r="B255" s="286" t="s">
        <v>721</v>
      </c>
      <c r="C255" s="287">
        <v>0.0</v>
      </c>
      <c r="D255" s="287" t="s">
        <v>451</v>
      </c>
      <c r="E255" s="287">
        <v>0.0</v>
      </c>
      <c r="F255" s="287" t="s">
        <v>451</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731</v>
      </c>
      <c r="B256" s="286" t="s">
        <v>721</v>
      </c>
      <c r="C256" s="287">
        <v>0.0</v>
      </c>
      <c r="D256" s="287" t="s">
        <v>451</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732</v>
      </c>
      <c r="B257" s="286" t="s">
        <v>721</v>
      </c>
      <c r="C257" s="287">
        <v>0.0</v>
      </c>
      <c r="D257" s="287" t="s">
        <v>451</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733</v>
      </c>
      <c r="B258" s="286" t="s">
        <v>721</v>
      </c>
      <c r="C258" s="287">
        <v>0.0</v>
      </c>
      <c r="D258" s="287" t="s">
        <v>451</v>
      </c>
      <c r="E258" s="287">
        <v>0.0</v>
      </c>
      <c r="F258" s="287" t="s">
        <v>451</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734</v>
      </c>
      <c r="B259" s="286" t="s">
        <v>721</v>
      </c>
      <c r="C259" s="287">
        <v>0.0</v>
      </c>
      <c r="D259" s="287">
        <v>0.0</v>
      </c>
      <c r="E259" s="287">
        <v>0.0</v>
      </c>
      <c r="F259" s="287" t="s">
        <v>451</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735</v>
      </c>
      <c r="B260" s="286" t="s">
        <v>721</v>
      </c>
      <c r="C260" s="287">
        <v>0.0</v>
      </c>
      <c r="D260" s="287" t="s">
        <v>451</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736</v>
      </c>
      <c r="B261" s="286" t="s">
        <v>721</v>
      </c>
      <c r="C261" s="287">
        <v>0.0</v>
      </c>
      <c r="D261" s="287" t="s">
        <v>462</v>
      </c>
      <c r="E261" s="287">
        <v>0.0</v>
      </c>
      <c r="F261" s="287" t="s">
        <v>451</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737</v>
      </c>
      <c r="B262" s="286" t="s">
        <v>721</v>
      </c>
      <c r="C262" s="287">
        <v>0.0</v>
      </c>
      <c r="D262" s="287" t="s">
        <v>451</v>
      </c>
      <c r="E262" s="287">
        <v>0.0</v>
      </c>
      <c r="F262" s="287" t="s">
        <v>451</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738</v>
      </c>
      <c r="B263" s="286" t="s">
        <v>721</v>
      </c>
      <c r="C263" s="287">
        <v>0.0</v>
      </c>
      <c r="D263" s="287" t="s">
        <v>451</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5" t="s">
        <v>739</v>
      </c>
      <c r="B264" s="286" t="s">
        <v>721</v>
      </c>
      <c r="C264" s="287">
        <v>0.0</v>
      </c>
      <c r="D264" s="287" t="s">
        <v>451</v>
      </c>
      <c r="E264" s="287">
        <v>0.0</v>
      </c>
      <c r="F264" s="287" t="s">
        <v>451</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8" t="s">
        <v>740</v>
      </c>
      <c r="B265" s="286" t="s">
        <v>721</v>
      </c>
      <c r="C265" s="287">
        <v>0.0</v>
      </c>
      <c r="D265" s="287">
        <v>0.0</v>
      </c>
      <c r="E265" s="287">
        <v>0.0</v>
      </c>
      <c r="F265" s="287" t="s">
        <v>451</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741</v>
      </c>
      <c r="B266" s="286" t="s">
        <v>721</v>
      </c>
      <c r="C266" s="287">
        <v>0.0</v>
      </c>
      <c r="D266" s="287" t="s">
        <v>451</v>
      </c>
      <c r="E266" s="287">
        <v>0.0</v>
      </c>
      <c r="F266" s="287">
        <v>0.0</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742</v>
      </c>
      <c r="B267" s="286" t="s">
        <v>721</v>
      </c>
      <c r="C267" s="287">
        <v>0.0</v>
      </c>
      <c r="D267" s="287">
        <v>0.0</v>
      </c>
      <c r="E267" s="287">
        <v>0.0</v>
      </c>
      <c r="F267" s="287" t="s">
        <v>451</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743</v>
      </c>
      <c r="B268" s="286" t="s">
        <v>721</v>
      </c>
      <c r="C268" s="287">
        <v>0.0</v>
      </c>
      <c r="D268" s="287" t="s">
        <v>462</v>
      </c>
      <c r="E268" s="287">
        <v>0.0</v>
      </c>
      <c r="F268" s="287" t="s">
        <v>455</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744</v>
      </c>
      <c r="B269" s="286" t="s">
        <v>721</v>
      </c>
      <c r="C269" s="287">
        <v>0.0</v>
      </c>
      <c r="D269" s="287" t="s">
        <v>455</v>
      </c>
      <c r="E269" s="287" t="s">
        <v>451</v>
      </c>
      <c r="F269" s="287" t="s">
        <v>462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745</v>
      </c>
      <c r="B270" s="286" t="s">
        <v>721</v>
      </c>
      <c r="C270" s="287">
        <v>0.0</v>
      </c>
      <c r="D270" s="287" t="s">
        <v>451</v>
      </c>
      <c r="E270" s="287">
        <v>0.0</v>
      </c>
      <c r="F270" s="287" t="s">
        <v>451</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746</v>
      </c>
      <c r="B271" s="286" t="s">
        <v>721</v>
      </c>
      <c r="C271" s="287">
        <v>0.0</v>
      </c>
      <c r="D271" s="287" t="s">
        <v>451</v>
      </c>
      <c r="E271" s="287">
        <v>0.0</v>
      </c>
      <c r="F271" s="287" t="s">
        <v>451</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747</v>
      </c>
      <c r="B272" s="286" t="s">
        <v>721</v>
      </c>
      <c r="C272" s="287" t="s">
        <v>451</v>
      </c>
      <c r="D272" s="287" t="s">
        <v>457</v>
      </c>
      <c r="E272" s="287">
        <v>0.0</v>
      </c>
      <c r="F272" s="287" t="s">
        <v>462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748</v>
      </c>
      <c r="B273" s="286" t="s">
        <v>721</v>
      </c>
      <c r="C273" s="287" t="s">
        <v>451</v>
      </c>
      <c r="D273" s="287" t="s">
        <v>451</v>
      </c>
      <c r="E273" s="287">
        <v>0.0</v>
      </c>
      <c r="F273" s="287" t="s">
        <v>451</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749</v>
      </c>
      <c r="B274" s="286" t="s">
        <v>721</v>
      </c>
      <c r="C274" s="287">
        <v>0.0</v>
      </c>
      <c r="D274" s="287">
        <v>0.0</v>
      </c>
      <c r="E274" s="287">
        <v>0.0</v>
      </c>
      <c r="F274" s="287" t="s">
        <v>451</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750</v>
      </c>
      <c r="B275" s="286" t="s">
        <v>721</v>
      </c>
      <c r="C275" s="287" t="s">
        <v>451</v>
      </c>
      <c r="D275" s="287" t="s">
        <v>455</v>
      </c>
      <c r="E275" s="287">
        <v>0.0</v>
      </c>
      <c r="F275" s="287" t="s">
        <v>451</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751</v>
      </c>
      <c r="B276" s="286" t="s">
        <v>721</v>
      </c>
      <c r="C276" s="287">
        <v>0.0</v>
      </c>
      <c r="D276" s="287" t="s">
        <v>451</v>
      </c>
      <c r="E276" s="287">
        <v>0.0</v>
      </c>
      <c r="F276" s="287">
        <v>0.0</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752</v>
      </c>
      <c r="B277" s="286" t="s">
        <v>721</v>
      </c>
      <c r="C277" s="287">
        <v>0.0</v>
      </c>
      <c r="D277" s="287">
        <v>0.0</v>
      </c>
      <c r="E277" s="287">
        <v>0.0</v>
      </c>
      <c r="F277" s="287" t="s">
        <v>451</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753</v>
      </c>
      <c r="B278" s="286" t="s">
        <v>721</v>
      </c>
      <c r="C278" s="287">
        <v>0.0</v>
      </c>
      <c r="D278" s="287" t="s">
        <v>462</v>
      </c>
      <c r="E278" s="287" t="s">
        <v>451</v>
      </c>
      <c r="F278" s="287" t="s">
        <v>462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754</v>
      </c>
      <c r="B279" s="286" t="s">
        <v>721</v>
      </c>
      <c r="C279" s="287">
        <v>0.0</v>
      </c>
      <c r="D279" s="287" t="s">
        <v>451</v>
      </c>
      <c r="E279" s="287">
        <v>0.0</v>
      </c>
      <c r="F279" s="287" t="s">
        <v>451</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755</v>
      </c>
      <c r="B280" s="286" t="s">
        <v>721</v>
      </c>
      <c r="C280" s="287">
        <v>0.0</v>
      </c>
      <c r="D280" s="287" t="s">
        <v>451</v>
      </c>
      <c r="E280" s="287">
        <v>0.0</v>
      </c>
      <c r="F280" s="287" t="s">
        <v>451</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756</v>
      </c>
      <c r="B281" s="286" t="s">
        <v>721</v>
      </c>
      <c r="C281" s="287">
        <v>0.0</v>
      </c>
      <c r="D281" s="287" t="s">
        <v>451</v>
      </c>
      <c r="E281" s="287" t="s">
        <v>451</v>
      </c>
      <c r="F281" s="287" t="s">
        <v>451</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757</v>
      </c>
      <c r="B282" s="286" t="s">
        <v>721</v>
      </c>
      <c r="C282" s="287" t="s">
        <v>451</v>
      </c>
      <c r="D282" s="287" t="s">
        <v>461</v>
      </c>
      <c r="E282" s="287">
        <v>0.0</v>
      </c>
      <c r="F282" s="287" t="s">
        <v>462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758</v>
      </c>
      <c r="B283" s="286" t="s">
        <v>721</v>
      </c>
      <c r="C283" s="287">
        <v>0.0</v>
      </c>
      <c r="D283" s="287" t="s">
        <v>451</v>
      </c>
      <c r="E283" s="287">
        <v>0.0</v>
      </c>
      <c r="F283" s="287" t="s">
        <v>451</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759</v>
      </c>
      <c r="B284" s="286" t="s">
        <v>721</v>
      </c>
      <c r="C284" s="287">
        <v>0.0</v>
      </c>
      <c r="D284" s="287" t="s">
        <v>451</v>
      </c>
      <c r="E284" s="287">
        <v>0.0</v>
      </c>
      <c r="F284" s="287" t="s">
        <v>462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760</v>
      </c>
      <c r="B285" s="286" t="s">
        <v>721</v>
      </c>
      <c r="C285" s="287">
        <v>0.0</v>
      </c>
      <c r="D285" s="287" t="s">
        <v>451</v>
      </c>
      <c r="E285" s="287">
        <v>0.0</v>
      </c>
      <c r="F285" s="287" t="s">
        <v>451</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761</v>
      </c>
      <c r="B286" s="286" t="s">
        <v>721</v>
      </c>
      <c r="C286" s="287">
        <v>0.0</v>
      </c>
      <c r="D286" s="287" t="s">
        <v>455</v>
      </c>
      <c r="E286" s="287">
        <v>0.0</v>
      </c>
      <c r="F286" s="287" t="s">
        <v>462</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762</v>
      </c>
      <c r="B287" s="286" t="s">
        <v>721</v>
      </c>
      <c r="C287" s="287">
        <v>0.0</v>
      </c>
      <c r="D287" s="287" t="s">
        <v>451</v>
      </c>
      <c r="E287" s="287">
        <v>0.0</v>
      </c>
      <c r="F287" s="287" t="s">
        <v>462</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763</v>
      </c>
      <c r="B288" s="286" t="s">
        <v>721</v>
      </c>
      <c r="C288" s="287">
        <v>0.0</v>
      </c>
      <c r="D288" s="287" t="s">
        <v>462</v>
      </c>
      <c r="E288" s="287">
        <v>0.0</v>
      </c>
      <c r="F288" s="287" t="s">
        <v>462</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764</v>
      </c>
      <c r="B289" s="286" t="s">
        <v>721</v>
      </c>
      <c r="C289" s="287">
        <v>0.0</v>
      </c>
      <c r="D289" s="287" t="s">
        <v>462</v>
      </c>
      <c r="E289" s="287">
        <v>0.0</v>
      </c>
      <c r="F289" s="287" t="s">
        <v>462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765</v>
      </c>
      <c r="B290" s="286" t="s">
        <v>721</v>
      </c>
      <c r="C290" s="287" t="s">
        <v>451</v>
      </c>
      <c r="D290" s="287" t="s">
        <v>455</v>
      </c>
      <c r="E290" s="287">
        <v>0.0</v>
      </c>
      <c r="F290" s="287" t="s">
        <v>451</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766</v>
      </c>
      <c r="B291" s="286" t="s">
        <v>721</v>
      </c>
      <c r="C291" s="287" t="s">
        <v>451</v>
      </c>
      <c r="D291" s="287" t="s">
        <v>451</v>
      </c>
      <c r="E291" s="287">
        <v>0.0</v>
      </c>
      <c r="F291" s="287" t="s">
        <v>451</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767</v>
      </c>
      <c r="B292" s="286" t="s">
        <v>721</v>
      </c>
      <c r="C292" s="287">
        <v>0.0</v>
      </c>
      <c r="D292" s="287" t="s">
        <v>451</v>
      </c>
      <c r="E292" s="287">
        <v>0.0</v>
      </c>
      <c r="F292" s="287" t="s">
        <v>451</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768</v>
      </c>
      <c r="B293" s="286" t="s">
        <v>721</v>
      </c>
      <c r="C293" s="287">
        <v>0.0</v>
      </c>
      <c r="D293" s="287">
        <v>0.0</v>
      </c>
      <c r="E293" s="287">
        <v>0.0</v>
      </c>
      <c r="F293" s="287" t="s">
        <v>451</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769</v>
      </c>
      <c r="B294" s="286" t="s">
        <v>721</v>
      </c>
      <c r="C294" s="287" t="s">
        <v>451</v>
      </c>
      <c r="D294" s="287" t="s">
        <v>461</v>
      </c>
      <c r="E294" s="287">
        <v>0.0</v>
      </c>
      <c r="F294" s="287" t="s">
        <v>451</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770</v>
      </c>
      <c r="B295" s="286" t="s">
        <v>721</v>
      </c>
      <c r="C295" s="287">
        <v>0.0</v>
      </c>
      <c r="D295" s="287">
        <v>0.0</v>
      </c>
      <c r="E295" s="287">
        <v>0.0</v>
      </c>
      <c r="F295" s="287" t="s">
        <v>451</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771</v>
      </c>
      <c r="B296" s="286" t="s">
        <v>721</v>
      </c>
      <c r="C296" s="287">
        <v>0.0</v>
      </c>
      <c r="D296" s="287" t="s">
        <v>451</v>
      </c>
      <c r="E296" s="287">
        <v>0.0</v>
      </c>
      <c r="F296" s="287">
        <v>0.0</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772</v>
      </c>
      <c r="B297" s="286" t="s">
        <v>721</v>
      </c>
      <c r="C297" s="287">
        <v>0.0</v>
      </c>
      <c r="D297" s="287" t="s">
        <v>451</v>
      </c>
      <c r="E297" s="287">
        <v>0.0</v>
      </c>
      <c r="F297" s="287" t="s">
        <v>451</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773</v>
      </c>
      <c r="B298" s="286" t="s">
        <v>721</v>
      </c>
      <c r="C298" s="287">
        <v>0.0</v>
      </c>
      <c r="D298" s="287" t="s">
        <v>451</v>
      </c>
      <c r="E298" s="287">
        <v>0.0</v>
      </c>
      <c r="F298" s="287" t="s">
        <v>462</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774</v>
      </c>
      <c r="B299" s="286" t="s">
        <v>721</v>
      </c>
      <c r="C299" s="287">
        <v>0.0</v>
      </c>
      <c r="D299" s="287" t="s">
        <v>451</v>
      </c>
      <c r="E299" s="287">
        <v>0.0</v>
      </c>
      <c r="F299" s="287">
        <v>0.0</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775</v>
      </c>
      <c r="B300" s="286" t="s">
        <v>721</v>
      </c>
      <c r="C300" s="287">
        <v>0.0</v>
      </c>
      <c r="D300" s="287" t="s">
        <v>451</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776</v>
      </c>
      <c r="B301" s="286" t="s">
        <v>721</v>
      </c>
      <c r="C301" s="287">
        <v>0.0</v>
      </c>
      <c r="D301" s="287" t="s">
        <v>451</v>
      </c>
      <c r="E301" s="287">
        <v>0.0</v>
      </c>
      <c r="F301" s="287" t="s">
        <v>451</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777</v>
      </c>
      <c r="B302" s="286" t="s">
        <v>721</v>
      </c>
      <c r="C302" s="287">
        <v>0.0</v>
      </c>
      <c r="D302" s="287" t="s">
        <v>451</v>
      </c>
      <c r="E302" s="287">
        <v>0.0</v>
      </c>
      <c r="F302" s="287">
        <v>0.0</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778</v>
      </c>
      <c r="B303" s="286" t="s">
        <v>721</v>
      </c>
      <c r="C303" s="287" t="s">
        <v>451</v>
      </c>
      <c r="D303" s="287" t="s">
        <v>462</v>
      </c>
      <c r="E303" s="287">
        <v>0.0</v>
      </c>
      <c r="F303" s="287" t="s">
        <v>451</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779</v>
      </c>
      <c r="B304" s="286" t="s">
        <v>721</v>
      </c>
      <c r="C304" s="287">
        <v>0.0</v>
      </c>
      <c r="D304" s="287" t="s">
        <v>455</v>
      </c>
      <c r="E304" s="287">
        <v>0.0</v>
      </c>
      <c r="F304" s="287" t="s">
        <v>462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780</v>
      </c>
      <c r="B305" s="286" t="s">
        <v>721</v>
      </c>
      <c r="C305" s="287">
        <v>0.0</v>
      </c>
      <c r="D305" s="287" t="s">
        <v>455</v>
      </c>
      <c r="E305" s="287">
        <v>0.0</v>
      </c>
      <c r="F305" s="287" t="s">
        <v>451</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781</v>
      </c>
      <c r="B306" s="286" t="s">
        <v>721</v>
      </c>
      <c r="C306" s="287">
        <v>0.0</v>
      </c>
      <c r="D306" s="287" t="s">
        <v>451</v>
      </c>
      <c r="E306" s="287" t="s">
        <v>451</v>
      </c>
      <c r="F306" s="287" t="s">
        <v>451</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782</v>
      </c>
      <c r="B307" s="286" t="s">
        <v>721</v>
      </c>
      <c r="C307" s="287">
        <v>0.0</v>
      </c>
      <c r="D307" s="287" t="s">
        <v>451</v>
      </c>
      <c r="E307" s="287">
        <v>0.0</v>
      </c>
      <c r="F307" s="287" t="s">
        <v>451</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783</v>
      </c>
      <c r="B308" s="286" t="s">
        <v>721</v>
      </c>
      <c r="C308" s="287">
        <v>0.0</v>
      </c>
      <c r="D308" s="287">
        <v>0.0</v>
      </c>
      <c r="E308" s="287">
        <v>0.0</v>
      </c>
      <c r="F308" s="287" t="s">
        <v>451</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784</v>
      </c>
      <c r="B309" s="286" t="s">
        <v>721</v>
      </c>
      <c r="C309" s="287">
        <v>0.0</v>
      </c>
      <c r="D309" s="287" t="s">
        <v>462</v>
      </c>
      <c r="E309" s="287">
        <v>0.0</v>
      </c>
      <c r="F309" s="287" t="s">
        <v>462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785</v>
      </c>
      <c r="B310" s="286" t="s">
        <v>721</v>
      </c>
      <c r="C310" s="287" t="s">
        <v>451</v>
      </c>
      <c r="D310" s="287" t="s">
        <v>451</v>
      </c>
      <c r="E310" s="287">
        <v>0.0</v>
      </c>
      <c r="F310" s="287" t="s">
        <v>451</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786</v>
      </c>
      <c r="B311" s="286" t="s">
        <v>721</v>
      </c>
      <c r="C311" s="287">
        <v>0.0</v>
      </c>
      <c r="D311" s="287" t="s">
        <v>462</v>
      </c>
      <c r="E311" s="287">
        <v>0.0</v>
      </c>
      <c r="F311" s="287" t="s">
        <v>451</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787</v>
      </c>
      <c r="B312" s="286" t="s">
        <v>721</v>
      </c>
      <c r="C312" s="287" t="s">
        <v>451</v>
      </c>
      <c r="D312" s="287" t="s">
        <v>461</v>
      </c>
      <c r="E312" s="287">
        <v>0.0</v>
      </c>
      <c r="F312" s="287" t="s">
        <v>451</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788</v>
      </c>
      <c r="B313" s="286" t="s">
        <v>721</v>
      </c>
      <c r="C313" s="287">
        <v>0.0</v>
      </c>
      <c r="D313" s="287" t="s">
        <v>451</v>
      </c>
      <c r="E313" s="287">
        <v>0.0</v>
      </c>
      <c r="F313" s="287">
        <v>0.0</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789</v>
      </c>
      <c r="B314" s="286" t="s">
        <v>721</v>
      </c>
      <c r="C314" s="287">
        <v>0.0</v>
      </c>
      <c r="D314" s="287" t="s">
        <v>451</v>
      </c>
      <c r="E314" s="287">
        <v>0.0</v>
      </c>
      <c r="F314" s="287" t="s">
        <v>462</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790</v>
      </c>
      <c r="B315" s="286" t="s">
        <v>721</v>
      </c>
      <c r="C315" s="287">
        <v>0.0</v>
      </c>
      <c r="D315" s="287" t="s">
        <v>451</v>
      </c>
      <c r="E315" s="287">
        <v>0.0</v>
      </c>
      <c r="F315" s="287">
        <v>0.0</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791</v>
      </c>
      <c r="B316" s="286" t="s">
        <v>721</v>
      </c>
      <c r="C316" s="287">
        <v>0.0</v>
      </c>
      <c r="D316" s="287" t="s">
        <v>462</v>
      </c>
      <c r="E316" s="287">
        <v>0.0</v>
      </c>
      <c r="F316" s="287" t="s">
        <v>451</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792</v>
      </c>
      <c r="B317" s="286" t="s">
        <v>721</v>
      </c>
      <c r="C317" s="287">
        <v>0.0</v>
      </c>
      <c r="D317" s="287" t="s">
        <v>451</v>
      </c>
      <c r="E317" s="287">
        <v>0.0</v>
      </c>
      <c r="F317" s="287" t="s">
        <v>462</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793</v>
      </c>
      <c r="B318" s="286" t="s">
        <v>721</v>
      </c>
      <c r="C318" s="287">
        <v>0.0</v>
      </c>
      <c r="D318" s="287" t="s">
        <v>451</v>
      </c>
      <c r="E318" s="287">
        <v>0.0</v>
      </c>
      <c r="F318" s="287">
        <v>0.0</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794</v>
      </c>
      <c r="B319" s="286" t="s">
        <v>721</v>
      </c>
      <c r="C319" s="287">
        <v>0.0</v>
      </c>
      <c r="D319" s="287">
        <v>0.0</v>
      </c>
      <c r="E319" s="287">
        <v>0.0</v>
      </c>
      <c r="F319" s="287" t="s">
        <v>451</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795</v>
      </c>
      <c r="B320" s="286" t="s">
        <v>721</v>
      </c>
      <c r="C320" s="287">
        <v>0.0</v>
      </c>
      <c r="D320" s="287" t="s">
        <v>451</v>
      </c>
      <c r="E320" s="287">
        <v>0.0</v>
      </c>
      <c r="F320" s="287">
        <v>0.0</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796</v>
      </c>
      <c r="B321" s="286" t="s">
        <v>721</v>
      </c>
      <c r="C321" s="287">
        <v>0.0</v>
      </c>
      <c r="D321" s="287" t="s">
        <v>451</v>
      </c>
      <c r="E321" s="287">
        <v>0.0</v>
      </c>
      <c r="F321" s="287" t="s">
        <v>451</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797</v>
      </c>
      <c r="B322" s="286" t="s">
        <v>721</v>
      </c>
      <c r="C322" s="287" t="s">
        <v>451</v>
      </c>
      <c r="D322" s="287" t="s">
        <v>491</v>
      </c>
      <c r="E322" s="287">
        <v>0.0</v>
      </c>
      <c r="F322" s="287" t="s">
        <v>461</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798</v>
      </c>
      <c r="B323" s="286" t="s">
        <v>721</v>
      </c>
      <c r="C323" s="287">
        <v>0.0</v>
      </c>
      <c r="D323" s="287" t="s">
        <v>455</v>
      </c>
      <c r="E323" s="287" t="s">
        <v>451</v>
      </c>
      <c r="F323" s="287" t="s">
        <v>462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799</v>
      </c>
      <c r="B324" s="286" t="s">
        <v>721</v>
      </c>
      <c r="C324" s="287">
        <v>0.0</v>
      </c>
      <c r="D324" s="287" t="s">
        <v>462</v>
      </c>
      <c r="E324" s="287">
        <v>0.0</v>
      </c>
      <c r="F324" s="287" t="s">
        <v>451</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800</v>
      </c>
      <c r="B325" s="286" t="s">
        <v>721</v>
      </c>
      <c r="C325" s="287" t="s">
        <v>451</v>
      </c>
      <c r="D325" s="287" t="s">
        <v>455</v>
      </c>
      <c r="E325" s="287">
        <v>0.0</v>
      </c>
      <c r="F325" s="287" t="s">
        <v>462</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801</v>
      </c>
      <c r="B326" s="286" t="s">
        <v>721</v>
      </c>
      <c r="C326" s="287">
        <v>0.0</v>
      </c>
      <c r="D326" s="287" t="s">
        <v>451</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802</v>
      </c>
      <c r="B327" s="286" t="s">
        <v>721</v>
      </c>
      <c r="C327" s="287">
        <v>0.0</v>
      </c>
      <c r="D327" s="287" t="s">
        <v>451</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803</v>
      </c>
      <c r="B328" s="286" t="s">
        <v>255</v>
      </c>
      <c r="C328" s="287" t="s">
        <v>451</v>
      </c>
      <c r="D328" s="287" t="s">
        <v>455</v>
      </c>
      <c r="E328" s="287">
        <v>0.0</v>
      </c>
      <c r="F328" s="287" t="s">
        <v>451</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804</v>
      </c>
      <c r="B329" s="286" t="s">
        <v>255</v>
      </c>
      <c r="C329" s="287">
        <v>0.0</v>
      </c>
      <c r="D329" s="287" t="s">
        <v>451</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805</v>
      </c>
      <c r="B330" s="286" t="s">
        <v>255</v>
      </c>
      <c r="C330" s="287">
        <v>0.0</v>
      </c>
      <c r="D330" s="287" t="s">
        <v>491</v>
      </c>
      <c r="E330" s="287">
        <v>0.0</v>
      </c>
      <c r="F330" s="287" t="s">
        <v>455</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806</v>
      </c>
      <c r="B331" s="286" t="s">
        <v>255</v>
      </c>
      <c r="C331" s="287">
        <v>0.0</v>
      </c>
      <c r="D331" s="287" t="s">
        <v>461</v>
      </c>
      <c r="E331" s="287">
        <v>0.0</v>
      </c>
      <c r="F331" s="287" t="s">
        <v>462</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807</v>
      </c>
      <c r="B332" s="286" t="s">
        <v>255</v>
      </c>
      <c r="C332" s="287">
        <v>0.0</v>
      </c>
      <c r="D332" s="287" t="s">
        <v>461</v>
      </c>
      <c r="E332" s="287">
        <v>0.0</v>
      </c>
      <c r="F332" s="287" t="s">
        <v>461</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808</v>
      </c>
      <c r="B333" s="286" t="s">
        <v>255</v>
      </c>
      <c r="C333" s="287">
        <v>0.0</v>
      </c>
      <c r="D333" s="287" t="s">
        <v>455</v>
      </c>
      <c r="E333" s="287">
        <v>0.0</v>
      </c>
      <c r="F333" s="287" t="s">
        <v>462</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809</v>
      </c>
      <c r="B334" s="286" t="s">
        <v>255</v>
      </c>
      <c r="C334" s="287" t="s">
        <v>451</v>
      </c>
      <c r="D334" s="287" t="s">
        <v>455</v>
      </c>
      <c r="E334" s="287">
        <v>0.0</v>
      </c>
      <c r="F334" s="287" t="s">
        <v>461</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810</v>
      </c>
      <c r="B335" s="286" t="s">
        <v>255</v>
      </c>
      <c r="C335" s="287">
        <v>0.0</v>
      </c>
      <c r="D335" s="287" t="s">
        <v>457</v>
      </c>
      <c r="E335" s="287">
        <v>0.0</v>
      </c>
      <c r="F335" s="287" t="s">
        <v>455</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811</v>
      </c>
      <c r="B336" s="286" t="s">
        <v>255</v>
      </c>
      <c r="C336" s="287" t="s">
        <v>451</v>
      </c>
      <c r="D336" s="287" t="s">
        <v>461</v>
      </c>
      <c r="E336" s="287" t="s">
        <v>451</v>
      </c>
      <c r="F336" s="287" t="s">
        <v>462</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812</v>
      </c>
      <c r="B337" s="286" t="s">
        <v>255</v>
      </c>
      <c r="C337" s="287" t="s">
        <v>451</v>
      </c>
      <c r="D337" s="287" t="s">
        <v>555</v>
      </c>
      <c r="E337" s="287">
        <v>0.0</v>
      </c>
      <c r="F337" s="287" t="s">
        <v>462</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813</v>
      </c>
      <c r="B338" s="286" t="s">
        <v>255</v>
      </c>
      <c r="C338" s="287" t="s">
        <v>451</v>
      </c>
      <c r="D338" s="287" t="s">
        <v>491</v>
      </c>
      <c r="E338" s="287">
        <v>0.0</v>
      </c>
      <c r="F338" s="287" t="s">
        <v>462</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814</v>
      </c>
      <c r="B339" s="286" t="s">
        <v>255</v>
      </c>
      <c r="C339" s="287">
        <v>0.0</v>
      </c>
      <c r="D339" s="287" t="s">
        <v>455</v>
      </c>
      <c r="E339" s="287">
        <v>0.0</v>
      </c>
      <c r="F339" s="287" t="s">
        <v>462</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815</v>
      </c>
      <c r="B340" s="286" t="s">
        <v>255</v>
      </c>
      <c r="C340" s="287">
        <v>0.0</v>
      </c>
      <c r="D340" s="287" t="s">
        <v>455</v>
      </c>
      <c r="E340" s="287">
        <v>0.0</v>
      </c>
      <c r="F340" s="287" t="s">
        <v>462</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816</v>
      </c>
      <c r="B341" s="286" t="s">
        <v>255</v>
      </c>
      <c r="C341" s="287">
        <v>0.0</v>
      </c>
      <c r="D341" s="287" t="s">
        <v>461</v>
      </c>
      <c r="E341" s="287" t="s">
        <v>451</v>
      </c>
      <c r="F341" s="287" t="s">
        <v>462</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817</v>
      </c>
      <c r="B342" s="286" t="s">
        <v>255</v>
      </c>
      <c r="C342" s="287">
        <v>0.0</v>
      </c>
      <c r="D342" s="287" t="s">
        <v>461</v>
      </c>
      <c r="E342" s="287">
        <v>0.0</v>
      </c>
      <c r="F342" s="287" t="s">
        <v>451</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818</v>
      </c>
      <c r="B343" s="286" t="s">
        <v>255</v>
      </c>
      <c r="C343" s="287">
        <v>0.0</v>
      </c>
      <c r="D343" s="287" t="s">
        <v>451</v>
      </c>
      <c r="E343" s="287">
        <v>0.0</v>
      </c>
      <c r="F343" s="287" t="s">
        <v>462</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819</v>
      </c>
      <c r="B344" s="286" t="s">
        <v>255</v>
      </c>
      <c r="C344" s="287" t="s">
        <v>451</v>
      </c>
      <c r="D344" s="287" t="s">
        <v>483</v>
      </c>
      <c r="E344" s="287">
        <v>0.0</v>
      </c>
      <c r="F344" s="287" t="s">
        <v>455</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820</v>
      </c>
      <c r="B345" s="286" t="s">
        <v>255</v>
      </c>
      <c r="C345" s="287" t="s">
        <v>451</v>
      </c>
      <c r="D345" s="287" t="s">
        <v>457</v>
      </c>
      <c r="E345" s="287" t="s">
        <v>451</v>
      </c>
      <c r="F345" s="287" t="s">
        <v>461</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821</v>
      </c>
      <c r="B346" s="286" t="s">
        <v>255</v>
      </c>
      <c r="C346" s="287">
        <v>0.0</v>
      </c>
      <c r="D346" s="287" t="s">
        <v>491</v>
      </c>
      <c r="E346" s="287">
        <v>0.0</v>
      </c>
      <c r="F346" s="287" t="s">
        <v>461</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822</v>
      </c>
      <c r="B347" s="286" t="s">
        <v>255</v>
      </c>
      <c r="C347" s="287">
        <v>0.0</v>
      </c>
      <c r="D347" s="287" t="s">
        <v>491</v>
      </c>
      <c r="E347" s="287">
        <v>0.0</v>
      </c>
      <c r="F347" s="287" t="s">
        <v>462</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823</v>
      </c>
      <c r="B348" s="286" t="s">
        <v>255</v>
      </c>
      <c r="C348" s="287">
        <v>0.0</v>
      </c>
      <c r="D348" s="287" t="s">
        <v>451</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824</v>
      </c>
      <c r="B349" s="286" t="s">
        <v>255</v>
      </c>
      <c r="C349" s="287" t="s">
        <v>451</v>
      </c>
      <c r="D349" s="287" t="s">
        <v>459</v>
      </c>
      <c r="E349" s="287">
        <v>0.0</v>
      </c>
      <c r="F349" s="287" t="s">
        <v>491</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825</v>
      </c>
      <c r="B350" s="286" t="s">
        <v>255</v>
      </c>
      <c r="C350" s="287">
        <v>0.0</v>
      </c>
      <c r="D350" s="287" t="s">
        <v>461</v>
      </c>
      <c r="E350" s="287">
        <v>0.0</v>
      </c>
      <c r="F350" s="287" t="s">
        <v>462</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826</v>
      </c>
      <c r="B351" s="286" t="s">
        <v>255</v>
      </c>
      <c r="C351" s="287">
        <v>0.0</v>
      </c>
      <c r="D351" s="287" t="s">
        <v>461</v>
      </c>
      <c r="E351" s="287">
        <v>0.0</v>
      </c>
      <c r="F351" s="287" t="s">
        <v>462</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827</v>
      </c>
      <c r="B352" s="286" t="s">
        <v>255</v>
      </c>
      <c r="C352" s="287">
        <v>0.0</v>
      </c>
      <c r="D352" s="287" t="s">
        <v>451</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828</v>
      </c>
      <c r="B353" s="286" t="s">
        <v>255</v>
      </c>
      <c r="C353" s="287">
        <v>0.0</v>
      </c>
      <c r="D353" s="287" t="s">
        <v>461</v>
      </c>
      <c r="E353" s="287">
        <v>0.0</v>
      </c>
      <c r="F353" s="287" t="s">
        <v>462</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829</v>
      </c>
      <c r="B354" s="286" t="s">
        <v>255</v>
      </c>
      <c r="C354" s="287" t="s">
        <v>451</v>
      </c>
      <c r="D354" s="287" t="s">
        <v>457</v>
      </c>
      <c r="E354" s="287">
        <v>0.0</v>
      </c>
      <c r="F354" s="287" t="s">
        <v>461</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830</v>
      </c>
      <c r="B355" s="286" t="s">
        <v>255</v>
      </c>
      <c r="C355" s="287" t="s">
        <v>451</v>
      </c>
      <c r="D355" s="287" t="s">
        <v>491</v>
      </c>
      <c r="E355" s="287">
        <v>0.0</v>
      </c>
      <c r="F355" s="287" t="s">
        <v>461</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831</v>
      </c>
      <c r="B356" s="286" t="s">
        <v>255</v>
      </c>
      <c r="C356" s="287">
        <v>0.0</v>
      </c>
      <c r="D356" s="287" t="s">
        <v>457</v>
      </c>
      <c r="E356" s="287">
        <v>0.0</v>
      </c>
      <c r="F356" s="287" t="s">
        <v>461</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832</v>
      </c>
      <c r="B357" s="286" t="s">
        <v>255</v>
      </c>
      <c r="C357" s="287">
        <v>0.0</v>
      </c>
      <c r="D357" s="287">
        <v>0.0</v>
      </c>
      <c r="E357" s="287">
        <v>0.0</v>
      </c>
      <c r="F357" s="287" t="s">
        <v>451</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833</v>
      </c>
      <c r="B358" s="286" t="s">
        <v>255</v>
      </c>
      <c r="C358" s="287">
        <v>0.0</v>
      </c>
      <c r="D358" s="287" t="s">
        <v>491</v>
      </c>
      <c r="E358" s="287">
        <v>0.0</v>
      </c>
      <c r="F358" s="287" t="s">
        <v>461</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834</v>
      </c>
      <c r="B359" s="286" t="s">
        <v>255</v>
      </c>
      <c r="C359" s="287" t="s">
        <v>451</v>
      </c>
      <c r="D359" s="287" t="s">
        <v>547</v>
      </c>
      <c r="E359" s="287" t="s">
        <v>451</v>
      </c>
      <c r="F359" s="287" t="s">
        <v>462</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835</v>
      </c>
      <c r="B360" s="286" t="s">
        <v>255</v>
      </c>
      <c r="C360" s="287">
        <v>0.0</v>
      </c>
      <c r="D360" s="287" t="s">
        <v>451</v>
      </c>
      <c r="E360" s="287">
        <v>0.0</v>
      </c>
      <c r="F360" s="287" t="s">
        <v>451</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836</v>
      </c>
      <c r="B361" s="286" t="s">
        <v>255</v>
      </c>
      <c r="C361" s="287" t="s">
        <v>451</v>
      </c>
      <c r="D361" s="287" t="s">
        <v>455</v>
      </c>
      <c r="E361" s="287" t="s">
        <v>451</v>
      </c>
      <c r="F361" s="287" t="s">
        <v>462</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837</v>
      </c>
      <c r="B362" s="286" t="s">
        <v>255</v>
      </c>
      <c r="C362" s="287" t="s">
        <v>451</v>
      </c>
      <c r="D362" s="287" t="s">
        <v>455</v>
      </c>
      <c r="E362" s="287">
        <v>0.0</v>
      </c>
      <c r="F362" s="287" t="s">
        <v>451</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838</v>
      </c>
      <c r="B363" s="286" t="s">
        <v>255</v>
      </c>
      <c r="C363" s="287">
        <v>0.0</v>
      </c>
      <c r="D363" s="287" t="s">
        <v>461</v>
      </c>
      <c r="E363" s="287">
        <v>0.0</v>
      </c>
      <c r="F363" s="287" t="s">
        <v>455</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839</v>
      </c>
      <c r="B364" s="286" t="s">
        <v>255</v>
      </c>
      <c r="C364" s="287" t="s">
        <v>451</v>
      </c>
      <c r="D364" s="287" t="s">
        <v>461</v>
      </c>
      <c r="E364" s="287">
        <v>0.0</v>
      </c>
      <c r="F364" s="287" t="s">
        <v>455</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840</v>
      </c>
      <c r="B365" s="286" t="s">
        <v>255</v>
      </c>
      <c r="C365" s="287" t="s">
        <v>451</v>
      </c>
      <c r="D365" s="287" t="s">
        <v>491</v>
      </c>
      <c r="E365" s="287">
        <v>0.0</v>
      </c>
      <c r="F365" s="287" t="s">
        <v>462</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841</v>
      </c>
      <c r="B366" s="286" t="s">
        <v>255</v>
      </c>
      <c r="C366" s="287">
        <v>0.0</v>
      </c>
      <c r="D366" s="287" t="s">
        <v>491</v>
      </c>
      <c r="E366" s="287">
        <v>0.0</v>
      </c>
      <c r="F366" s="287" t="s">
        <v>462</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842</v>
      </c>
      <c r="B367" s="286" t="s">
        <v>255</v>
      </c>
      <c r="C367" s="287">
        <v>0.0</v>
      </c>
      <c r="D367" s="287" t="s">
        <v>455</v>
      </c>
      <c r="E367" s="287">
        <v>0.0</v>
      </c>
      <c r="F367" s="287" t="s">
        <v>455</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843</v>
      </c>
      <c r="B368" s="286" t="s">
        <v>255</v>
      </c>
      <c r="C368" s="287">
        <v>0.0</v>
      </c>
      <c r="D368" s="287" t="s">
        <v>455</v>
      </c>
      <c r="E368" s="287">
        <v>0.0</v>
      </c>
      <c r="F368" s="287" t="s">
        <v>451</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844</v>
      </c>
      <c r="B369" s="286" t="s">
        <v>255</v>
      </c>
      <c r="C369" s="287">
        <v>0.0</v>
      </c>
      <c r="D369" s="287" t="s">
        <v>455</v>
      </c>
      <c r="E369" s="287" t="s">
        <v>451</v>
      </c>
      <c r="F369" s="287" t="s">
        <v>462</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845</v>
      </c>
      <c r="B370" s="286" t="s">
        <v>255</v>
      </c>
      <c r="C370" s="287">
        <v>0.0</v>
      </c>
      <c r="D370" s="287" t="s">
        <v>455</v>
      </c>
      <c r="E370" s="287">
        <v>0.0</v>
      </c>
      <c r="F370" s="287" t="s">
        <v>455</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846</v>
      </c>
      <c r="B371" s="286" t="s">
        <v>255</v>
      </c>
      <c r="C371" s="287" t="s">
        <v>451</v>
      </c>
      <c r="D371" s="287" t="s">
        <v>491</v>
      </c>
      <c r="E371" s="287">
        <v>0.0</v>
      </c>
      <c r="F371" s="287" t="s">
        <v>462</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847</v>
      </c>
      <c r="B372" s="286" t="s">
        <v>255</v>
      </c>
      <c r="C372" s="287">
        <v>0.0</v>
      </c>
      <c r="D372" s="287" t="s">
        <v>455</v>
      </c>
      <c r="E372" s="287">
        <v>0.0</v>
      </c>
      <c r="F372" s="287" t="s">
        <v>461</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848</v>
      </c>
      <c r="B373" s="286" t="s">
        <v>255</v>
      </c>
      <c r="C373" s="287" t="s">
        <v>451</v>
      </c>
      <c r="D373" s="287" t="s">
        <v>457</v>
      </c>
      <c r="E373" s="287">
        <v>0.0</v>
      </c>
      <c r="F373" s="287" t="s">
        <v>462</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849</v>
      </c>
      <c r="B374" s="286" t="s">
        <v>850</v>
      </c>
      <c r="C374" s="287">
        <v>0.0</v>
      </c>
      <c r="D374" s="287" t="s">
        <v>462</v>
      </c>
      <c r="E374" s="287">
        <v>0.0</v>
      </c>
      <c r="F374" s="287" t="s">
        <v>451</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851</v>
      </c>
      <c r="B375" s="286" t="s">
        <v>852</v>
      </c>
      <c r="C375" s="287">
        <v>0.0</v>
      </c>
      <c r="D375" s="287" t="s">
        <v>461</v>
      </c>
      <c r="E375" s="287">
        <v>0.0</v>
      </c>
      <c r="F375" s="287" t="s">
        <v>451</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853</v>
      </c>
      <c r="B376" s="286" t="s">
        <v>852</v>
      </c>
      <c r="C376" s="287">
        <v>0.0</v>
      </c>
      <c r="D376" s="287" t="s">
        <v>451</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854</v>
      </c>
      <c r="B377" s="286" t="s">
        <v>855</v>
      </c>
      <c r="C377" s="287">
        <v>0.0</v>
      </c>
      <c r="D377" s="287" t="s">
        <v>451</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856</v>
      </c>
      <c r="B378" s="286" t="s">
        <v>257</v>
      </c>
      <c r="C378" s="287">
        <v>0.0</v>
      </c>
      <c r="D378" s="287" t="s">
        <v>462</v>
      </c>
      <c r="E378" s="287">
        <v>0.0</v>
      </c>
      <c r="F378" s="287" t="s">
        <v>451</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857</v>
      </c>
      <c r="B379" s="286" t="s">
        <v>257</v>
      </c>
      <c r="C379" s="287">
        <v>0.0</v>
      </c>
      <c r="D379" s="287" t="s">
        <v>462</v>
      </c>
      <c r="E379" s="287">
        <v>0.0</v>
      </c>
      <c r="F379" s="287" t="s">
        <v>451</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858</v>
      </c>
      <c r="B380" s="286" t="s">
        <v>257</v>
      </c>
      <c r="C380" s="287">
        <v>0.0</v>
      </c>
      <c r="D380" s="287" t="s">
        <v>462</v>
      </c>
      <c r="E380" s="287">
        <v>0.0</v>
      </c>
      <c r="F380" s="287" t="s">
        <v>451</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859</v>
      </c>
      <c r="B381" s="286" t="s">
        <v>257</v>
      </c>
      <c r="C381" s="287" t="s">
        <v>451</v>
      </c>
      <c r="D381" s="287" t="s">
        <v>455</v>
      </c>
      <c r="E381" s="287">
        <v>0.0</v>
      </c>
      <c r="F381" s="287" t="s">
        <v>462</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860</v>
      </c>
      <c r="B382" s="286" t="s">
        <v>257</v>
      </c>
      <c r="C382" s="287" t="s">
        <v>451</v>
      </c>
      <c r="D382" s="287" t="s">
        <v>461</v>
      </c>
      <c r="E382" s="287">
        <v>0.0</v>
      </c>
      <c r="F382" s="287" t="s">
        <v>451</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861</v>
      </c>
      <c r="B383" s="286" t="s">
        <v>861</v>
      </c>
      <c r="C383" s="287">
        <v>0.0</v>
      </c>
      <c r="D383" s="287" t="s">
        <v>455</v>
      </c>
      <c r="E383" s="287">
        <v>0.0</v>
      </c>
      <c r="F383" s="287" t="s">
        <v>462</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862</v>
      </c>
      <c r="B384" s="286" t="s">
        <v>863</v>
      </c>
      <c r="C384" s="287">
        <v>0.0</v>
      </c>
      <c r="D384" s="287" t="s">
        <v>451</v>
      </c>
      <c r="E384" s="287">
        <v>0.0</v>
      </c>
      <c r="F384" s="287" t="s">
        <v>451</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864</v>
      </c>
      <c r="B385" s="286" t="s">
        <v>258</v>
      </c>
      <c r="C385" s="287">
        <v>0.0</v>
      </c>
      <c r="D385" s="287" t="s">
        <v>455</v>
      </c>
      <c r="E385" s="287" t="s">
        <v>451</v>
      </c>
      <c r="F385" s="287" t="s">
        <v>462</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865</v>
      </c>
      <c r="B386" s="286" t="s">
        <v>258</v>
      </c>
      <c r="C386" s="287">
        <v>0.0</v>
      </c>
      <c r="D386" s="287" t="s">
        <v>451</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866</v>
      </c>
      <c r="B387" s="286" t="s">
        <v>258</v>
      </c>
      <c r="C387" s="287" t="s">
        <v>451</v>
      </c>
      <c r="D387" s="287" t="s">
        <v>455</v>
      </c>
      <c r="E387" s="287">
        <v>0.0</v>
      </c>
      <c r="F387" s="287" t="s">
        <v>462</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867</v>
      </c>
      <c r="B388" s="286" t="s">
        <v>258</v>
      </c>
      <c r="C388" s="287">
        <v>0.0</v>
      </c>
      <c r="D388" s="287" t="s">
        <v>462</v>
      </c>
      <c r="E388" s="287">
        <v>0.0</v>
      </c>
      <c r="F388" s="287" t="s">
        <v>462</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868</v>
      </c>
      <c r="B389" s="286" t="s">
        <v>258</v>
      </c>
      <c r="C389" s="287" t="s">
        <v>451</v>
      </c>
      <c r="D389" s="287" t="s">
        <v>504</v>
      </c>
      <c r="E389" s="287">
        <v>0.0</v>
      </c>
      <c r="F389" s="287" t="s">
        <v>455</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869</v>
      </c>
      <c r="B390" s="286" t="s">
        <v>258</v>
      </c>
      <c r="C390" s="287" t="s">
        <v>451</v>
      </c>
      <c r="D390" s="287" t="s">
        <v>483</v>
      </c>
      <c r="E390" s="287">
        <v>0.0</v>
      </c>
      <c r="F390" s="287" t="s">
        <v>455</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870</v>
      </c>
      <c r="B391" s="286" t="s">
        <v>258</v>
      </c>
      <c r="C391" s="287" t="s">
        <v>451</v>
      </c>
      <c r="D391" s="287" t="s">
        <v>491</v>
      </c>
      <c r="E391" s="287">
        <v>0.0</v>
      </c>
      <c r="F391" s="287" t="s">
        <v>451</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871</v>
      </c>
      <c r="B392" s="286" t="s">
        <v>259</v>
      </c>
      <c r="C392" s="287" t="s">
        <v>451</v>
      </c>
      <c r="D392" s="287" t="s">
        <v>461</v>
      </c>
      <c r="E392" s="287">
        <v>0.0</v>
      </c>
      <c r="F392" s="287" t="s">
        <v>462</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872</v>
      </c>
      <c r="B393" s="286" t="s">
        <v>259</v>
      </c>
      <c r="C393" s="287" t="s">
        <v>451</v>
      </c>
      <c r="D393" s="287" t="s">
        <v>461</v>
      </c>
      <c r="E393" s="287">
        <v>0.0</v>
      </c>
      <c r="F393" s="287" t="s">
        <v>462</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873</v>
      </c>
      <c r="B394" s="286" t="s">
        <v>259</v>
      </c>
      <c r="C394" s="287">
        <v>0.0</v>
      </c>
      <c r="D394" s="287" t="s">
        <v>455</v>
      </c>
      <c r="E394" s="287">
        <v>0.0</v>
      </c>
      <c r="F394" s="287" t="s">
        <v>451</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874</v>
      </c>
      <c r="B395" s="286" t="s">
        <v>259</v>
      </c>
      <c r="C395" s="287" t="s">
        <v>451</v>
      </c>
      <c r="D395" s="287" t="s">
        <v>455</v>
      </c>
      <c r="E395" s="287">
        <v>0.0</v>
      </c>
      <c r="F395" s="287" t="s">
        <v>462</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875</v>
      </c>
      <c r="B396" s="286" t="s">
        <v>259</v>
      </c>
      <c r="C396" s="287" t="s">
        <v>451</v>
      </c>
      <c r="D396" s="287" t="s">
        <v>459</v>
      </c>
      <c r="E396" s="287" t="s">
        <v>451</v>
      </c>
      <c r="F396" s="287" t="s">
        <v>455</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876</v>
      </c>
      <c r="B397" s="286" t="s">
        <v>259</v>
      </c>
      <c r="C397" s="287" t="s">
        <v>451</v>
      </c>
      <c r="D397" s="287" t="s">
        <v>451</v>
      </c>
      <c r="E397" s="287">
        <v>0.0</v>
      </c>
      <c r="F397" s="287" t="s">
        <v>451</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877</v>
      </c>
      <c r="B398" s="286" t="s">
        <v>259</v>
      </c>
      <c r="C398" s="287" t="s">
        <v>451</v>
      </c>
      <c r="D398" s="287" t="s">
        <v>462</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878</v>
      </c>
      <c r="B399" s="286" t="s">
        <v>879</v>
      </c>
      <c r="C399" s="287">
        <v>0.0</v>
      </c>
      <c r="D399" s="287" t="s">
        <v>451</v>
      </c>
      <c r="E399" s="287" t="s">
        <v>451</v>
      </c>
      <c r="F399" s="287" t="s">
        <v>462</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880</v>
      </c>
      <c r="B400" s="286" t="s">
        <v>880</v>
      </c>
      <c r="C400" s="287" t="s">
        <v>451</v>
      </c>
      <c r="D400" s="287" t="s">
        <v>455</v>
      </c>
      <c r="E400" s="287">
        <v>0.0</v>
      </c>
      <c r="F400" s="287" t="s">
        <v>451</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881</v>
      </c>
      <c r="B401" s="286" t="s">
        <v>881</v>
      </c>
      <c r="C401" s="287" t="s">
        <v>451</v>
      </c>
      <c r="D401" s="287" t="s">
        <v>455</v>
      </c>
      <c r="E401" s="287">
        <v>0.0</v>
      </c>
      <c r="F401" s="287" t="s">
        <v>451</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882</v>
      </c>
      <c r="B402" s="286" t="s">
        <v>882</v>
      </c>
      <c r="C402" s="287">
        <v>0.0</v>
      </c>
      <c r="D402" s="287" t="s">
        <v>455</v>
      </c>
      <c r="E402" s="287">
        <v>0.0</v>
      </c>
      <c r="F402" s="287" t="s">
        <v>451</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883</v>
      </c>
      <c r="B403" s="286" t="s">
        <v>260</v>
      </c>
      <c r="C403" s="287">
        <v>0.0</v>
      </c>
      <c r="D403" s="287" t="s">
        <v>455</v>
      </c>
      <c r="E403" s="287">
        <v>0.0</v>
      </c>
      <c r="F403" s="287" t="s">
        <v>451</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884</v>
      </c>
      <c r="B404" s="286" t="s">
        <v>260</v>
      </c>
      <c r="C404" s="287">
        <v>0.0</v>
      </c>
      <c r="D404" s="287" t="s">
        <v>462</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885</v>
      </c>
      <c r="B405" s="286" t="s">
        <v>260</v>
      </c>
      <c r="C405" s="287">
        <v>0.0</v>
      </c>
      <c r="D405" s="287" t="s">
        <v>491</v>
      </c>
      <c r="E405" s="287">
        <v>0.0</v>
      </c>
      <c r="F405" s="287" t="s">
        <v>451</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886</v>
      </c>
      <c r="B406" s="286" t="s">
        <v>260</v>
      </c>
      <c r="C406" s="287" t="s">
        <v>451</v>
      </c>
      <c r="D406" s="287" t="s">
        <v>491</v>
      </c>
      <c r="E406" s="287">
        <v>0.0</v>
      </c>
      <c r="F406" s="287" t="s">
        <v>451</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887</v>
      </c>
      <c r="B407" s="286" t="s">
        <v>260</v>
      </c>
      <c r="C407" s="287">
        <v>0.0</v>
      </c>
      <c r="D407" s="287" t="s">
        <v>455</v>
      </c>
      <c r="E407" s="287">
        <v>0.0</v>
      </c>
      <c r="F407" s="287" t="s">
        <v>451</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888</v>
      </c>
      <c r="B408" s="286" t="s">
        <v>888</v>
      </c>
      <c r="C408" s="287">
        <v>0.0</v>
      </c>
      <c r="D408" s="287">
        <v>0.0</v>
      </c>
      <c r="E408" s="287">
        <v>0.0</v>
      </c>
      <c r="F408" s="287" t="s">
        <v>451</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889</v>
      </c>
      <c r="B409" s="286" t="s">
        <v>890</v>
      </c>
      <c r="C409" s="287">
        <v>0.0</v>
      </c>
      <c r="D409" s="287" t="s">
        <v>462</v>
      </c>
      <c r="E409" s="287" t="s">
        <v>451</v>
      </c>
      <c r="F409" s="287" t="s">
        <v>451</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891</v>
      </c>
      <c r="B410" s="286" t="s">
        <v>892</v>
      </c>
      <c r="C410" s="287">
        <v>0.0</v>
      </c>
      <c r="D410" s="287" t="s">
        <v>451</v>
      </c>
      <c r="E410" s="287">
        <v>0.0</v>
      </c>
      <c r="F410" s="287" t="s">
        <v>451</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893</v>
      </c>
      <c r="B411" s="286" t="s">
        <v>262</v>
      </c>
      <c r="C411" s="287">
        <v>0.0</v>
      </c>
      <c r="D411" s="287" t="s">
        <v>461</v>
      </c>
      <c r="E411" s="287">
        <v>0.0</v>
      </c>
      <c r="F411" s="287" t="s">
        <v>462</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894</v>
      </c>
      <c r="B412" s="286" t="s">
        <v>262</v>
      </c>
      <c r="C412" s="287">
        <v>0.0</v>
      </c>
      <c r="D412" s="287" t="s">
        <v>462</v>
      </c>
      <c r="E412" s="287">
        <v>0.0</v>
      </c>
      <c r="F412" s="287" t="s">
        <v>451</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895</v>
      </c>
      <c r="B413" s="286" t="s">
        <v>262</v>
      </c>
      <c r="C413" s="287">
        <v>0.0</v>
      </c>
      <c r="D413" s="287" t="s">
        <v>462</v>
      </c>
      <c r="E413" s="287">
        <v>0.0</v>
      </c>
      <c r="F413" s="287" t="s">
        <v>451</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896</v>
      </c>
      <c r="B414" s="286" t="s">
        <v>262</v>
      </c>
      <c r="C414" s="287">
        <v>0.0</v>
      </c>
      <c r="D414" s="287" t="s">
        <v>462</v>
      </c>
      <c r="E414" s="287">
        <v>0.0</v>
      </c>
      <c r="F414" s="287" t="s">
        <v>462</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897</v>
      </c>
      <c r="B415" s="286" t="s">
        <v>262</v>
      </c>
      <c r="C415" s="287">
        <v>0.0</v>
      </c>
      <c r="D415" s="287" t="s">
        <v>462</v>
      </c>
      <c r="E415" s="287">
        <v>0.0</v>
      </c>
      <c r="F415" s="287" t="s">
        <v>451</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898</v>
      </c>
      <c r="B416" s="286" t="s">
        <v>262</v>
      </c>
      <c r="C416" s="287">
        <v>0.0</v>
      </c>
      <c r="D416" s="287" t="s">
        <v>451</v>
      </c>
      <c r="E416" s="287">
        <v>0.0</v>
      </c>
      <c r="F416" s="287" t="s">
        <v>451</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899</v>
      </c>
      <c r="B417" s="286" t="s">
        <v>262</v>
      </c>
      <c r="C417" s="287" t="s">
        <v>451</v>
      </c>
      <c r="D417" s="287" t="s">
        <v>462</v>
      </c>
      <c r="E417" s="287">
        <v>0.0</v>
      </c>
      <c r="F417" s="287" t="s">
        <v>451</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900</v>
      </c>
      <c r="B418" s="286" t="s">
        <v>262</v>
      </c>
      <c r="C418" s="287">
        <v>0.0</v>
      </c>
      <c r="D418" s="287" t="s">
        <v>451</v>
      </c>
      <c r="E418" s="287">
        <v>0.0</v>
      </c>
      <c r="F418" s="287" t="s">
        <v>451</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901</v>
      </c>
      <c r="B419" s="286" t="s">
        <v>262</v>
      </c>
      <c r="C419" s="287" t="s">
        <v>451</v>
      </c>
      <c r="D419" s="287" t="s">
        <v>462</v>
      </c>
      <c r="E419" s="287">
        <v>0.0</v>
      </c>
      <c r="F419" s="287" t="s">
        <v>451</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902</v>
      </c>
      <c r="B420" s="286" t="s">
        <v>262</v>
      </c>
      <c r="C420" s="287">
        <v>0.0</v>
      </c>
      <c r="D420" s="287" t="s">
        <v>462</v>
      </c>
      <c r="E420" s="287">
        <v>0.0</v>
      </c>
      <c r="F420" s="287" t="s">
        <v>462</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903</v>
      </c>
      <c r="B421" s="286" t="s">
        <v>262</v>
      </c>
      <c r="C421" s="287" t="s">
        <v>451</v>
      </c>
      <c r="D421" s="287" t="s">
        <v>462</v>
      </c>
      <c r="E421" s="287">
        <v>0.0</v>
      </c>
      <c r="F421" s="287" t="s">
        <v>451</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904</v>
      </c>
      <c r="B422" s="286" t="s">
        <v>262</v>
      </c>
      <c r="C422" s="287" t="s">
        <v>451</v>
      </c>
      <c r="D422" s="287" t="s">
        <v>455</v>
      </c>
      <c r="E422" s="287">
        <v>0.0</v>
      </c>
      <c r="F422" s="287" t="s">
        <v>451</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905</v>
      </c>
      <c r="B423" s="286" t="s">
        <v>262</v>
      </c>
      <c r="C423" s="287">
        <v>0.0</v>
      </c>
      <c r="D423" s="287" t="s">
        <v>455</v>
      </c>
      <c r="E423" s="287" t="s">
        <v>451</v>
      </c>
      <c r="F423" s="287" t="s">
        <v>462</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906</v>
      </c>
      <c r="B424" s="286" t="s">
        <v>262</v>
      </c>
      <c r="C424" s="287" t="s">
        <v>451</v>
      </c>
      <c r="D424" s="287" t="s">
        <v>491</v>
      </c>
      <c r="E424" s="287" t="s">
        <v>451</v>
      </c>
      <c r="F424" s="287" t="s">
        <v>451</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907</v>
      </c>
      <c r="B425" s="286" t="s">
        <v>262</v>
      </c>
      <c r="C425" s="287">
        <v>0.0</v>
      </c>
      <c r="D425" s="287" t="s">
        <v>451</v>
      </c>
      <c r="E425" s="287">
        <v>0.0</v>
      </c>
      <c r="F425" s="287" t="s">
        <v>451</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908</v>
      </c>
      <c r="B426" s="286" t="s">
        <v>262</v>
      </c>
      <c r="C426" s="287">
        <v>0.0</v>
      </c>
      <c r="D426" s="287" t="s">
        <v>451</v>
      </c>
      <c r="E426" s="287">
        <v>0.0</v>
      </c>
      <c r="F426" s="287" t="s">
        <v>451</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909</v>
      </c>
      <c r="B427" s="286" t="s">
        <v>262</v>
      </c>
      <c r="C427" s="287">
        <v>0.0</v>
      </c>
      <c r="D427" s="287" t="s">
        <v>462</v>
      </c>
      <c r="E427" s="287">
        <v>0.0</v>
      </c>
      <c r="F427" s="287" t="s">
        <v>451</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910</v>
      </c>
      <c r="B428" s="286" t="s">
        <v>262</v>
      </c>
      <c r="C428" s="287">
        <v>0.0</v>
      </c>
      <c r="D428" s="287" t="s">
        <v>462</v>
      </c>
      <c r="E428" s="287">
        <v>0.0</v>
      </c>
      <c r="F428" s="287" t="s">
        <v>461</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911</v>
      </c>
      <c r="B429" s="286" t="s">
        <v>262</v>
      </c>
      <c r="C429" s="287">
        <v>0.0</v>
      </c>
      <c r="D429" s="287">
        <v>0.0</v>
      </c>
      <c r="E429" s="287">
        <v>0.0</v>
      </c>
      <c r="F429" s="287" t="s">
        <v>451</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912</v>
      </c>
      <c r="B430" s="286" t="s">
        <v>262</v>
      </c>
      <c r="C430" s="287">
        <v>0.0</v>
      </c>
      <c r="D430" s="287" t="s">
        <v>462</v>
      </c>
      <c r="E430" s="287">
        <v>0.0</v>
      </c>
      <c r="F430" s="287" t="s">
        <v>451</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913</v>
      </c>
      <c r="B431" s="286" t="s">
        <v>913</v>
      </c>
      <c r="C431" s="287">
        <v>0.0</v>
      </c>
      <c r="D431" s="287" t="s">
        <v>451</v>
      </c>
      <c r="E431" s="287">
        <v>0.0</v>
      </c>
      <c r="F431" s="287" t="s">
        <v>462</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914</v>
      </c>
      <c r="B432" s="286" t="s">
        <v>264</v>
      </c>
      <c r="C432" s="287">
        <v>0.0</v>
      </c>
      <c r="D432" s="287" t="s">
        <v>462</v>
      </c>
      <c r="E432" s="287">
        <v>0.0</v>
      </c>
      <c r="F432" s="287" t="s">
        <v>451</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915</v>
      </c>
      <c r="B433" s="286" t="s">
        <v>264</v>
      </c>
      <c r="C433" s="287" t="s">
        <v>451</v>
      </c>
      <c r="D433" s="287" t="s">
        <v>457</v>
      </c>
      <c r="E433" s="287">
        <v>0.0</v>
      </c>
      <c r="F433" s="287" t="s">
        <v>462</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916</v>
      </c>
      <c r="B434" s="286" t="s">
        <v>264</v>
      </c>
      <c r="C434" s="287" t="s">
        <v>451</v>
      </c>
      <c r="D434" s="287" t="s">
        <v>462</v>
      </c>
      <c r="E434" s="287">
        <v>0.0</v>
      </c>
      <c r="F434" s="287" t="s">
        <v>451</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917</v>
      </c>
      <c r="B435" s="286" t="s">
        <v>264</v>
      </c>
      <c r="C435" s="287" t="s">
        <v>451</v>
      </c>
      <c r="D435" s="287" t="s">
        <v>451</v>
      </c>
      <c r="E435" s="287">
        <v>0.0</v>
      </c>
      <c r="F435" s="287" t="s">
        <v>451</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918</v>
      </c>
      <c r="B436" s="286" t="s">
        <v>264</v>
      </c>
      <c r="C436" s="287">
        <v>0.0</v>
      </c>
      <c r="D436" s="287" t="s">
        <v>451</v>
      </c>
      <c r="E436" s="287">
        <v>0.0</v>
      </c>
      <c r="F436" s="287" t="s">
        <v>451</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919</v>
      </c>
      <c r="B437" s="286" t="s">
        <v>264</v>
      </c>
      <c r="C437" s="287" t="s">
        <v>451</v>
      </c>
      <c r="D437" s="287" t="s">
        <v>457</v>
      </c>
      <c r="E437" s="287">
        <v>0.0</v>
      </c>
      <c r="F437" s="287" t="s">
        <v>462</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920</v>
      </c>
      <c r="B438" s="286" t="s">
        <v>265</v>
      </c>
      <c r="C438" s="287" t="s">
        <v>451</v>
      </c>
      <c r="D438" s="287" t="s">
        <v>455</v>
      </c>
      <c r="E438" s="287">
        <v>0.0</v>
      </c>
      <c r="F438" s="287" t="s">
        <v>462</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921</v>
      </c>
      <c r="B439" s="286" t="s">
        <v>265</v>
      </c>
      <c r="C439" s="287" t="s">
        <v>451</v>
      </c>
      <c r="D439" s="287" t="s">
        <v>461</v>
      </c>
      <c r="E439" s="287">
        <v>0.0</v>
      </c>
      <c r="F439" s="287" t="s">
        <v>451</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922</v>
      </c>
      <c r="B440" s="286" t="s">
        <v>265</v>
      </c>
      <c r="C440" s="287">
        <v>0.0</v>
      </c>
      <c r="D440" s="287" t="s">
        <v>455</v>
      </c>
      <c r="E440" s="287">
        <v>0.0</v>
      </c>
      <c r="F440" s="287" t="s">
        <v>462</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923</v>
      </c>
      <c r="B441" s="286" t="s">
        <v>265</v>
      </c>
      <c r="C441" s="287" t="s">
        <v>451</v>
      </c>
      <c r="D441" s="287" t="s">
        <v>459</v>
      </c>
      <c r="E441" s="287">
        <v>0.0</v>
      </c>
      <c r="F441" s="287" t="s">
        <v>455</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924</v>
      </c>
      <c r="B442" s="286" t="s">
        <v>265</v>
      </c>
      <c r="C442" s="287">
        <v>0.0</v>
      </c>
      <c r="D442" s="287" t="s">
        <v>451</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925</v>
      </c>
      <c r="B443" s="286" t="s">
        <v>265</v>
      </c>
      <c r="C443" s="287" t="s">
        <v>451</v>
      </c>
      <c r="D443" s="287" t="s">
        <v>483</v>
      </c>
      <c r="E443" s="287">
        <v>0.0</v>
      </c>
      <c r="F443" s="287" t="s">
        <v>455</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926</v>
      </c>
      <c r="B444" s="286" t="s">
        <v>266</v>
      </c>
      <c r="C444" s="287" t="s">
        <v>451</v>
      </c>
      <c r="D444" s="287" t="s">
        <v>462</v>
      </c>
      <c r="E444" s="287">
        <v>0.0</v>
      </c>
      <c r="F444" s="287" t="s">
        <v>462</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927</v>
      </c>
      <c r="B445" s="286" t="s">
        <v>266</v>
      </c>
      <c r="C445" s="287">
        <v>0.0</v>
      </c>
      <c r="D445" s="287" t="s">
        <v>462</v>
      </c>
      <c r="E445" s="287" t="s">
        <v>451</v>
      </c>
      <c r="F445" s="287" t="s">
        <v>451</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928</v>
      </c>
      <c r="B446" s="286" t="s">
        <v>266</v>
      </c>
      <c r="C446" s="287" t="s">
        <v>451</v>
      </c>
      <c r="D446" s="287" t="s">
        <v>462</v>
      </c>
      <c r="E446" s="287">
        <v>0.0</v>
      </c>
      <c r="F446" s="287" t="s">
        <v>451</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929</v>
      </c>
      <c r="B447" s="286" t="s">
        <v>266</v>
      </c>
      <c r="C447" s="287">
        <v>0.0</v>
      </c>
      <c r="D447" s="287" t="s">
        <v>451</v>
      </c>
      <c r="E447" s="287">
        <v>0.0</v>
      </c>
      <c r="F447" s="287" t="s">
        <v>451</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930</v>
      </c>
      <c r="B448" s="286" t="s">
        <v>266</v>
      </c>
      <c r="C448" s="287">
        <v>0.0</v>
      </c>
      <c r="D448" s="287" t="s">
        <v>455</v>
      </c>
      <c r="E448" s="287">
        <v>0.0</v>
      </c>
      <c r="F448" s="287" t="s">
        <v>451</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931</v>
      </c>
      <c r="B449" s="286" t="s">
        <v>266</v>
      </c>
      <c r="C449" s="287" t="s">
        <v>451</v>
      </c>
      <c r="D449" s="287" t="s">
        <v>455</v>
      </c>
      <c r="E449" s="287">
        <v>0.0</v>
      </c>
      <c r="F449" s="287" t="s">
        <v>462</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932</v>
      </c>
      <c r="B450" s="286" t="s">
        <v>266</v>
      </c>
      <c r="C450" s="287">
        <v>0.0</v>
      </c>
      <c r="D450" s="287" t="s">
        <v>451</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933</v>
      </c>
      <c r="B451" s="286" t="s">
        <v>266</v>
      </c>
      <c r="C451" s="287">
        <v>0.0</v>
      </c>
      <c r="D451" s="287" t="s">
        <v>455</v>
      </c>
      <c r="E451" s="287">
        <v>0.0</v>
      </c>
      <c r="F451" s="287" t="s">
        <v>461</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934</v>
      </c>
      <c r="B452" s="286" t="s">
        <v>266</v>
      </c>
      <c r="C452" s="287" t="s">
        <v>451</v>
      </c>
      <c r="D452" s="287" t="s">
        <v>462</v>
      </c>
      <c r="E452" s="287" t="s">
        <v>451</v>
      </c>
      <c r="F452" s="287" t="s">
        <v>461</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935</v>
      </c>
      <c r="B453" s="286" t="s">
        <v>266</v>
      </c>
      <c r="C453" s="287">
        <v>0.0</v>
      </c>
      <c r="D453" s="287" t="s">
        <v>462</v>
      </c>
      <c r="E453" s="287">
        <v>0.0</v>
      </c>
      <c r="F453" s="287" t="s">
        <v>462</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936</v>
      </c>
      <c r="B454" s="286" t="s">
        <v>937</v>
      </c>
      <c r="C454" s="287" t="s">
        <v>451</v>
      </c>
      <c r="D454" s="287" t="s">
        <v>938</v>
      </c>
      <c r="E454" s="287" t="s">
        <v>451</v>
      </c>
      <c r="F454" s="287" t="s">
        <v>939</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940</v>
      </c>
      <c r="C455" s="291" t="s">
        <v>941</v>
      </c>
      <c r="D455" s="291" t="s">
        <v>942</v>
      </c>
      <c r="E455" s="291" t="s">
        <v>545</v>
      </c>
      <c r="F455" s="291" t="s">
        <v>943</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944</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945</v>
      </c>
      <c r="B457" s="286" t="s">
        <v>450</v>
      </c>
      <c r="C457" s="287">
        <v>0.0</v>
      </c>
      <c r="D457" s="287" t="s">
        <v>451</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452</v>
      </c>
      <c r="B458" s="286" t="s">
        <v>450</v>
      </c>
      <c r="C458" s="287">
        <v>0.0</v>
      </c>
      <c r="D458" s="287" t="s">
        <v>461</v>
      </c>
      <c r="E458" s="287">
        <v>0.0</v>
      </c>
      <c r="F458" s="287" t="s">
        <v>451</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453</v>
      </c>
      <c r="B459" s="286" t="s">
        <v>450</v>
      </c>
      <c r="C459" s="287">
        <v>0.0</v>
      </c>
      <c r="D459" s="287" t="s">
        <v>462</v>
      </c>
      <c r="E459" s="287">
        <v>0.0</v>
      </c>
      <c r="F459" s="287" t="s">
        <v>451</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454</v>
      </c>
      <c r="B460" s="286" t="s">
        <v>450</v>
      </c>
      <c r="C460" s="287">
        <v>0.0</v>
      </c>
      <c r="D460" s="287" t="s">
        <v>946</v>
      </c>
      <c r="E460" s="287">
        <v>0.0</v>
      </c>
      <c r="F460" s="287" t="s">
        <v>462</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456</v>
      </c>
      <c r="B461" s="286" t="s">
        <v>228</v>
      </c>
      <c r="C461" s="287" t="s">
        <v>451</v>
      </c>
      <c r="D461" s="287" t="s">
        <v>545</v>
      </c>
      <c r="E461" s="287">
        <v>0.0</v>
      </c>
      <c r="F461" s="287" t="s">
        <v>451</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458</v>
      </c>
      <c r="B462" s="286" t="s">
        <v>228</v>
      </c>
      <c r="C462" s="287">
        <v>0.0</v>
      </c>
      <c r="D462" s="287" t="s">
        <v>462</v>
      </c>
      <c r="E462" s="287">
        <v>0.0</v>
      </c>
      <c r="F462" s="287" t="s">
        <v>451</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460</v>
      </c>
      <c r="B463" s="286" t="s">
        <v>228</v>
      </c>
      <c r="C463" s="287">
        <v>0.0</v>
      </c>
      <c r="D463" s="287" t="s">
        <v>451</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463</v>
      </c>
      <c r="B464" s="286" t="s">
        <v>228</v>
      </c>
      <c r="C464" s="287">
        <v>0.0</v>
      </c>
      <c r="D464" s="287" t="s">
        <v>462</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464</v>
      </c>
      <c r="B465" s="286" t="s">
        <v>228</v>
      </c>
      <c r="C465" s="287">
        <v>0.0</v>
      </c>
      <c r="D465" s="287" t="s">
        <v>451</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465</v>
      </c>
      <c r="B466" s="286" t="s">
        <v>228</v>
      </c>
      <c r="C466" s="287">
        <v>0.0</v>
      </c>
      <c r="D466" s="287" t="s">
        <v>451</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466</v>
      </c>
      <c r="B467" s="286" t="s">
        <v>467</v>
      </c>
      <c r="C467" s="287">
        <v>0.0</v>
      </c>
      <c r="D467" s="287" t="s">
        <v>461</v>
      </c>
      <c r="E467" s="287">
        <v>0.0</v>
      </c>
      <c r="F467" s="287" t="s">
        <v>451</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468</v>
      </c>
      <c r="B468" s="286" t="s">
        <v>467</v>
      </c>
      <c r="C468" s="287">
        <v>0.0</v>
      </c>
      <c r="D468" s="287" t="s">
        <v>462</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469</v>
      </c>
      <c r="B469" s="286" t="s">
        <v>470</v>
      </c>
      <c r="C469" s="287" t="s">
        <v>451</v>
      </c>
      <c r="D469" s="287" t="s">
        <v>483</v>
      </c>
      <c r="E469" s="287">
        <v>0.0</v>
      </c>
      <c r="F469" s="287" t="s">
        <v>451</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471</v>
      </c>
      <c r="B470" s="286" t="s">
        <v>472</v>
      </c>
      <c r="C470" s="287">
        <v>0.0</v>
      </c>
      <c r="D470" s="287" t="s">
        <v>455</v>
      </c>
      <c r="E470" s="287">
        <v>0.0</v>
      </c>
      <c r="F470" s="287" t="s">
        <v>451</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473</v>
      </c>
      <c r="B471" s="286" t="s">
        <v>472</v>
      </c>
      <c r="C471" s="287">
        <v>0.0</v>
      </c>
      <c r="D471" s="287" t="s">
        <v>455</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474</v>
      </c>
      <c r="B472" s="286" t="s">
        <v>472</v>
      </c>
      <c r="C472" s="287">
        <v>0.0</v>
      </c>
      <c r="D472" s="287" t="s">
        <v>483</v>
      </c>
      <c r="E472" s="287">
        <v>0.0</v>
      </c>
      <c r="F472" s="287" t="s">
        <v>451</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475</v>
      </c>
      <c r="B473" s="286" t="s">
        <v>472</v>
      </c>
      <c r="C473" s="287">
        <v>0.0</v>
      </c>
      <c r="D473" s="287" t="s">
        <v>459</v>
      </c>
      <c r="E473" s="287">
        <v>0.0</v>
      </c>
      <c r="F473" s="287" t="s">
        <v>451</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476</v>
      </c>
      <c r="B474" s="286" t="s">
        <v>472</v>
      </c>
      <c r="C474" s="287">
        <v>0.0</v>
      </c>
      <c r="D474" s="287" t="s">
        <v>455</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477</v>
      </c>
      <c r="B475" s="286" t="s">
        <v>472</v>
      </c>
      <c r="C475" s="287">
        <v>0.0</v>
      </c>
      <c r="D475" s="287" t="s">
        <v>455</v>
      </c>
      <c r="E475" s="287">
        <v>0.0</v>
      </c>
      <c r="F475" s="287" t="s">
        <v>451</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478</v>
      </c>
      <c r="B476" s="286" t="s">
        <v>479</v>
      </c>
      <c r="C476" s="287">
        <v>0.0</v>
      </c>
      <c r="D476" s="287" t="s">
        <v>451</v>
      </c>
      <c r="E476" s="287">
        <v>0.0</v>
      </c>
      <c r="F476" s="287" t="s">
        <v>451</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480</v>
      </c>
      <c r="B477" s="286" t="s">
        <v>479</v>
      </c>
      <c r="C477" s="287">
        <v>0.0</v>
      </c>
      <c r="D477" s="287" t="s">
        <v>462</v>
      </c>
      <c r="E477" s="287">
        <v>0.0</v>
      </c>
      <c r="F477" s="287" t="s">
        <v>451</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481</v>
      </c>
      <c r="B478" s="286" t="s">
        <v>479</v>
      </c>
      <c r="C478" s="287">
        <v>0.0</v>
      </c>
      <c r="D478" s="287" t="s">
        <v>455</v>
      </c>
      <c r="E478" s="287">
        <v>0.0</v>
      </c>
      <c r="F478" s="287" t="s">
        <v>451</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482</v>
      </c>
      <c r="B479" s="286" t="s">
        <v>479</v>
      </c>
      <c r="C479" s="287">
        <v>0.0</v>
      </c>
      <c r="D479" s="287" t="s">
        <v>455</v>
      </c>
      <c r="E479" s="287">
        <v>0.0</v>
      </c>
      <c r="F479" s="287" t="s">
        <v>451</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484</v>
      </c>
      <c r="B480" s="286" t="s">
        <v>479</v>
      </c>
      <c r="C480" s="287">
        <v>0.0</v>
      </c>
      <c r="D480" s="287" t="s">
        <v>545</v>
      </c>
      <c r="E480" s="287">
        <v>0.0</v>
      </c>
      <c r="F480" s="287" t="s">
        <v>451</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485</v>
      </c>
      <c r="B481" s="286" t="s">
        <v>479</v>
      </c>
      <c r="C481" s="287">
        <v>0.0</v>
      </c>
      <c r="D481" s="287" t="s">
        <v>455</v>
      </c>
      <c r="E481" s="287">
        <v>0.0</v>
      </c>
      <c r="F481" s="287" t="s">
        <v>451</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486</v>
      </c>
      <c r="B482" s="286" t="s">
        <v>230</v>
      </c>
      <c r="C482" s="287">
        <v>0.0</v>
      </c>
      <c r="D482" s="287" t="s">
        <v>451</v>
      </c>
      <c r="E482" s="287">
        <v>0.0</v>
      </c>
      <c r="F482" s="287" t="s">
        <v>451</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487</v>
      </c>
      <c r="B483" s="286" t="s">
        <v>230</v>
      </c>
      <c r="C483" s="287">
        <v>0.0</v>
      </c>
      <c r="D483" s="287" t="s">
        <v>483</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488</v>
      </c>
      <c r="B484" s="286" t="s">
        <v>230</v>
      </c>
      <c r="C484" s="287" t="s">
        <v>451</v>
      </c>
      <c r="D484" s="287" t="s">
        <v>457</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489</v>
      </c>
      <c r="B485" s="286" t="s">
        <v>230</v>
      </c>
      <c r="C485" s="287" t="s">
        <v>451</v>
      </c>
      <c r="D485" s="287" t="s">
        <v>462</v>
      </c>
      <c r="E485" s="287">
        <v>0.0</v>
      </c>
      <c r="F485" s="287" t="s">
        <v>451</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490</v>
      </c>
      <c r="B486" s="286" t="s">
        <v>230</v>
      </c>
      <c r="C486" s="287">
        <v>0.0</v>
      </c>
      <c r="D486" s="287" t="s">
        <v>462</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495</v>
      </c>
      <c r="B487" s="286" t="s">
        <v>493</v>
      </c>
      <c r="C487" s="287">
        <v>0.0</v>
      </c>
      <c r="D487" s="287" t="s">
        <v>483</v>
      </c>
      <c r="E487" s="287">
        <v>0.0</v>
      </c>
      <c r="F487" s="287" t="s">
        <v>451</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497</v>
      </c>
      <c r="B488" s="286" t="s">
        <v>493</v>
      </c>
      <c r="C488" s="287">
        <v>0.0</v>
      </c>
      <c r="D488" s="287" t="s">
        <v>451</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498</v>
      </c>
      <c r="B489" s="286" t="s">
        <v>493</v>
      </c>
      <c r="C489" s="287">
        <v>0.0</v>
      </c>
      <c r="D489" s="287" t="s">
        <v>451</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499</v>
      </c>
      <c r="B490" s="286" t="s">
        <v>493</v>
      </c>
      <c r="C490" s="287">
        <v>0.0</v>
      </c>
      <c r="D490" s="287" t="s">
        <v>451</v>
      </c>
      <c r="E490" s="287">
        <v>0.0</v>
      </c>
      <c r="F490" s="287" t="s">
        <v>451</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500</v>
      </c>
      <c r="B491" s="286" t="s">
        <v>493</v>
      </c>
      <c r="C491" s="287">
        <v>0.0</v>
      </c>
      <c r="D491" s="287" t="s">
        <v>451</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502</v>
      </c>
      <c r="B492" s="286" t="s">
        <v>493</v>
      </c>
      <c r="C492" s="287">
        <v>0.0</v>
      </c>
      <c r="D492" s="287" t="s">
        <v>451</v>
      </c>
      <c r="E492" s="287">
        <v>0.0</v>
      </c>
      <c r="F492" s="287" t="s">
        <v>451</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503</v>
      </c>
      <c r="B493" s="286" t="s">
        <v>493</v>
      </c>
      <c r="C493" s="287">
        <v>0.0</v>
      </c>
      <c r="D493" s="287" t="s">
        <v>946</v>
      </c>
      <c r="E493" s="287">
        <v>0.0</v>
      </c>
      <c r="F493" s="287" t="s">
        <v>451</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506</v>
      </c>
      <c r="B494" s="286" t="s">
        <v>493</v>
      </c>
      <c r="C494" s="287">
        <v>0.0</v>
      </c>
      <c r="D494" s="287" t="s">
        <v>461</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507</v>
      </c>
      <c r="B495" s="286" t="s">
        <v>493</v>
      </c>
      <c r="C495" s="287">
        <v>0.0</v>
      </c>
      <c r="D495" s="287" t="s">
        <v>451</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509</v>
      </c>
      <c r="B496" s="286" t="s">
        <v>493</v>
      </c>
      <c r="C496" s="287">
        <v>0.0</v>
      </c>
      <c r="D496" s="287" t="s">
        <v>451</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510</v>
      </c>
      <c r="B497" s="286" t="s">
        <v>493</v>
      </c>
      <c r="C497" s="287">
        <v>0.0</v>
      </c>
      <c r="D497" s="287" t="s">
        <v>462</v>
      </c>
      <c r="E497" s="287">
        <v>0.0</v>
      </c>
      <c r="F497" s="287" t="s">
        <v>451</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514</v>
      </c>
      <c r="B498" s="286" t="s">
        <v>493</v>
      </c>
      <c r="C498" s="287">
        <v>0.0</v>
      </c>
      <c r="D498" s="287" t="s">
        <v>451</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515</v>
      </c>
      <c r="B499" s="286" t="s">
        <v>493</v>
      </c>
      <c r="C499" s="287">
        <v>0.0</v>
      </c>
      <c r="D499" s="287" t="s">
        <v>451</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516</v>
      </c>
      <c r="B500" s="286" t="s">
        <v>493</v>
      </c>
      <c r="C500" s="287">
        <v>0.0</v>
      </c>
      <c r="D500" s="287" t="s">
        <v>451</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517</v>
      </c>
      <c r="B501" s="286" t="s">
        <v>493</v>
      </c>
      <c r="C501" s="287">
        <v>0.0</v>
      </c>
      <c r="D501" s="287" t="s">
        <v>462</v>
      </c>
      <c r="E501" s="287">
        <v>0.0</v>
      </c>
      <c r="F501" s="287" t="s">
        <v>451</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518</v>
      </c>
      <c r="B502" s="286" t="s">
        <v>493</v>
      </c>
      <c r="C502" s="287">
        <v>0.0</v>
      </c>
      <c r="D502" s="287" t="s">
        <v>451</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519</v>
      </c>
      <c r="B503" s="286" t="s">
        <v>493</v>
      </c>
      <c r="C503" s="287">
        <v>0.0</v>
      </c>
      <c r="D503" s="287" t="s">
        <v>451</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520</v>
      </c>
      <c r="B504" s="286" t="s">
        <v>493</v>
      </c>
      <c r="C504" s="287">
        <v>0.0</v>
      </c>
      <c r="D504" s="287" t="s">
        <v>451</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521</v>
      </c>
      <c r="B505" s="286" t="s">
        <v>493</v>
      </c>
      <c r="C505" s="287">
        <v>0.0</v>
      </c>
      <c r="D505" s="287" t="s">
        <v>462</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522</v>
      </c>
      <c r="B506" s="286" t="s">
        <v>493</v>
      </c>
      <c r="C506" s="287" t="s">
        <v>451</v>
      </c>
      <c r="D506" s="287" t="s">
        <v>451</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523</v>
      </c>
      <c r="B507" s="286" t="s">
        <v>493</v>
      </c>
      <c r="C507" s="287">
        <v>0.0</v>
      </c>
      <c r="D507" s="287" t="s">
        <v>451</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524</v>
      </c>
      <c r="B508" s="286" t="s">
        <v>493</v>
      </c>
      <c r="C508" s="287">
        <v>0.0</v>
      </c>
      <c r="D508" s="287" t="s">
        <v>462</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525</v>
      </c>
      <c r="B509" s="286" t="s">
        <v>493</v>
      </c>
      <c r="C509" s="287">
        <v>0.0</v>
      </c>
      <c r="D509" s="287" t="s">
        <v>455</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526</v>
      </c>
      <c r="B510" s="286" t="s">
        <v>493</v>
      </c>
      <c r="C510" s="287">
        <v>0.0</v>
      </c>
      <c r="D510" s="287" t="s">
        <v>451</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527</v>
      </c>
      <c r="B511" s="286" t="s">
        <v>493</v>
      </c>
      <c r="C511" s="287">
        <v>0.0</v>
      </c>
      <c r="D511" s="287" t="s">
        <v>451</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528</v>
      </c>
      <c r="B512" s="286" t="s">
        <v>493</v>
      </c>
      <c r="C512" s="287">
        <v>0.0</v>
      </c>
      <c r="D512" s="287" t="s">
        <v>451</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529</v>
      </c>
      <c r="B513" s="286" t="s">
        <v>493</v>
      </c>
      <c r="C513" s="287">
        <v>0.0</v>
      </c>
      <c r="D513" s="287" t="s">
        <v>451</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530</v>
      </c>
      <c r="B514" s="286" t="s">
        <v>493</v>
      </c>
      <c r="C514" s="287">
        <v>0.0</v>
      </c>
      <c r="D514" s="287" t="s">
        <v>462</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531</v>
      </c>
      <c r="B515" s="286" t="s">
        <v>231</v>
      </c>
      <c r="C515" s="287">
        <v>0.0</v>
      </c>
      <c r="D515" s="287" t="s">
        <v>451</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532</v>
      </c>
      <c r="B516" s="286" t="s">
        <v>231</v>
      </c>
      <c r="C516" s="287" t="s">
        <v>451</v>
      </c>
      <c r="D516" s="287" t="s">
        <v>496</v>
      </c>
      <c r="E516" s="287">
        <v>0.0</v>
      </c>
      <c r="F516" s="287" t="s">
        <v>451</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533</v>
      </c>
      <c r="B517" s="286" t="s">
        <v>231</v>
      </c>
      <c r="C517" s="287">
        <v>0.0</v>
      </c>
      <c r="D517" s="287" t="s">
        <v>459</v>
      </c>
      <c r="E517" s="287">
        <v>0.0</v>
      </c>
      <c r="F517" s="287" t="s">
        <v>451</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534</v>
      </c>
      <c r="B518" s="286" t="s">
        <v>231</v>
      </c>
      <c r="C518" s="287">
        <v>0.0</v>
      </c>
      <c r="D518" s="287" t="s">
        <v>462</v>
      </c>
      <c r="E518" s="287">
        <v>0.0</v>
      </c>
      <c r="F518" s="287" t="s">
        <v>451</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5" t="s">
        <v>536</v>
      </c>
      <c r="B519" s="286" t="s">
        <v>231</v>
      </c>
      <c r="C519" s="287" t="s">
        <v>451</v>
      </c>
      <c r="D519" s="287" t="s">
        <v>455</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537</v>
      </c>
      <c r="B520" s="286" t="s">
        <v>231</v>
      </c>
      <c r="C520" s="287">
        <v>0.0</v>
      </c>
      <c r="D520" s="287" t="s">
        <v>462</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538</v>
      </c>
      <c r="B521" s="286" t="s">
        <v>539</v>
      </c>
      <c r="C521" s="287">
        <v>0.0</v>
      </c>
      <c r="D521" s="287" t="s">
        <v>461</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540</v>
      </c>
      <c r="B522" s="286" t="s">
        <v>541</v>
      </c>
      <c r="C522" s="287">
        <v>0.0</v>
      </c>
      <c r="D522" s="287" t="s">
        <v>451</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543</v>
      </c>
      <c r="B523" s="286" t="s">
        <v>541</v>
      </c>
      <c r="C523" s="287">
        <v>0.0</v>
      </c>
      <c r="D523" s="287" t="s">
        <v>451</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544</v>
      </c>
      <c r="B524" s="286" t="s">
        <v>541</v>
      </c>
      <c r="C524" s="287" t="s">
        <v>451</v>
      </c>
      <c r="D524" s="287" t="s">
        <v>483</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546</v>
      </c>
      <c r="B525" s="286" t="s">
        <v>541</v>
      </c>
      <c r="C525" s="287">
        <v>0.0</v>
      </c>
      <c r="D525" s="287" t="s">
        <v>462</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548</v>
      </c>
      <c r="B526" s="286" t="s">
        <v>541</v>
      </c>
      <c r="C526" s="287">
        <v>0.0</v>
      </c>
      <c r="D526" s="287" t="s">
        <v>462</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549</v>
      </c>
      <c r="B527" s="286" t="s">
        <v>541</v>
      </c>
      <c r="C527" s="287">
        <v>0.0</v>
      </c>
      <c r="D527" s="287" t="s">
        <v>451</v>
      </c>
      <c r="E527" s="287">
        <v>0.0</v>
      </c>
      <c r="F527" s="287" t="s">
        <v>451</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551</v>
      </c>
      <c r="B528" s="286" t="s">
        <v>541</v>
      </c>
      <c r="C528" s="287">
        <v>0.0</v>
      </c>
      <c r="D528" s="287" t="s">
        <v>451</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552</v>
      </c>
      <c r="B529" s="286" t="s">
        <v>233</v>
      </c>
      <c r="C529" s="287" t="s">
        <v>451</v>
      </c>
      <c r="D529" s="287" t="s">
        <v>457</v>
      </c>
      <c r="E529" s="287">
        <v>0.0</v>
      </c>
      <c r="F529" s="287" t="s">
        <v>462</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553</v>
      </c>
      <c r="B530" s="286" t="s">
        <v>233</v>
      </c>
      <c r="C530" s="287">
        <v>0.0</v>
      </c>
      <c r="D530" s="287" t="s">
        <v>462</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554</v>
      </c>
      <c r="B531" s="286" t="s">
        <v>233</v>
      </c>
      <c r="C531" s="287">
        <v>0.0</v>
      </c>
      <c r="D531" s="287" t="s">
        <v>545</v>
      </c>
      <c r="E531" s="287">
        <v>0.0</v>
      </c>
      <c r="F531" s="287" t="s">
        <v>462</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556</v>
      </c>
      <c r="B532" s="286" t="s">
        <v>233</v>
      </c>
      <c r="C532" s="287">
        <v>0.0</v>
      </c>
      <c r="D532" s="287" t="s">
        <v>462</v>
      </c>
      <c r="E532" s="287">
        <v>0.0</v>
      </c>
      <c r="F532" s="287" t="s">
        <v>451</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558</v>
      </c>
      <c r="B533" s="286" t="s">
        <v>233</v>
      </c>
      <c r="C533" s="287">
        <v>0.0</v>
      </c>
      <c r="D533" s="287" t="s">
        <v>462</v>
      </c>
      <c r="E533" s="287">
        <v>0.0</v>
      </c>
      <c r="F533" s="287" t="s">
        <v>451</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559</v>
      </c>
      <c r="B534" s="286" t="s">
        <v>233</v>
      </c>
      <c r="C534" s="287" t="s">
        <v>451</v>
      </c>
      <c r="D534" s="287" t="s">
        <v>455</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560</v>
      </c>
      <c r="B535" s="286" t="s">
        <v>233</v>
      </c>
      <c r="C535" s="287">
        <v>0.0</v>
      </c>
      <c r="D535" s="287" t="s">
        <v>462</v>
      </c>
      <c r="E535" s="287">
        <v>0.0</v>
      </c>
      <c r="F535" s="287" t="s">
        <v>451</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562</v>
      </c>
      <c r="B536" s="286" t="s">
        <v>234</v>
      </c>
      <c r="C536" s="287" t="s">
        <v>451</v>
      </c>
      <c r="D536" s="287" t="s">
        <v>462</v>
      </c>
      <c r="E536" s="287">
        <v>0.0</v>
      </c>
      <c r="F536" s="287" t="s">
        <v>451</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564</v>
      </c>
      <c r="B537" s="286" t="s">
        <v>234</v>
      </c>
      <c r="C537" s="287" t="s">
        <v>451</v>
      </c>
      <c r="D537" s="287">
        <v>112.0</v>
      </c>
      <c r="E537" s="287">
        <v>0.0</v>
      </c>
      <c r="F537" s="287" t="s">
        <v>462</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565</v>
      </c>
      <c r="B538" s="286" t="s">
        <v>234</v>
      </c>
      <c r="C538" s="287" t="s">
        <v>451</v>
      </c>
      <c r="D538" s="287" t="s">
        <v>947</v>
      </c>
      <c r="E538" s="287">
        <v>0.0</v>
      </c>
      <c r="F538" s="287" t="s">
        <v>451</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234</v>
      </c>
      <c r="C539" s="287">
        <v>0.0</v>
      </c>
      <c r="D539" s="287" t="s">
        <v>451</v>
      </c>
      <c r="E539" s="287">
        <v>0.0</v>
      </c>
      <c r="F539" s="287" t="s">
        <v>451</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566</v>
      </c>
      <c r="B540" s="286" t="s">
        <v>234</v>
      </c>
      <c r="C540" s="287">
        <v>0.0</v>
      </c>
      <c r="D540" s="287" t="s">
        <v>455</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567</v>
      </c>
      <c r="B541" s="286" t="s">
        <v>234</v>
      </c>
      <c r="C541" s="287">
        <v>0.0</v>
      </c>
      <c r="D541" s="287" t="s">
        <v>462</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568</v>
      </c>
      <c r="B542" s="286" t="s">
        <v>234</v>
      </c>
      <c r="C542" s="287">
        <v>0.0</v>
      </c>
      <c r="D542" s="287" t="s">
        <v>455</v>
      </c>
      <c r="E542" s="287">
        <v>0.0</v>
      </c>
      <c r="F542" s="287" t="s">
        <v>451</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569</v>
      </c>
      <c r="B543" s="286" t="s">
        <v>234</v>
      </c>
      <c r="C543" s="287">
        <v>0.0</v>
      </c>
      <c r="D543" s="287" t="s">
        <v>462</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570</v>
      </c>
      <c r="B544" s="286" t="s">
        <v>234</v>
      </c>
      <c r="C544" s="287">
        <v>0.0</v>
      </c>
      <c r="D544" s="287" t="s">
        <v>462</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571</v>
      </c>
      <c r="B545" s="286" t="s">
        <v>234</v>
      </c>
      <c r="C545" s="287">
        <v>0.0</v>
      </c>
      <c r="D545" s="287" t="s">
        <v>455</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572</v>
      </c>
      <c r="B546" s="286" t="s">
        <v>234</v>
      </c>
      <c r="C546" s="287">
        <v>0.0</v>
      </c>
      <c r="D546" s="287" t="s">
        <v>461</v>
      </c>
      <c r="E546" s="287">
        <v>0.0</v>
      </c>
      <c r="F546" s="287" t="s">
        <v>451</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573</v>
      </c>
      <c r="B547" s="286" t="s">
        <v>234</v>
      </c>
      <c r="C547" s="287">
        <v>0.0</v>
      </c>
      <c r="D547" s="287" t="s">
        <v>462</v>
      </c>
      <c r="E547" s="287">
        <v>0.0</v>
      </c>
      <c r="F547" s="287" t="s">
        <v>451</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574</v>
      </c>
      <c r="B548" s="286" t="s">
        <v>234</v>
      </c>
      <c r="C548" s="287">
        <v>0.0</v>
      </c>
      <c r="D548" s="287" t="s">
        <v>461</v>
      </c>
      <c r="E548" s="287">
        <v>0.0</v>
      </c>
      <c r="F548" s="287" t="s">
        <v>451</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575</v>
      </c>
      <c r="B549" s="286" t="s">
        <v>234</v>
      </c>
      <c r="C549" s="287" t="s">
        <v>451</v>
      </c>
      <c r="D549" s="287" t="s">
        <v>457</v>
      </c>
      <c r="E549" s="287">
        <v>0.0</v>
      </c>
      <c r="F549" s="287" t="s">
        <v>462</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576</v>
      </c>
      <c r="B550" s="286" t="s">
        <v>234</v>
      </c>
      <c r="C550" s="287">
        <v>0.0</v>
      </c>
      <c r="D550" s="287" t="s">
        <v>462</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577</v>
      </c>
      <c r="B551" s="286" t="s">
        <v>234</v>
      </c>
      <c r="C551" s="287">
        <v>0.0</v>
      </c>
      <c r="D551" s="287" t="s">
        <v>462</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578</v>
      </c>
      <c r="B552" s="286" t="s">
        <v>234</v>
      </c>
      <c r="C552" s="287">
        <v>0.0</v>
      </c>
      <c r="D552" s="287" t="s">
        <v>455</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579</v>
      </c>
      <c r="B553" s="286" t="s">
        <v>234</v>
      </c>
      <c r="C553" s="287" t="s">
        <v>451</v>
      </c>
      <c r="D553" s="287" t="s">
        <v>459</v>
      </c>
      <c r="E553" s="287">
        <v>0.0</v>
      </c>
      <c r="F553" s="287" t="s">
        <v>451</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581</v>
      </c>
      <c r="B554" s="286" t="s">
        <v>234</v>
      </c>
      <c r="C554" s="287" t="s">
        <v>451</v>
      </c>
      <c r="D554" s="287" t="s">
        <v>462</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582</v>
      </c>
      <c r="B555" s="286" t="s">
        <v>234</v>
      </c>
      <c r="C555" s="287">
        <v>0.0</v>
      </c>
      <c r="D555" s="287" t="s">
        <v>455</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583</v>
      </c>
      <c r="B556" s="286" t="s">
        <v>234</v>
      </c>
      <c r="C556" s="287" t="s">
        <v>451</v>
      </c>
      <c r="D556" s="287" t="s">
        <v>459</v>
      </c>
      <c r="E556" s="287">
        <v>0.0</v>
      </c>
      <c r="F556" s="287" t="s">
        <v>451</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584</v>
      </c>
      <c r="B557" s="286" t="s">
        <v>234</v>
      </c>
      <c r="C557" s="287">
        <v>0.0</v>
      </c>
      <c r="D557" s="287" t="s">
        <v>462</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585</v>
      </c>
      <c r="B558" s="286" t="s">
        <v>234</v>
      </c>
      <c r="C558" s="287">
        <v>0.0</v>
      </c>
      <c r="D558" s="287" t="s">
        <v>462</v>
      </c>
      <c r="E558" s="287">
        <v>0.0</v>
      </c>
      <c r="F558" s="287" t="s">
        <v>451</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586</v>
      </c>
      <c r="B559" s="286" t="s">
        <v>235</v>
      </c>
      <c r="C559" s="287">
        <v>0.0</v>
      </c>
      <c r="D559" s="287" t="s">
        <v>462</v>
      </c>
      <c r="E559" s="287">
        <v>0.0</v>
      </c>
      <c r="F559" s="287" t="s">
        <v>451</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587</v>
      </c>
      <c r="B560" s="286" t="s">
        <v>235</v>
      </c>
      <c r="C560" s="287">
        <v>0.0</v>
      </c>
      <c r="D560" s="287" t="s">
        <v>462</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588</v>
      </c>
      <c r="B561" s="286" t="s">
        <v>235</v>
      </c>
      <c r="C561" s="287">
        <v>0.0</v>
      </c>
      <c r="D561" s="287" t="s">
        <v>455</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589</v>
      </c>
      <c r="B562" s="286" t="s">
        <v>235</v>
      </c>
      <c r="C562" s="287" t="s">
        <v>451</v>
      </c>
      <c r="D562" s="287" t="s">
        <v>496</v>
      </c>
      <c r="E562" s="287">
        <v>0.0</v>
      </c>
      <c r="F562" s="287" t="s">
        <v>451</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591</v>
      </c>
      <c r="B563" s="286" t="s">
        <v>235</v>
      </c>
      <c r="C563" s="287">
        <v>0.0</v>
      </c>
      <c r="D563" s="287" t="s">
        <v>461</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592</v>
      </c>
      <c r="B564" s="286" t="s">
        <v>235</v>
      </c>
      <c r="C564" s="287">
        <v>0.0</v>
      </c>
      <c r="D564" s="287" t="s">
        <v>462</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593</v>
      </c>
      <c r="B565" s="286" t="s">
        <v>235</v>
      </c>
      <c r="C565" s="287" t="s">
        <v>451</v>
      </c>
      <c r="D565" s="287" t="s">
        <v>455</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594</v>
      </c>
      <c r="B566" s="286" t="s">
        <v>235</v>
      </c>
      <c r="C566" s="287" t="s">
        <v>451</v>
      </c>
      <c r="D566" s="287" t="s">
        <v>455</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598</v>
      </c>
      <c r="B567" s="286" t="s">
        <v>599</v>
      </c>
      <c r="C567" s="287">
        <v>0.0</v>
      </c>
      <c r="D567" s="287" t="s">
        <v>461</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602</v>
      </c>
      <c r="B568" s="286" t="s">
        <v>236</v>
      </c>
      <c r="C568" s="287">
        <v>0.0</v>
      </c>
      <c r="D568" s="287" t="s">
        <v>462</v>
      </c>
      <c r="E568" s="287">
        <v>0.0</v>
      </c>
      <c r="F568" s="287" t="s">
        <v>451</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603</v>
      </c>
      <c r="B569" s="286" t="s">
        <v>236</v>
      </c>
      <c r="C569" s="287" t="s">
        <v>451</v>
      </c>
      <c r="D569" s="287" t="s">
        <v>461</v>
      </c>
      <c r="E569" s="287">
        <v>0.0</v>
      </c>
      <c r="F569" s="287" t="s">
        <v>451</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604</v>
      </c>
      <c r="B570" s="286" t="s">
        <v>236</v>
      </c>
      <c r="C570" s="287">
        <v>0.0</v>
      </c>
      <c r="D570" s="287" t="s">
        <v>451</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605</v>
      </c>
      <c r="B571" s="286" t="s">
        <v>236</v>
      </c>
      <c r="C571" s="287">
        <v>0.0</v>
      </c>
      <c r="D571" s="287" t="s">
        <v>451</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607</v>
      </c>
      <c r="B572" s="286" t="s">
        <v>236</v>
      </c>
      <c r="C572" s="287">
        <v>0.0</v>
      </c>
      <c r="D572" s="287" t="s">
        <v>451</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608</v>
      </c>
      <c r="B573" s="286" t="s">
        <v>237</v>
      </c>
      <c r="C573" s="287">
        <v>0.0</v>
      </c>
      <c r="D573" s="287" t="s">
        <v>455</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609</v>
      </c>
      <c r="B574" s="286" t="s">
        <v>237</v>
      </c>
      <c r="C574" s="287">
        <v>0.0</v>
      </c>
      <c r="D574" s="287" t="s">
        <v>462</v>
      </c>
      <c r="E574" s="287">
        <v>0.0</v>
      </c>
      <c r="F574" s="287" t="s">
        <v>451</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610</v>
      </c>
      <c r="B575" s="286" t="s">
        <v>237</v>
      </c>
      <c r="C575" s="287">
        <v>0.0</v>
      </c>
      <c r="D575" s="287" t="s">
        <v>504</v>
      </c>
      <c r="E575" s="287">
        <v>0.0</v>
      </c>
      <c r="F575" s="287" t="s">
        <v>462</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611</v>
      </c>
      <c r="B576" s="286" t="s">
        <v>237</v>
      </c>
      <c r="C576" s="287">
        <v>0.0</v>
      </c>
      <c r="D576" s="287" t="s">
        <v>461</v>
      </c>
      <c r="E576" s="287">
        <v>0.0</v>
      </c>
      <c r="F576" s="287" t="s">
        <v>451</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612</v>
      </c>
      <c r="B577" s="286" t="s">
        <v>237</v>
      </c>
      <c r="C577" s="287">
        <v>0.0</v>
      </c>
      <c r="D577" s="287" t="s">
        <v>451</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613</v>
      </c>
      <c r="B578" s="286" t="s">
        <v>237</v>
      </c>
      <c r="C578" s="287">
        <v>0.0</v>
      </c>
      <c r="D578" s="287" t="s">
        <v>462</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615</v>
      </c>
      <c r="B579" s="286" t="s">
        <v>237</v>
      </c>
      <c r="C579" s="287">
        <v>0.0</v>
      </c>
      <c r="D579" s="287" t="s">
        <v>462</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616</v>
      </c>
      <c r="B580" s="286" t="s">
        <v>237</v>
      </c>
      <c r="C580" s="287">
        <v>0.0</v>
      </c>
      <c r="D580" s="287" t="s">
        <v>462</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617</v>
      </c>
      <c r="B581" s="286" t="s">
        <v>237</v>
      </c>
      <c r="C581" s="287">
        <v>0.0</v>
      </c>
      <c r="D581" s="287" t="s">
        <v>455</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618</v>
      </c>
      <c r="B582" s="286" t="s">
        <v>237</v>
      </c>
      <c r="C582" s="287" t="s">
        <v>451</v>
      </c>
      <c r="D582" s="287" t="s">
        <v>491</v>
      </c>
      <c r="E582" s="287">
        <v>0.0</v>
      </c>
      <c r="F582" s="287" t="s">
        <v>451</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619</v>
      </c>
      <c r="B583" s="286" t="s">
        <v>237</v>
      </c>
      <c r="C583" s="287">
        <v>0.0</v>
      </c>
      <c r="D583" s="287" t="s">
        <v>462</v>
      </c>
      <c r="E583" s="287">
        <v>0.0</v>
      </c>
      <c r="F583" s="287" t="s">
        <v>451</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621</v>
      </c>
      <c r="B584" s="286" t="s">
        <v>622</v>
      </c>
      <c r="C584" s="287">
        <v>0.0</v>
      </c>
      <c r="D584" s="287" t="s">
        <v>462</v>
      </c>
      <c r="E584" s="287">
        <v>0.0</v>
      </c>
      <c r="F584" s="287" t="s">
        <v>451</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623</v>
      </c>
      <c r="B585" s="286" t="s">
        <v>622</v>
      </c>
      <c r="C585" s="287" t="s">
        <v>451</v>
      </c>
      <c r="D585" s="287" t="s">
        <v>462</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624</v>
      </c>
      <c r="B586" s="286" t="s">
        <v>622</v>
      </c>
      <c r="C586" s="287">
        <v>0.0</v>
      </c>
      <c r="D586" s="287" t="s">
        <v>462</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626</v>
      </c>
      <c r="B587" s="286" t="s">
        <v>622</v>
      </c>
      <c r="C587" s="287">
        <v>0.0</v>
      </c>
      <c r="D587" s="287" t="s">
        <v>451</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627</v>
      </c>
      <c r="B588" s="286" t="s">
        <v>239</v>
      </c>
      <c r="C588" s="287">
        <v>0.0</v>
      </c>
      <c r="D588" s="287" t="s">
        <v>451</v>
      </c>
      <c r="E588" s="287">
        <v>0.0</v>
      </c>
      <c r="F588" s="287" t="s">
        <v>451</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628</v>
      </c>
      <c r="B589" s="286" t="s">
        <v>629</v>
      </c>
      <c r="C589" s="287">
        <v>0.0</v>
      </c>
      <c r="D589" s="287" t="s">
        <v>457</v>
      </c>
      <c r="E589" s="287">
        <v>0.0</v>
      </c>
      <c r="F589" s="287" t="s">
        <v>451</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630</v>
      </c>
      <c r="B590" s="286" t="s">
        <v>629</v>
      </c>
      <c r="C590" s="287">
        <v>0.0</v>
      </c>
      <c r="D590" s="287" t="s">
        <v>462</v>
      </c>
      <c r="E590" s="287">
        <v>0.0</v>
      </c>
      <c r="F590" s="287" t="s">
        <v>451</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631</v>
      </c>
      <c r="B591" s="286" t="s">
        <v>240</v>
      </c>
      <c r="C591" s="287">
        <v>0.0</v>
      </c>
      <c r="D591" s="287" t="s">
        <v>462</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632</v>
      </c>
      <c r="B592" s="286" t="s">
        <v>240</v>
      </c>
      <c r="C592" s="287">
        <v>0.0</v>
      </c>
      <c r="D592" s="287" t="s">
        <v>451</v>
      </c>
      <c r="E592" s="287">
        <v>0.0</v>
      </c>
      <c r="F592" s="287" t="s">
        <v>451</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633</v>
      </c>
      <c r="B593" s="286" t="s">
        <v>634</v>
      </c>
      <c r="C593" s="287" t="s">
        <v>451</v>
      </c>
      <c r="D593" s="287" t="s">
        <v>461</v>
      </c>
      <c r="E593" s="287">
        <v>0.0</v>
      </c>
      <c r="F593" s="287" t="s">
        <v>451</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635</v>
      </c>
      <c r="B594" s="286" t="s">
        <v>634</v>
      </c>
      <c r="C594" s="287">
        <v>0.0</v>
      </c>
      <c r="D594" s="287" t="s">
        <v>457</v>
      </c>
      <c r="E594" s="287" t="s">
        <v>451</v>
      </c>
      <c r="F594" s="287" t="s">
        <v>451</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636</v>
      </c>
      <c r="B595" s="286" t="s">
        <v>637</v>
      </c>
      <c r="C595" s="287">
        <v>0.0</v>
      </c>
      <c r="D595" s="287" t="s">
        <v>455</v>
      </c>
      <c r="E595" s="287">
        <v>0.0</v>
      </c>
      <c r="F595" s="287" t="s">
        <v>451</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638</v>
      </c>
      <c r="B596" s="286" t="s">
        <v>242</v>
      </c>
      <c r="C596" s="287">
        <v>0.0</v>
      </c>
      <c r="D596" s="287" t="s">
        <v>451</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639</v>
      </c>
      <c r="B597" s="286" t="s">
        <v>242</v>
      </c>
      <c r="C597" s="287">
        <v>0.0</v>
      </c>
      <c r="D597" s="287" t="s">
        <v>451</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640</v>
      </c>
      <c r="B598" s="286" t="s">
        <v>243</v>
      </c>
      <c r="C598" s="287">
        <v>0.0</v>
      </c>
      <c r="D598" s="287" t="s">
        <v>462</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641</v>
      </c>
      <c r="B599" s="286" t="s">
        <v>243</v>
      </c>
      <c r="C599" s="287">
        <v>0.0</v>
      </c>
      <c r="D599" s="287" t="s">
        <v>451</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642</v>
      </c>
      <c r="B600" s="286" t="s">
        <v>243</v>
      </c>
      <c r="C600" s="287">
        <v>0.0</v>
      </c>
      <c r="D600" s="287">
        <v>0.0</v>
      </c>
      <c r="E600" s="287">
        <v>0.0</v>
      </c>
      <c r="F600" s="287" t="s">
        <v>451</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643</v>
      </c>
      <c r="B601" s="286" t="s">
        <v>243</v>
      </c>
      <c r="C601" s="287" t="s">
        <v>451</v>
      </c>
      <c r="D601" s="287" t="s">
        <v>545</v>
      </c>
      <c r="E601" s="287">
        <v>0.0</v>
      </c>
      <c r="F601" s="287" t="s">
        <v>451</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644</v>
      </c>
      <c r="B602" s="286" t="s">
        <v>243</v>
      </c>
      <c r="C602" s="287">
        <v>0.0</v>
      </c>
      <c r="D602" s="287" t="s">
        <v>491</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645</v>
      </c>
      <c r="B603" s="286" t="s">
        <v>243</v>
      </c>
      <c r="C603" s="287">
        <v>0.0</v>
      </c>
      <c r="D603" s="287" t="s">
        <v>451</v>
      </c>
      <c r="E603" s="287">
        <v>0.0</v>
      </c>
      <c r="F603" s="287" t="s">
        <v>451</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646</v>
      </c>
      <c r="B604" s="286" t="s">
        <v>243</v>
      </c>
      <c r="C604" s="287">
        <v>0.0</v>
      </c>
      <c r="D604" s="287" t="s">
        <v>462</v>
      </c>
      <c r="E604" s="287">
        <v>0.0</v>
      </c>
      <c r="F604" s="287" t="s">
        <v>451</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647</v>
      </c>
      <c r="B605" s="286" t="s">
        <v>243</v>
      </c>
      <c r="C605" s="287">
        <v>0.0</v>
      </c>
      <c r="D605" s="287" t="s">
        <v>462</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649</v>
      </c>
      <c r="B606" s="286" t="s">
        <v>650</v>
      </c>
      <c r="C606" s="287" t="s">
        <v>451</v>
      </c>
      <c r="D606" s="287" t="s">
        <v>547</v>
      </c>
      <c r="E606" s="287">
        <v>0.0</v>
      </c>
      <c r="F606" s="287" t="s">
        <v>462</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651</v>
      </c>
      <c r="B607" s="286" t="s">
        <v>244</v>
      </c>
      <c r="C607" s="287">
        <v>0.0</v>
      </c>
      <c r="D607" s="287" t="s">
        <v>451</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652</v>
      </c>
      <c r="B608" s="286" t="s">
        <v>244</v>
      </c>
      <c r="C608" s="287">
        <v>0.0</v>
      </c>
      <c r="D608" s="287" t="s">
        <v>461</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653</v>
      </c>
      <c r="B609" s="286" t="s">
        <v>244</v>
      </c>
      <c r="C609" s="287" t="s">
        <v>451</v>
      </c>
      <c r="D609" s="287" t="s">
        <v>547</v>
      </c>
      <c r="E609" s="287">
        <v>0.0</v>
      </c>
      <c r="F609" s="287" t="s">
        <v>451</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654</v>
      </c>
      <c r="B610" s="286" t="s">
        <v>244</v>
      </c>
      <c r="C610" s="287">
        <v>0.0</v>
      </c>
      <c r="D610" s="287" t="s">
        <v>451</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655</v>
      </c>
      <c r="B611" s="286" t="s">
        <v>244</v>
      </c>
      <c r="C611" s="287" t="s">
        <v>451</v>
      </c>
      <c r="D611" s="287" t="s">
        <v>455</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656</v>
      </c>
      <c r="B612" s="286" t="s">
        <v>244</v>
      </c>
      <c r="C612" s="287">
        <v>0.0</v>
      </c>
      <c r="D612" s="287" t="s">
        <v>455</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658</v>
      </c>
      <c r="B613" s="286" t="s">
        <v>659</v>
      </c>
      <c r="C613" s="287" t="s">
        <v>451</v>
      </c>
      <c r="D613" s="287" t="s">
        <v>547</v>
      </c>
      <c r="E613" s="287">
        <v>0.0</v>
      </c>
      <c r="F613" s="287" t="s">
        <v>451</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660</v>
      </c>
      <c r="B614" s="286" t="s">
        <v>246</v>
      </c>
      <c r="C614" s="287">
        <v>0.0</v>
      </c>
      <c r="D614" s="287" t="s">
        <v>451</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661</v>
      </c>
      <c r="B615" s="286" t="s">
        <v>246</v>
      </c>
      <c r="C615" s="287">
        <v>0.0</v>
      </c>
      <c r="D615" s="287" t="s">
        <v>451</v>
      </c>
      <c r="E615" s="287">
        <v>0.0</v>
      </c>
      <c r="F615" s="287" t="s">
        <v>451</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663</v>
      </c>
      <c r="B616" s="286" t="s">
        <v>246</v>
      </c>
      <c r="C616" s="287" t="s">
        <v>451</v>
      </c>
      <c r="D616" s="287" t="s">
        <v>462</v>
      </c>
      <c r="E616" s="287">
        <v>0.0</v>
      </c>
      <c r="F616" s="287" t="s">
        <v>451</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664</v>
      </c>
      <c r="B617" s="286" t="s">
        <v>246</v>
      </c>
      <c r="C617" s="287">
        <v>0.0</v>
      </c>
      <c r="D617" s="287" t="s">
        <v>491</v>
      </c>
      <c r="E617" s="287">
        <v>0.0</v>
      </c>
      <c r="F617" s="287" t="s">
        <v>451</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665</v>
      </c>
      <c r="B618" s="286" t="s">
        <v>247</v>
      </c>
      <c r="C618" s="287">
        <v>0.0</v>
      </c>
      <c r="D618" s="287" t="s">
        <v>462</v>
      </c>
      <c r="E618" s="287">
        <v>0.0</v>
      </c>
      <c r="F618" s="287" t="s">
        <v>451</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666</v>
      </c>
      <c r="B619" s="286" t="s">
        <v>247</v>
      </c>
      <c r="C619" s="287">
        <v>0.0</v>
      </c>
      <c r="D619" s="287" t="s">
        <v>462</v>
      </c>
      <c r="E619" s="287">
        <v>0.0</v>
      </c>
      <c r="F619" s="287" t="s">
        <v>451</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667</v>
      </c>
      <c r="B620" s="286" t="s">
        <v>247</v>
      </c>
      <c r="C620" s="287">
        <v>0.0</v>
      </c>
      <c r="D620" s="287" t="s">
        <v>451</v>
      </c>
      <c r="E620" s="287">
        <v>0.0</v>
      </c>
      <c r="F620" s="287" t="s">
        <v>451</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668</v>
      </c>
      <c r="B621" s="286" t="s">
        <v>248</v>
      </c>
      <c r="C621" s="287" t="s">
        <v>451</v>
      </c>
      <c r="D621" s="287" t="s">
        <v>451</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669</v>
      </c>
      <c r="B622" s="286" t="s">
        <v>249</v>
      </c>
      <c r="C622" s="287">
        <v>0.0</v>
      </c>
      <c r="D622" s="287" t="s">
        <v>455</v>
      </c>
      <c r="E622" s="287">
        <v>0.0</v>
      </c>
      <c r="F622" s="287" t="s">
        <v>451</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670</v>
      </c>
      <c r="B623" s="286" t="s">
        <v>249</v>
      </c>
      <c r="C623" s="287">
        <v>0.0</v>
      </c>
      <c r="D623" s="287" t="s">
        <v>455</v>
      </c>
      <c r="E623" s="287">
        <v>0.0</v>
      </c>
      <c r="F623" s="287" t="s">
        <v>451</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671</v>
      </c>
      <c r="B624" s="286" t="s">
        <v>249</v>
      </c>
      <c r="C624" s="287" t="s">
        <v>451</v>
      </c>
      <c r="D624" s="287" t="s">
        <v>457</v>
      </c>
      <c r="E624" s="287">
        <v>0.0</v>
      </c>
      <c r="F624" s="287" t="s">
        <v>451</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673</v>
      </c>
      <c r="B625" s="286" t="s">
        <v>250</v>
      </c>
      <c r="C625" s="287">
        <v>0.0</v>
      </c>
      <c r="D625" s="287" t="s">
        <v>451</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674</v>
      </c>
      <c r="B626" s="286" t="s">
        <v>250</v>
      </c>
      <c r="C626" s="287">
        <v>0.0</v>
      </c>
      <c r="D626" s="287">
        <v>0.0</v>
      </c>
      <c r="E626" s="287">
        <v>0.0</v>
      </c>
      <c r="F626" s="287" t="s">
        <v>451</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675</v>
      </c>
      <c r="B627" s="286" t="s">
        <v>250</v>
      </c>
      <c r="C627" s="287">
        <v>0.0</v>
      </c>
      <c r="D627" s="287" t="s">
        <v>462</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676</v>
      </c>
      <c r="B628" s="286" t="s">
        <v>250</v>
      </c>
      <c r="C628" s="287">
        <v>0.0</v>
      </c>
      <c r="D628" s="287" t="s">
        <v>451</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677</v>
      </c>
      <c r="B629" s="286" t="s">
        <v>250</v>
      </c>
      <c r="C629" s="287">
        <v>0.0</v>
      </c>
      <c r="D629" s="287" t="s">
        <v>451</v>
      </c>
      <c r="E629" s="287">
        <v>0.0</v>
      </c>
      <c r="F629" s="287" t="s">
        <v>451</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678</v>
      </c>
      <c r="B630" s="286" t="s">
        <v>250</v>
      </c>
      <c r="C630" s="287">
        <v>0.0</v>
      </c>
      <c r="D630" s="287" t="s">
        <v>483</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679</v>
      </c>
      <c r="B631" s="286" t="s">
        <v>250</v>
      </c>
      <c r="C631" s="287">
        <v>0.0</v>
      </c>
      <c r="D631" s="287" t="s">
        <v>451</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681</v>
      </c>
      <c r="B632" s="286" t="s">
        <v>250</v>
      </c>
      <c r="C632" s="287">
        <v>0.0</v>
      </c>
      <c r="D632" s="287" t="s">
        <v>451</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682</v>
      </c>
      <c r="B633" s="286" t="s">
        <v>251</v>
      </c>
      <c r="C633" s="287">
        <v>0.0</v>
      </c>
      <c r="D633" s="287" t="s">
        <v>455</v>
      </c>
      <c r="E633" s="287">
        <v>0.0</v>
      </c>
      <c r="F633" s="287" t="s">
        <v>451</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683</v>
      </c>
      <c r="B634" s="286" t="s">
        <v>251</v>
      </c>
      <c r="C634" s="287">
        <v>0.0</v>
      </c>
      <c r="D634" s="287" t="s">
        <v>462</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684</v>
      </c>
      <c r="B635" s="286" t="s">
        <v>251</v>
      </c>
      <c r="C635" s="287">
        <v>0.0</v>
      </c>
      <c r="D635" s="287" t="s">
        <v>455</v>
      </c>
      <c r="E635" s="287">
        <v>0.0</v>
      </c>
      <c r="F635" s="287" t="s">
        <v>451</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685</v>
      </c>
      <c r="B636" s="286" t="s">
        <v>251</v>
      </c>
      <c r="C636" s="287" t="s">
        <v>451</v>
      </c>
      <c r="D636" s="287" t="s">
        <v>462</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686</v>
      </c>
      <c r="B637" s="286" t="s">
        <v>251</v>
      </c>
      <c r="C637" s="287">
        <v>0.0</v>
      </c>
      <c r="D637" s="287" t="s">
        <v>451</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687</v>
      </c>
      <c r="B638" s="286" t="s">
        <v>251</v>
      </c>
      <c r="C638" s="287">
        <v>0.0</v>
      </c>
      <c r="D638" s="287" t="s">
        <v>462</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688</v>
      </c>
      <c r="B639" s="286" t="s">
        <v>251</v>
      </c>
      <c r="C639" s="287">
        <v>0.0</v>
      </c>
      <c r="D639" s="287" t="s">
        <v>545</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689</v>
      </c>
      <c r="B640" s="286" t="s">
        <v>251</v>
      </c>
      <c r="C640" s="287">
        <v>0.0</v>
      </c>
      <c r="D640" s="287" t="s">
        <v>455</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690</v>
      </c>
      <c r="B641" s="286" t="s">
        <v>252</v>
      </c>
      <c r="C641" s="287">
        <v>0.0</v>
      </c>
      <c r="D641" s="287" t="s">
        <v>462</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691</v>
      </c>
      <c r="B642" s="286" t="s">
        <v>252</v>
      </c>
      <c r="C642" s="287">
        <v>0.0</v>
      </c>
      <c r="D642" s="287" t="s">
        <v>461</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692</v>
      </c>
      <c r="B643" s="286" t="s">
        <v>252</v>
      </c>
      <c r="C643" s="287">
        <v>0.0</v>
      </c>
      <c r="D643" s="287" t="s">
        <v>455</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693</v>
      </c>
      <c r="B644" s="286" t="s">
        <v>693</v>
      </c>
      <c r="C644" s="287">
        <v>0.0</v>
      </c>
      <c r="D644" s="287">
        <v>0.0</v>
      </c>
      <c r="E644" s="287">
        <v>0.0</v>
      </c>
      <c r="F644" s="287" t="s">
        <v>451</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694</v>
      </c>
      <c r="B645" s="286" t="s">
        <v>695</v>
      </c>
      <c r="C645" s="287">
        <v>0.0</v>
      </c>
      <c r="D645" s="287" t="s">
        <v>455</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696</v>
      </c>
      <c r="B646" s="286" t="s">
        <v>695</v>
      </c>
      <c r="C646" s="287">
        <v>0.0</v>
      </c>
      <c r="D646" s="287" t="s">
        <v>462</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697</v>
      </c>
      <c r="B647" s="286" t="s">
        <v>695</v>
      </c>
      <c r="C647" s="287">
        <v>0.0</v>
      </c>
      <c r="D647" s="287" t="s">
        <v>461</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698</v>
      </c>
      <c r="B648" s="286" t="s">
        <v>253</v>
      </c>
      <c r="C648" s="287">
        <v>0.0</v>
      </c>
      <c r="D648" s="287" t="s">
        <v>455</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699</v>
      </c>
      <c r="B649" s="286" t="s">
        <v>253</v>
      </c>
      <c r="C649" s="287">
        <v>0.0</v>
      </c>
      <c r="D649" s="287" t="s">
        <v>600</v>
      </c>
      <c r="E649" s="287">
        <v>0.0</v>
      </c>
      <c r="F649" s="287" t="s">
        <v>462</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700</v>
      </c>
      <c r="B650" s="286" t="s">
        <v>253</v>
      </c>
      <c r="C650" s="287">
        <v>0.0</v>
      </c>
      <c r="D650" s="287" t="s">
        <v>461</v>
      </c>
      <c r="E650" s="287">
        <v>0.0</v>
      </c>
      <c r="F650" s="287" t="s">
        <v>451</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701</v>
      </c>
      <c r="B651" s="286" t="s">
        <v>253</v>
      </c>
      <c r="C651" s="287">
        <v>0.0</v>
      </c>
      <c r="D651" s="287" t="s">
        <v>491</v>
      </c>
      <c r="E651" s="287">
        <v>0.0</v>
      </c>
      <c r="F651" s="287" t="s">
        <v>451</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702</v>
      </c>
      <c r="B652" s="286" t="s">
        <v>253</v>
      </c>
      <c r="C652" s="287">
        <v>0.0</v>
      </c>
      <c r="D652" s="287" t="s">
        <v>491</v>
      </c>
      <c r="E652" s="287">
        <v>0.0</v>
      </c>
      <c r="F652" s="287" t="s">
        <v>451</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703</v>
      </c>
      <c r="B653" s="286" t="s">
        <v>253</v>
      </c>
      <c r="C653" s="287">
        <v>0.0</v>
      </c>
      <c r="D653" s="287" t="s">
        <v>462</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704</v>
      </c>
      <c r="B654" s="286" t="s">
        <v>253</v>
      </c>
      <c r="C654" s="287" t="s">
        <v>451</v>
      </c>
      <c r="D654" s="287" t="s">
        <v>455</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705</v>
      </c>
      <c r="B655" s="286" t="s">
        <v>253</v>
      </c>
      <c r="C655" s="287">
        <v>0.0</v>
      </c>
      <c r="D655" s="287" t="s">
        <v>461</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706</v>
      </c>
      <c r="B656" s="286" t="s">
        <v>253</v>
      </c>
      <c r="C656" s="287" t="s">
        <v>451</v>
      </c>
      <c r="D656" s="287" t="s">
        <v>461</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707</v>
      </c>
      <c r="B657" s="286" t="s">
        <v>253</v>
      </c>
      <c r="C657" s="287">
        <v>0.0</v>
      </c>
      <c r="D657" s="287" t="s">
        <v>547</v>
      </c>
      <c r="E657" s="287">
        <v>0.0</v>
      </c>
      <c r="F657" s="287" t="s">
        <v>462</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708</v>
      </c>
      <c r="B658" s="286" t="s">
        <v>253</v>
      </c>
      <c r="C658" s="287">
        <v>0.0</v>
      </c>
      <c r="D658" s="287" t="s">
        <v>459</v>
      </c>
      <c r="E658" s="287">
        <v>0.0</v>
      </c>
      <c r="F658" s="287" t="s">
        <v>451</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709</v>
      </c>
      <c r="B659" s="286" t="s">
        <v>253</v>
      </c>
      <c r="C659" s="287">
        <v>0.0</v>
      </c>
      <c r="D659" s="287" t="s">
        <v>455</v>
      </c>
      <c r="E659" s="287">
        <v>0.0</v>
      </c>
      <c r="F659" s="287" t="s">
        <v>451</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710</v>
      </c>
      <c r="B660" s="286" t="s">
        <v>253</v>
      </c>
      <c r="C660" s="287">
        <v>0.0</v>
      </c>
      <c r="D660" s="287" t="s">
        <v>491</v>
      </c>
      <c r="E660" s="287">
        <v>0.0</v>
      </c>
      <c r="F660" s="287" t="s">
        <v>451</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711</v>
      </c>
      <c r="B661" s="286" t="s">
        <v>253</v>
      </c>
      <c r="C661" s="287">
        <v>0.0</v>
      </c>
      <c r="D661" s="287" t="s">
        <v>461</v>
      </c>
      <c r="E661" s="287">
        <v>0.0</v>
      </c>
      <c r="F661" s="287" t="s">
        <v>451</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713</v>
      </c>
      <c r="B662" s="286" t="s">
        <v>253</v>
      </c>
      <c r="C662" s="287">
        <v>0.0</v>
      </c>
      <c r="D662" s="287" t="s">
        <v>451</v>
      </c>
      <c r="E662" s="287">
        <v>0.0</v>
      </c>
      <c r="F662" s="287" t="s">
        <v>451</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714</v>
      </c>
      <c r="B663" s="286" t="s">
        <v>253</v>
      </c>
      <c r="C663" s="287">
        <v>0.0</v>
      </c>
      <c r="D663" s="287" t="s">
        <v>547</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715</v>
      </c>
      <c r="B664" s="286" t="s">
        <v>253</v>
      </c>
      <c r="C664" s="287">
        <v>0.0</v>
      </c>
      <c r="D664" s="287" t="s">
        <v>946</v>
      </c>
      <c r="E664" s="287">
        <v>0.0</v>
      </c>
      <c r="F664" s="287" t="s">
        <v>451</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716</v>
      </c>
      <c r="B665" s="286" t="s">
        <v>254</v>
      </c>
      <c r="C665" s="287">
        <v>0.0</v>
      </c>
      <c r="D665" s="287" t="s">
        <v>462</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717</v>
      </c>
      <c r="B666" s="286" t="s">
        <v>254</v>
      </c>
      <c r="C666" s="287">
        <v>0.0</v>
      </c>
      <c r="D666" s="287" t="s">
        <v>451</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718</v>
      </c>
      <c r="B667" s="286" t="s">
        <v>254</v>
      </c>
      <c r="C667" s="287">
        <v>0.0</v>
      </c>
      <c r="D667" s="287" t="s">
        <v>483</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719</v>
      </c>
      <c r="B668" s="286" t="s">
        <v>254</v>
      </c>
      <c r="C668" s="287">
        <v>0.0</v>
      </c>
      <c r="D668" s="287" t="s">
        <v>462</v>
      </c>
      <c r="E668" s="287">
        <v>0.0</v>
      </c>
      <c r="F668" s="287" t="s">
        <v>451</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723</v>
      </c>
      <c r="B669" s="286" t="s">
        <v>721</v>
      </c>
      <c r="C669" s="287" t="s">
        <v>451</v>
      </c>
      <c r="D669" s="287" t="s">
        <v>451</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949</v>
      </c>
      <c r="B670" s="286" t="s">
        <v>721</v>
      </c>
      <c r="C670" s="287">
        <v>0.0</v>
      </c>
      <c r="D670" s="287">
        <v>0.0</v>
      </c>
      <c r="E670" s="287">
        <v>0.0</v>
      </c>
      <c r="F670" s="287" t="s">
        <v>451</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736</v>
      </c>
      <c r="B671" s="286" t="s">
        <v>721</v>
      </c>
      <c r="C671" s="287">
        <v>0.0</v>
      </c>
      <c r="D671" s="287" t="s">
        <v>451</v>
      </c>
      <c r="E671" s="287">
        <v>0.0</v>
      </c>
      <c r="F671" s="287" t="s">
        <v>451</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737</v>
      </c>
      <c r="B672" s="286" t="s">
        <v>721</v>
      </c>
      <c r="C672" s="287">
        <v>0.0</v>
      </c>
      <c r="D672" s="287" t="s">
        <v>451</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739</v>
      </c>
      <c r="B673" s="286" t="s">
        <v>721</v>
      </c>
      <c r="C673" s="287">
        <v>0.0</v>
      </c>
      <c r="D673" s="287">
        <v>0.0</v>
      </c>
      <c r="E673" s="287">
        <v>0.0</v>
      </c>
      <c r="F673" s="287" t="s">
        <v>451</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950</v>
      </c>
      <c r="B674" s="286" t="s">
        <v>721</v>
      </c>
      <c r="C674" s="287">
        <v>0.0</v>
      </c>
      <c r="D674" s="287">
        <v>0.0</v>
      </c>
      <c r="E674" s="287">
        <v>0.0</v>
      </c>
      <c r="F674" s="287" t="s">
        <v>451</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741</v>
      </c>
      <c r="B675" s="286" t="s">
        <v>721</v>
      </c>
      <c r="C675" s="287">
        <v>0.0</v>
      </c>
      <c r="D675" s="287">
        <v>0.0</v>
      </c>
      <c r="E675" s="287">
        <v>0.0</v>
      </c>
      <c r="F675" s="287" t="s">
        <v>451</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951</v>
      </c>
      <c r="B676" s="286" t="s">
        <v>721</v>
      </c>
      <c r="C676" s="287">
        <v>0.0</v>
      </c>
      <c r="D676" s="287" t="s">
        <v>451</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744</v>
      </c>
      <c r="B677" s="286" t="s">
        <v>721</v>
      </c>
      <c r="C677" s="287">
        <v>0.0</v>
      </c>
      <c r="D677" s="287" t="s">
        <v>451</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745</v>
      </c>
      <c r="B678" s="286" t="s">
        <v>721</v>
      </c>
      <c r="C678" s="287">
        <v>0.0</v>
      </c>
      <c r="D678" s="287" t="s">
        <v>451</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746</v>
      </c>
      <c r="B679" s="286" t="s">
        <v>721</v>
      </c>
      <c r="C679" s="287">
        <v>0.0</v>
      </c>
      <c r="D679" s="287" t="s">
        <v>451</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952</v>
      </c>
      <c r="B680" s="286" t="s">
        <v>721</v>
      </c>
      <c r="C680" s="287">
        <v>0.0</v>
      </c>
      <c r="D680" s="287">
        <v>0.0</v>
      </c>
      <c r="E680" s="287">
        <v>0.0</v>
      </c>
      <c r="F680" s="287" t="s">
        <v>451</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953</v>
      </c>
      <c r="B681" s="286" t="s">
        <v>721</v>
      </c>
      <c r="C681" s="287">
        <v>0.0</v>
      </c>
      <c r="D681" s="287" t="s">
        <v>451</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750</v>
      </c>
      <c r="B682" s="286" t="s">
        <v>721</v>
      </c>
      <c r="C682" s="287">
        <v>0.0</v>
      </c>
      <c r="D682" s="287" t="s">
        <v>455</v>
      </c>
      <c r="E682" s="287">
        <v>0.0</v>
      </c>
      <c r="F682" s="287" t="s">
        <v>451</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753</v>
      </c>
      <c r="B683" s="286" t="s">
        <v>721</v>
      </c>
      <c r="C683" s="287">
        <v>0.0</v>
      </c>
      <c r="D683" s="287" t="s">
        <v>451</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754</v>
      </c>
      <c r="B684" s="286" t="s">
        <v>721</v>
      </c>
      <c r="C684" s="287">
        <v>0.0</v>
      </c>
      <c r="D684" s="287">
        <v>0.0</v>
      </c>
      <c r="E684" s="287">
        <v>0.0</v>
      </c>
      <c r="F684" s="287" t="s">
        <v>451</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755</v>
      </c>
      <c r="B685" s="286" t="s">
        <v>721</v>
      </c>
      <c r="C685" s="287">
        <v>0.0</v>
      </c>
      <c r="D685" s="287" t="s">
        <v>451</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757</v>
      </c>
      <c r="B686" s="286" t="s">
        <v>721</v>
      </c>
      <c r="C686" s="287" t="s">
        <v>451</v>
      </c>
      <c r="D686" s="287" t="s">
        <v>462</v>
      </c>
      <c r="E686" s="287">
        <v>0.0</v>
      </c>
      <c r="F686" s="287" t="s">
        <v>451</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758</v>
      </c>
      <c r="B687" s="286" t="s">
        <v>721</v>
      </c>
      <c r="C687" s="287">
        <v>0.0</v>
      </c>
      <c r="D687" s="287" t="s">
        <v>451</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759</v>
      </c>
      <c r="B688" s="286" t="s">
        <v>721</v>
      </c>
      <c r="C688" s="287">
        <v>0.0</v>
      </c>
      <c r="D688" s="287" t="s">
        <v>451</v>
      </c>
      <c r="E688" s="287">
        <v>0.0</v>
      </c>
      <c r="F688" s="287" t="s">
        <v>451</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760</v>
      </c>
      <c r="B689" s="286" t="s">
        <v>721</v>
      </c>
      <c r="C689" s="287">
        <v>0.0</v>
      </c>
      <c r="D689" s="287" t="s">
        <v>451</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762</v>
      </c>
      <c r="B690" s="286" t="s">
        <v>721</v>
      </c>
      <c r="C690" s="287">
        <v>0.0</v>
      </c>
      <c r="D690" s="287">
        <v>0.0</v>
      </c>
      <c r="E690" s="287">
        <v>0.0</v>
      </c>
      <c r="F690" s="287" t="s">
        <v>451</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763</v>
      </c>
      <c r="B691" s="286" t="s">
        <v>721</v>
      </c>
      <c r="C691" s="287">
        <v>0.0</v>
      </c>
      <c r="D691" s="287">
        <v>0.0</v>
      </c>
      <c r="E691" s="287">
        <v>0.0</v>
      </c>
      <c r="F691" s="287" t="s">
        <v>451</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764</v>
      </c>
      <c r="B692" s="286" t="s">
        <v>721</v>
      </c>
      <c r="C692" s="287">
        <v>0.0</v>
      </c>
      <c r="D692" s="287" t="s">
        <v>451</v>
      </c>
      <c r="E692" s="287">
        <v>0.0</v>
      </c>
      <c r="F692" s="287" t="s">
        <v>451</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765</v>
      </c>
      <c r="B693" s="286" t="s">
        <v>721</v>
      </c>
      <c r="C693" s="287">
        <v>0.0</v>
      </c>
      <c r="D693" s="287" t="s">
        <v>451</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769</v>
      </c>
      <c r="B694" s="286" t="s">
        <v>721</v>
      </c>
      <c r="C694" s="287">
        <v>0.0</v>
      </c>
      <c r="D694" s="287" t="s">
        <v>451</v>
      </c>
      <c r="E694" s="287">
        <v>0.0</v>
      </c>
      <c r="F694" s="287" t="s">
        <v>451</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721</v>
      </c>
      <c r="C695" s="287">
        <v>0.0</v>
      </c>
      <c r="D695" s="287" t="s">
        <v>462</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721</v>
      </c>
      <c r="C696" s="287">
        <v>0.0</v>
      </c>
      <c r="D696" s="287" t="s">
        <v>451</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721</v>
      </c>
      <c r="C697" s="287">
        <v>0.0</v>
      </c>
      <c r="D697" s="287" t="s">
        <v>451</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721</v>
      </c>
      <c r="C698" s="287">
        <v>0.0</v>
      </c>
      <c r="D698" s="287" t="s">
        <v>462</v>
      </c>
      <c r="E698" s="287">
        <v>0.0</v>
      </c>
      <c r="F698" s="287" t="s">
        <v>451</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721</v>
      </c>
      <c r="C699" s="287">
        <v>0.0</v>
      </c>
      <c r="D699" s="287" t="s">
        <v>451</v>
      </c>
      <c r="E699" s="287">
        <v>0.0</v>
      </c>
      <c r="F699" s="287" t="s">
        <v>451</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721</v>
      </c>
      <c r="C700" s="287">
        <v>0.0</v>
      </c>
      <c r="D700" s="287" t="s">
        <v>451</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721</v>
      </c>
      <c r="C701" s="287">
        <v>0.0</v>
      </c>
      <c r="D701" s="287" t="s">
        <v>451</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721</v>
      </c>
      <c r="C702" s="287">
        <v>0.0</v>
      </c>
      <c r="D702" s="287" t="s">
        <v>451</v>
      </c>
      <c r="E702" s="287">
        <v>0.0</v>
      </c>
      <c r="F702" s="287" t="s">
        <v>451</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721</v>
      </c>
      <c r="C703" s="287">
        <v>0.0</v>
      </c>
      <c r="D703" s="287" t="s">
        <v>451</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784</v>
      </c>
      <c r="B704" s="286" t="s">
        <v>721</v>
      </c>
      <c r="C704" s="287">
        <v>0.0</v>
      </c>
      <c r="D704" s="287" t="s">
        <v>451</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785</v>
      </c>
      <c r="B705" s="286" t="s">
        <v>721</v>
      </c>
      <c r="C705" s="287">
        <v>0.0</v>
      </c>
      <c r="D705" s="287" t="s">
        <v>451</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786</v>
      </c>
      <c r="B706" s="286" t="s">
        <v>721</v>
      </c>
      <c r="C706" s="287">
        <v>0.0</v>
      </c>
      <c r="D706" s="287">
        <v>0.0</v>
      </c>
      <c r="E706" s="287">
        <v>0.0</v>
      </c>
      <c r="F706" s="287" t="s">
        <v>451</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954</v>
      </c>
      <c r="B707" s="286" t="s">
        <v>721</v>
      </c>
      <c r="C707" s="287">
        <v>0.0</v>
      </c>
      <c r="D707" s="287" t="s">
        <v>451</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787</v>
      </c>
      <c r="B708" s="286" t="s">
        <v>721</v>
      </c>
      <c r="C708" s="287">
        <v>0.0</v>
      </c>
      <c r="D708" s="287" t="s">
        <v>451</v>
      </c>
      <c r="E708" s="287">
        <v>0.0</v>
      </c>
      <c r="F708" s="287" t="s">
        <v>451</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789</v>
      </c>
      <c r="B709" s="286" t="s">
        <v>721</v>
      </c>
      <c r="C709" s="287">
        <v>0.0</v>
      </c>
      <c r="D709" s="287" t="s">
        <v>451</v>
      </c>
      <c r="E709" s="287">
        <v>0.0</v>
      </c>
      <c r="F709" s="287" t="s">
        <v>451</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791</v>
      </c>
      <c r="B710" s="286" t="s">
        <v>721</v>
      </c>
      <c r="C710" s="287">
        <v>0.0</v>
      </c>
      <c r="D710" s="287" t="s">
        <v>451</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792</v>
      </c>
      <c r="B711" s="286" t="s">
        <v>721</v>
      </c>
      <c r="C711" s="287">
        <v>0.0</v>
      </c>
      <c r="D711" s="287" t="s">
        <v>451</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796</v>
      </c>
      <c r="B712" s="286" t="s">
        <v>721</v>
      </c>
      <c r="C712" s="287">
        <v>0.0</v>
      </c>
      <c r="D712" s="287" t="s">
        <v>451</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797</v>
      </c>
      <c r="B713" s="286" t="s">
        <v>721</v>
      </c>
      <c r="C713" s="287">
        <v>0.0</v>
      </c>
      <c r="D713" s="287" t="s">
        <v>455</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798</v>
      </c>
      <c r="B714" s="286" t="s">
        <v>721</v>
      </c>
      <c r="C714" s="287">
        <v>0.0</v>
      </c>
      <c r="D714" s="287">
        <v>0.0</v>
      </c>
      <c r="E714" s="287">
        <v>0.0</v>
      </c>
      <c r="F714" s="287" t="s">
        <v>451</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799</v>
      </c>
      <c r="B715" s="286" t="s">
        <v>721</v>
      </c>
      <c r="C715" s="287">
        <v>0.0</v>
      </c>
      <c r="D715" s="287" t="s">
        <v>462</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803</v>
      </c>
      <c r="B716" s="286" t="s">
        <v>255</v>
      </c>
      <c r="C716" s="287">
        <v>0.0</v>
      </c>
      <c r="D716" s="287" t="s">
        <v>462</v>
      </c>
      <c r="E716" s="287">
        <v>0.0</v>
      </c>
      <c r="F716" s="287" t="s">
        <v>451</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805</v>
      </c>
      <c r="B717" s="286" t="s">
        <v>255</v>
      </c>
      <c r="C717" s="287">
        <v>0.0</v>
      </c>
      <c r="D717" s="287" t="s">
        <v>461</v>
      </c>
      <c r="E717" s="287">
        <v>0.0</v>
      </c>
      <c r="F717" s="287" t="s">
        <v>451</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806</v>
      </c>
      <c r="B718" s="286" t="s">
        <v>255</v>
      </c>
      <c r="C718" s="287">
        <v>0.0</v>
      </c>
      <c r="D718" s="287" t="s">
        <v>462</v>
      </c>
      <c r="E718" s="287">
        <v>0.0</v>
      </c>
      <c r="F718" s="287" t="s">
        <v>451</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807</v>
      </c>
      <c r="B719" s="286" t="s">
        <v>255</v>
      </c>
      <c r="C719" s="287">
        <v>0.0</v>
      </c>
      <c r="D719" s="287" t="s">
        <v>455</v>
      </c>
      <c r="E719" s="287">
        <v>0.0</v>
      </c>
      <c r="F719" s="287" t="s">
        <v>451</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808</v>
      </c>
      <c r="B720" s="286" t="s">
        <v>255</v>
      </c>
      <c r="C720" s="287">
        <v>0.0</v>
      </c>
      <c r="D720" s="287" t="s">
        <v>455</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809</v>
      </c>
      <c r="B721" s="286" t="s">
        <v>255</v>
      </c>
      <c r="C721" s="287">
        <v>0.0</v>
      </c>
      <c r="D721" s="287" t="s">
        <v>462</v>
      </c>
      <c r="E721" s="287">
        <v>0.0</v>
      </c>
      <c r="F721" s="287" t="s">
        <v>451</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810</v>
      </c>
      <c r="B722" s="286" t="s">
        <v>255</v>
      </c>
      <c r="C722" s="287">
        <v>0.0</v>
      </c>
      <c r="D722" s="287" t="s">
        <v>545</v>
      </c>
      <c r="E722" s="287">
        <v>0.0</v>
      </c>
      <c r="F722" s="287" t="s">
        <v>451</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811</v>
      </c>
      <c r="B723" s="286" t="s">
        <v>255</v>
      </c>
      <c r="C723" s="287" t="s">
        <v>451</v>
      </c>
      <c r="D723" s="287" t="s">
        <v>462</v>
      </c>
      <c r="E723" s="287">
        <v>0.0</v>
      </c>
      <c r="F723" s="287" t="s">
        <v>451</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812</v>
      </c>
      <c r="B724" s="286" t="s">
        <v>255</v>
      </c>
      <c r="C724" s="287">
        <v>0.0</v>
      </c>
      <c r="D724" s="287" t="s">
        <v>459</v>
      </c>
      <c r="E724" s="287">
        <v>0.0</v>
      </c>
      <c r="F724" s="287" t="s">
        <v>451</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813</v>
      </c>
      <c r="B725" s="286" t="s">
        <v>255</v>
      </c>
      <c r="C725" s="287">
        <v>0.0</v>
      </c>
      <c r="D725" s="287" t="s">
        <v>457</v>
      </c>
      <c r="E725" s="287">
        <v>0.0</v>
      </c>
      <c r="F725" s="287" t="s">
        <v>451</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814</v>
      </c>
      <c r="B726" s="286" t="s">
        <v>255</v>
      </c>
      <c r="C726" s="287">
        <v>0.0</v>
      </c>
      <c r="D726" s="287" t="s">
        <v>462</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815</v>
      </c>
      <c r="B727" s="286" t="s">
        <v>255</v>
      </c>
      <c r="C727" s="287">
        <v>0.0</v>
      </c>
      <c r="D727" s="287" t="s">
        <v>455</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816</v>
      </c>
      <c r="B728" s="286" t="s">
        <v>255</v>
      </c>
      <c r="C728" s="287">
        <v>0.0</v>
      </c>
      <c r="D728" s="287" t="s">
        <v>455</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817</v>
      </c>
      <c r="B729" s="286" t="s">
        <v>255</v>
      </c>
      <c r="C729" s="287">
        <v>0.0</v>
      </c>
      <c r="D729" s="287" t="s">
        <v>462</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818</v>
      </c>
      <c r="B730" s="286" t="s">
        <v>255</v>
      </c>
      <c r="C730" s="287">
        <v>0.0</v>
      </c>
      <c r="D730" s="287" t="s">
        <v>451</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819</v>
      </c>
      <c r="B731" s="286" t="s">
        <v>255</v>
      </c>
      <c r="C731" s="287">
        <v>0.0</v>
      </c>
      <c r="D731" s="287" t="s">
        <v>461</v>
      </c>
      <c r="E731" s="287">
        <v>0.0</v>
      </c>
      <c r="F731" s="287" t="s">
        <v>451</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820</v>
      </c>
      <c r="B732" s="286" t="s">
        <v>255</v>
      </c>
      <c r="C732" s="287">
        <v>0.0</v>
      </c>
      <c r="D732" s="287" t="s">
        <v>491</v>
      </c>
      <c r="E732" s="287">
        <v>0.0</v>
      </c>
      <c r="F732" s="287" t="s">
        <v>451</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821</v>
      </c>
      <c r="B733" s="286" t="s">
        <v>255</v>
      </c>
      <c r="C733" s="287">
        <v>0.0</v>
      </c>
      <c r="D733" s="287" t="s">
        <v>483</v>
      </c>
      <c r="E733" s="287">
        <v>0.0</v>
      </c>
      <c r="F733" s="287" t="s">
        <v>451</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822</v>
      </c>
      <c r="B734" s="286" t="s">
        <v>255</v>
      </c>
      <c r="C734" s="287">
        <v>0.0</v>
      </c>
      <c r="D734" s="287" t="s">
        <v>455</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823</v>
      </c>
      <c r="B735" s="286" t="s">
        <v>255</v>
      </c>
      <c r="C735" s="287">
        <v>0.0</v>
      </c>
      <c r="D735" s="287" t="s">
        <v>451</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824</v>
      </c>
      <c r="B736" s="286" t="s">
        <v>255</v>
      </c>
      <c r="C736" s="287">
        <v>0.0</v>
      </c>
      <c r="D736" s="287" t="s">
        <v>547</v>
      </c>
      <c r="E736" s="287">
        <v>0.0</v>
      </c>
      <c r="F736" s="287" t="s">
        <v>451</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825</v>
      </c>
      <c r="B737" s="286" t="s">
        <v>255</v>
      </c>
      <c r="C737" s="287">
        <v>0.0</v>
      </c>
      <c r="D737" s="287" t="s">
        <v>462</v>
      </c>
      <c r="E737" s="287">
        <v>0.0</v>
      </c>
      <c r="F737" s="287" t="s">
        <v>451</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826</v>
      </c>
      <c r="B738" s="286" t="s">
        <v>255</v>
      </c>
      <c r="C738" s="287">
        <v>0.0</v>
      </c>
      <c r="D738" s="287" t="s">
        <v>455</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827</v>
      </c>
      <c r="B739" s="286" t="s">
        <v>255</v>
      </c>
      <c r="C739" s="287">
        <v>0.0</v>
      </c>
      <c r="D739" s="287">
        <v>0.0</v>
      </c>
      <c r="E739" s="287">
        <v>0.0</v>
      </c>
      <c r="F739" s="287" t="s">
        <v>451</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828</v>
      </c>
      <c r="B740" s="286" t="s">
        <v>255</v>
      </c>
      <c r="C740" s="287">
        <v>0.0</v>
      </c>
      <c r="D740" s="287" t="s">
        <v>462</v>
      </c>
      <c r="E740" s="287">
        <v>0.0</v>
      </c>
      <c r="F740" s="287" t="s">
        <v>451</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829</v>
      </c>
      <c r="B741" s="286" t="s">
        <v>255</v>
      </c>
      <c r="C741" s="287">
        <v>0.0</v>
      </c>
      <c r="D741" s="287" t="s">
        <v>459</v>
      </c>
      <c r="E741" s="287">
        <v>0.0</v>
      </c>
      <c r="F741" s="287" t="s">
        <v>451</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830</v>
      </c>
      <c r="B742" s="286" t="s">
        <v>255</v>
      </c>
      <c r="C742" s="287">
        <v>0.0</v>
      </c>
      <c r="D742" s="287" t="s">
        <v>455</v>
      </c>
      <c r="E742" s="287">
        <v>0.0</v>
      </c>
      <c r="F742" s="287" t="s">
        <v>451</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831</v>
      </c>
      <c r="B743" s="286" t="s">
        <v>255</v>
      </c>
      <c r="C743" s="287" t="s">
        <v>451</v>
      </c>
      <c r="D743" s="287" t="s">
        <v>459</v>
      </c>
      <c r="E743" s="287">
        <v>0.0</v>
      </c>
      <c r="F743" s="287" t="s">
        <v>451</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833</v>
      </c>
      <c r="B744" s="286" t="s">
        <v>255</v>
      </c>
      <c r="C744" s="287">
        <v>0.0</v>
      </c>
      <c r="D744" s="287" t="s">
        <v>455</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834</v>
      </c>
      <c r="B745" s="286" t="s">
        <v>255</v>
      </c>
      <c r="C745" s="287">
        <v>0.0</v>
      </c>
      <c r="D745" s="287" t="s">
        <v>457</v>
      </c>
      <c r="E745" s="287">
        <v>0.0</v>
      </c>
      <c r="F745" s="287" t="s">
        <v>451</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955</v>
      </c>
      <c r="B746" s="286" t="s">
        <v>255</v>
      </c>
      <c r="C746" s="287">
        <v>0.0</v>
      </c>
      <c r="D746" s="287" t="s">
        <v>451</v>
      </c>
      <c r="E746" s="287">
        <v>0.0</v>
      </c>
      <c r="F746" s="287" t="s">
        <v>451</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836</v>
      </c>
      <c r="B747" s="286" t="s">
        <v>255</v>
      </c>
      <c r="C747" s="287">
        <v>0.0</v>
      </c>
      <c r="D747" s="287" t="s">
        <v>462</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837</v>
      </c>
      <c r="B748" s="286" t="s">
        <v>255</v>
      </c>
      <c r="C748" s="287">
        <v>0.0</v>
      </c>
      <c r="D748" s="287" t="s">
        <v>462</v>
      </c>
      <c r="E748" s="287">
        <v>0.0</v>
      </c>
      <c r="F748" s="287" t="s">
        <v>451</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838</v>
      </c>
      <c r="B749" s="286" t="s">
        <v>255</v>
      </c>
      <c r="C749" s="287">
        <v>0.0</v>
      </c>
      <c r="D749" s="287" t="s">
        <v>451</v>
      </c>
      <c r="E749" s="287">
        <v>0.0</v>
      </c>
      <c r="F749" s="287" t="s">
        <v>451</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839</v>
      </c>
      <c r="B750" s="286" t="s">
        <v>255</v>
      </c>
      <c r="C750" s="287">
        <v>0.0</v>
      </c>
      <c r="D750" s="287" t="s">
        <v>457</v>
      </c>
      <c r="E750" s="287">
        <v>0.0</v>
      </c>
      <c r="F750" s="287" t="s">
        <v>451</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840</v>
      </c>
      <c r="B751" s="286" t="s">
        <v>255</v>
      </c>
      <c r="C751" s="287">
        <v>0.0</v>
      </c>
      <c r="D751" s="287" t="s">
        <v>455</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841</v>
      </c>
      <c r="B752" s="286" t="s">
        <v>255</v>
      </c>
      <c r="C752" s="287">
        <v>0.0</v>
      </c>
      <c r="D752" s="287" t="s">
        <v>455</v>
      </c>
      <c r="E752" s="287">
        <v>0.0</v>
      </c>
      <c r="F752" s="287" t="s">
        <v>451</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842</v>
      </c>
      <c r="B753" s="286" t="s">
        <v>255</v>
      </c>
      <c r="C753" s="287">
        <v>0.0</v>
      </c>
      <c r="D753" s="287" t="s">
        <v>491</v>
      </c>
      <c r="E753" s="287">
        <v>0.0</v>
      </c>
      <c r="F753" s="287" t="s">
        <v>451</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843</v>
      </c>
      <c r="B754" s="286" t="s">
        <v>255</v>
      </c>
      <c r="C754" s="287">
        <v>0.0</v>
      </c>
      <c r="D754" s="287" t="s">
        <v>462</v>
      </c>
      <c r="E754" s="287">
        <v>0.0</v>
      </c>
      <c r="F754" s="287" t="s">
        <v>451</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844</v>
      </c>
      <c r="B755" s="286" t="s">
        <v>255</v>
      </c>
      <c r="C755" s="287">
        <v>0.0</v>
      </c>
      <c r="D755" s="287" t="s">
        <v>461</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845</v>
      </c>
      <c r="B756" s="286" t="s">
        <v>255</v>
      </c>
      <c r="C756" s="287">
        <v>0.0</v>
      </c>
      <c r="D756" s="287" t="s">
        <v>462</v>
      </c>
      <c r="E756" s="287">
        <v>0.0</v>
      </c>
      <c r="F756" s="287" t="s">
        <v>451</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846</v>
      </c>
      <c r="B757" s="286" t="s">
        <v>255</v>
      </c>
      <c r="C757" s="287">
        <v>0.0</v>
      </c>
      <c r="D757" s="287" t="s">
        <v>457</v>
      </c>
      <c r="E757" s="287">
        <v>0.0</v>
      </c>
      <c r="F757" s="287" t="s">
        <v>451</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847</v>
      </c>
      <c r="B758" s="286" t="s">
        <v>255</v>
      </c>
      <c r="C758" s="287">
        <v>0.0</v>
      </c>
      <c r="D758" s="287" t="s">
        <v>461</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848</v>
      </c>
      <c r="B759" s="286" t="s">
        <v>255</v>
      </c>
      <c r="C759" s="287">
        <v>0.0</v>
      </c>
      <c r="D759" s="287" t="s">
        <v>451</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849</v>
      </c>
      <c r="B760" s="286" t="s">
        <v>850</v>
      </c>
      <c r="C760" s="287">
        <v>0.0</v>
      </c>
      <c r="D760" s="287" t="s">
        <v>451</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851</v>
      </c>
      <c r="B761" s="286" t="s">
        <v>852</v>
      </c>
      <c r="C761" s="287">
        <v>0.0</v>
      </c>
      <c r="D761" s="287" t="s">
        <v>462</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854</v>
      </c>
      <c r="B762" s="286" t="s">
        <v>855</v>
      </c>
      <c r="C762" s="287">
        <v>0.0</v>
      </c>
      <c r="D762" s="287" t="s">
        <v>461</v>
      </c>
      <c r="E762" s="287">
        <v>0.0</v>
      </c>
      <c r="F762" s="287" t="s">
        <v>451</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856</v>
      </c>
      <c r="B763" s="286" t="s">
        <v>257</v>
      </c>
      <c r="C763" s="287" t="s">
        <v>451</v>
      </c>
      <c r="D763" s="287" t="s">
        <v>451</v>
      </c>
      <c r="E763" s="287">
        <v>0.0</v>
      </c>
      <c r="F763" s="287" t="s">
        <v>451</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857</v>
      </c>
      <c r="B764" s="286" t="s">
        <v>257</v>
      </c>
      <c r="C764" s="287">
        <v>0.0</v>
      </c>
      <c r="D764" s="287" t="s">
        <v>451</v>
      </c>
      <c r="E764" s="287">
        <v>0.0</v>
      </c>
      <c r="F764" s="287" t="s">
        <v>451</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858</v>
      </c>
      <c r="B765" s="286" t="s">
        <v>257</v>
      </c>
      <c r="C765" s="287">
        <v>0.0</v>
      </c>
      <c r="D765" s="287">
        <v>0.0</v>
      </c>
      <c r="E765" s="287">
        <v>0.0</v>
      </c>
      <c r="F765" s="287" t="s">
        <v>451</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859</v>
      </c>
      <c r="B766" s="286" t="s">
        <v>257</v>
      </c>
      <c r="C766" s="287" t="s">
        <v>451</v>
      </c>
      <c r="D766" s="287" t="s">
        <v>461</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860</v>
      </c>
      <c r="B767" s="286" t="s">
        <v>257</v>
      </c>
      <c r="C767" s="287" t="s">
        <v>451</v>
      </c>
      <c r="D767" s="287" t="s">
        <v>462</v>
      </c>
      <c r="E767" s="287">
        <v>0.0</v>
      </c>
      <c r="F767" s="287" t="s">
        <v>451</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861</v>
      </c>
      <c r="B768" s="286" t="s">
        <v>861</v>
      </c>
      <c r="C768" s="287">
        <v>0.0</v>
      </c>
      <c r="D768" s="287" t="s">
        <v>451</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862</v>
      </c>
      <c r="B769" s="286" t="s">
        <v>863</v>
      </c>
      <c r="C769" s="287">
        <v>0.0</v>
      </c>
      <c r="D769" s="287" t="s">
        <v>451</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956</v>
      </c>
      <c r="B770" s="286" t="s">
        <v>863</v>
      </c>
      <c r="C770" s="287">
        <v>0.0</v>
      </c>
      <c r="D770" s="287" t="s">
        <v>451</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864</v>
      </c>
      <c r="B771" s="286" t="s">
        <v>258</v>
      </c>
      <c r="C771" s="287">
        <v>0.0</v>
      </c>
      <c r="D771" s="287" t="s">
        <v>451</v>
      </c>
      <c r="E771" s="287">
        <v>0.0</v>
      </c>
      <c r="F771" s="287" t="s">
        <v>451</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866</v>
      </c>
      <c r="B772" s="286" t="s">
        <v>258</v>
      </c>
      <c r="C772" s="287">
        <v>0.0</v>
      </c>
      <c r="D772" s="287" t="s">
        <v>451</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867</v>
      </c>
      <c r="B773" s="286" t="s">
        <v>258</v>
      </c>
      <c r="C773" s="287">
        <v>0.0</v>
      </c>
      <c r="D773" s="287" t="s">
        <v>462</v>
      </c>
      <c r="E773" s="287">
        <v>0.0</v>
      </c>
      <c r="F773" s="287" t="s">
        <v>451</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868</v>
      </c>
      <c r="B774" s="286" t="s">
        <v>258</v>
      </c>
      <c r="C774" s="287">
        <v>0.0</v>
      </c>
      <c r="D774" s="287" t="s">
        <v>491</v>
      </c>
      <c r="E774" s="287">
        <v>0.0</v>
      </c>
      <c r="F774" s="287" t="s">
        <v>451</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869</v>
      </c>
      <c r="B775" s="286" t="s">
        <v>258</v>
      </c>
      <c r="C775" s="287" t="s">
        <v>451</v>
      </c>
      <c r="D775" s="287" t="s">
        <v>457</v>
      </c>
      <c r="E775" s="287">
        <v>0.0</v>
      </c>
      <c r="F775" s="287" t="s">
        <v>451</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870</v>
      </c>
      <c r="B776" s="286" t="s">
        <v>258</v>
      </c>
      <c r="C776" s="287">
        <v>0.0</v>
      </c>
      <c r="D776" s="287" t="s">
        <v>451</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871</v>
      </c>
      <c r="B777" s="286" t="s">
        <v>259</v>
      </c>
      <c r="C777" s="287">
        <v>0.0</v>
      </c>
      <c r="D777" s="287" t="s">
        <v>462</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872</v>
      </c>
      <c r="B778" s="286" t="s">
        <v>259</v>
      </c>
      <c r="C778" s="287">
        <v>0.0</v>
      </c>
      <c r="D778" s="287" t="s">
        <v>461</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873</v>
      </c>
      <c r="B779" s="286" t="s">
        <v>259</v>
      </c>
      <c r="C779" s="287">
        <v>0.0</v>
      </c>
      <c r="D779" s="287" t="s">
        <v>451</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874</v>
      </c>
      <c r="B780" s="286" t="s">
        <v>259</v>
      </c>
      <c r="C780" s="287" t="s">
        <v>451</v>
      </c>
      <c r="D780" s="287" t="s">
        <v>462</v>
      </c>
      <c r="E780" s="287">
        <v>0.0</v>
      </c>
      <c r="F780" s="287" t="s">
        <v>451</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875</v>
      </c>
      <c r="B781" s="286" t="s">
        <v>259</v>
      </c>
      <c r="C781" s="287">
        <v>0.0</v>
      </c>
      <c r="D781" s="287" t="s">
        <v>457</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876</v>
      </c>
      <c r="B782" s="286" t="s">
        <v>259</v>
      </c>
      <c r="C782" s="287">
        <v>0.0</v>
      </c>
      <c r="D782" s="287" t="s">
        <v>451</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877</v>
      </c>
      <c r="B783" s="286" t="s">
        <v>259</v>
      </c>
      <c r="C783" s="287">
        <v>0.0</v>
      </c>
      <c r="D783" s="287">
        <v>0.0</v>
      </c>
      <c r="E783" s="287">
        <v>0.0</v>
      </c>
      <c r="F783" s="287" t="s">
        <v>451</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878</v>
      </c>
      <c r="B784" s="286" t="s">
        <v>879</v>
      </c>
      <c r="C784" s="287">
        <v>0.0</v>
      </c>
      <c r="D784" s="287" t="s">
        <v>462</v>
      </c>
      <c r="E784" s="287">
        <v>0.0</v>
      </c>
      <c r="F784" s="287" t="s">
        <v>451</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881</v>
      </c>
      <c r="B785" s="286" t="s">
        <v>881</v>
      </c>
      <c r="C785" s="287">
        <v>0.0</v>
      </c>
      <c r="D785" s="287" t="s">
        <v>451</v>
      </c>
      <c r="E785" s="287">
        <v>0.0</v>
      </c>
      <c r="F785" s="287" t="s">
        <v>451</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882</v>
      </c>
      <c r="B786" s="286" t="s">
        <v>882</v>
      </c>
      <c r="C786" s="287">
        <v>0.0</v>
      </c>
      <c r="D786" s="287" t="s">
        <v>455</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883</v>
      </c>
      <c r="B787" s="286" t="s">
        <v>260</v>
      </c>
      <c r="C787" s="287">
        <v>0.0</v>
      </c>
      <c r="D787" s="287" t="s">
        <v>462</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884</v>
      </c>
      <c r="B788" s="286" t="s">
        <v>260</v>
      </c>
      <c r="C788" s="287">
        <v>0.0</v>
      </c>
      <c r="D788" s="287" t="s">
        <v>451</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885</v>
      </c>
      <c r="B789" s="286" t="s">
        <v>260</v>
      </c>
      <c r="C789" s="287" t="s">
        <v>451</v>
      </c>
      <c r="D789" s="287" t="s">
        <v>455</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886</v>
      </c>
      <c r="B790" s="286" t="s">
        <v>260</v>
      </c>
      <c r="C790" s="287">
        <v>0.0</v>
      </c>
      <c r="D790" s="287" t="s">
        <v>462</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887</v>
      </c>
      <c r="B791" s="286" t="s">
        <v>260</v>
      </c>
      <c r="C791" s="287">
        <v>0.0</v>
      </c>
      <c r="D791" s="287">
        <v>0.0</v>
      </c>
      <c r="E791" s="287">
        <v>0.0</v>
      </c>
      <c r="F791" s="287" t="s">
        <v>451</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888</v>
      </c>
      <c r="B792" s="286" t="s">
        <v>888</v>
      </c>
      <c r="C792" s="287">
        <v>0.0</v>
      </c>
      <c r="D792" s="287" t="s">
        <v>491</v>
      </c>
      <c r="E792" s="287">
        <v>0.0</v>
      </c>
      <c r="F792" s="287" t="s">
        <v>451</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889</v>
      </c>
      <c r="B793" s="286" t="s">
        <v>890</v>
      </c>
      <c r="C793" s="287">
        <v>0.0</v>
      </c>
      <c r="D793" s="287" t="s">
        <v>462</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891</v>
      </c>
      <c r="B794" s="286" t="s">
        <v>892</v>
      </c>
      <c r="C794" s="287">
        <v>0.0</v>
      </c>
      <c r="D794" s="287" t="s">
        <v>491</v>
      </c>
      <c r="E794" s="287">
        <v>0.0</v>
      </c>
      <c r="F794" s="287" t="s">
        <v>451</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893</v>
      </c>
      <c r="B795" s="286" t="s">
        <v>262</v>
      </c>
      <c r="C795" s="287">
        <v>0.0</v>
      </c>
      <c r="D795" s="287" t="s">
        <v>462</v>
      </c>
      <c r="E795" s="287">
        <v>0.0</v>
      </c>
      <c r="F795" s="287" t="s">
        <v>451</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894</v>
      </c>
      <c r="B796" s="286" t="s">
        <v>262</v>
      </c>
      <c r="C796" s="287">
        <v>0.0</v>
      </c>
      <c r="D796" s="287" t="s">
        <v>451</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895</v>
      </c>
      <c r="B797" s="286" t="s">
        <v>262</v>
      </c>
      <c r="C797" s="287">
        <v>0.0</v>
      </c>
      <c r="D797" s="287" t="s">
        <v>451</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896</v>
      </c>
      <c r="B798" s="286" t="s">
        <v>262</v>
      </c>
      <c r="C798" s="287">
        <v>0.0</v>
      </c>
      <c r="D798" s="287" t="s">
        <v>462</v>
      </c>
      <c r="E798" s="287">
        <v>0.0</v>
      </c>
      <c r="F798" s="287" t="s">
        <v>451</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897</v>
      </c>
      <c r="B799" s="286" t="s">
        <v>262</v>
      </c>
      <c r="C799" s="287">
        <v>0.0</v>
      </c>
      <c r="D799" s="287" t="s">
        <v>462</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898</v>
      </c>
      <c r="B800" s="286" t="s">
        <v>262</v>
      </c>
      <c r="C800" s="287">
        <v>0.0</v>
      </c>
      <c r="D800" s="287" t="s">
        <v>462</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899</v>
      </c>
      <c r="B801" s="286" t="s">
        <v>262</v>
      </c>
      <c r="C801" s="287">
        <v>0.0</v>
      </c>
      <c r="D801" s="287" t="s">
        <v>462</v>
      </c>
      <c r="E801" s="287">
        <v>0.0</v>
      </c>
      <c r="F801" s="287" t="s">
        <v>451</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900</v>
      </c>
      <c r="B802" s="286" t="s">
        <v>262</v>
      </c>
      <c r="C802" s="287" t="s">
        <v>451</v>
      </c>
      <c r="D802" s="287" t="s">
        <v>462</v>
      </c>
      <c r="E802" s="287">
        <v>0.0</v>
      </c>
      <c r="F802" s="287" t="s">
        <v>451</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901</v>
      </c>
      <c r="B803" s="286" t="s">
        <v>262</v>
      </c>
      <c r="C803" s="287">
        <v>0.0</v>
      </c>
      <c r="D803" s="287" t="s">
        <v>451</v>
      </c>
      <c r="E803" s="287">
        <v>0.0</v>
      </c>
      <c r="F803" s="287" t="s">
        <v>451</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902</v>
      </c>
      <c r="B804" s="286" t="s">
        <v>262</v>
      </c>
      <c r="C804" s="287">
        <v>0.0</v>
      </c>
      <c r="D804" s="287" t="s">
        <v>462</v>
      </c>
      <c r="E804" s="287">
        <v>0.0</v>
      </c>
      <c r="F804" s="287" t="s">
        <v>451</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903</v>
      </c>
      <c r="B805" s="286" t="s">
        <v>262</v>
      </c>
      <c r="C805" s="287">
        <v>0.0</v>
      </c>
      <c r="D805" s="287" t="s">
        <v>451</v>
      </c>
      <c r="E805" s="287">
        <v>0.0</v>
      </c>
      <c r="F805" s="287" t="s">
        <v>451</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904</v>
      </c>
      <c r="B806" s="286" t="s">
        <v>262</v>
      </c>
      <c r="C806" s="287" t="s">
        <v>451</v>
      </c>
      <c r="D806" s="287" t="s">
        <v>600</v>
      </c>
      <c r="E806" s="287">
        <v>0.0</v>
      </c>
      <c r="F806" s="287" t="s">
        <v>451</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905</v>
      </c>
      <c r="B807" s="286" t="s">
        <v>262</v>
      </c>
      <c r="C807" s="287">
        <v>0.0</v>
      </c>
      <c r="D807" s="287" t="s">
        <v>462</v>
      </c>
      <c r="E807" s="287">
        <v>0.0</v>
      </c>
      <c r="F807" s="287" t="s">
        <v>451</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906</v>
      </c>
      <c r="B808" s="286" t="s">
        <v>262</v>
      </c>
      <c r="C808" s="287">
        <v>0.0</v>
      </c>
      <c r="D808" s="287" t="s">
        <v>957</v>
      </c>
      <c r="E808" s="287">
        <v>0.0</v>
      </c>
      <c r="F808" s="287" t="s">
        <v>451</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907</v>
      </c>
      <c r="B809" s="286" t="s">
        <v>262</v>
      </c>
      <c r="C809" s="287">
        <v>0.0</v>
      </c>
      <c r="D809" s="287">
        <v>0.0</v>
      </c>
      <c r="E809" s="287">
        <v>0.0</v>
      </c>
      <c r="F809" s="287" t="s">
        <v>451</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908</v>
      </c>
      <c r="B810" s="286" t="s">
        <v>262</v>
      </c>
      <c r="C810" s="287">
        <v>0.0</v>
      </c>
      <c r="D810" s="287" t="s">
        <v>451</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909</v>
      </c>
      <c r="B811" s="286" t="s">
        <v>262</v>
      </c>
      <c r="C811" s="287">
        <v>0.0</v>
      </c>
      <c r="D811" s="287" t="s">
        <v>462</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910</v>
      </c>
      <c r="B812" s="286" t="s">
        <v>262</v>
      </c>
      <c r="C812" s="287">
        <v>0.0</v>
      </c>
      <c r="D812" s="287" t="s">
        <v>459</v>
      </c>
      <c r="E812" s="287">
        <v>0.0</v>
      </c>
      <c r="F812" s="287" t="s">
        <v>451</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912</v>
      </c>
      <c r="B813" s="286" t="s">
        <v>262</v>
      </c>
      <c r="C813" s="287">
        <v>0.0</v>
      </c>
      <c r="D813" s="287" t="s">
        <v>483</v>
      </c>
      <c r="E813" s="287">
        <v>0.0</v>
      </c>
      <c r="F813" s="287" t="s">
        <v>451</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913</v>
      </c>
      <c r="B814" s="286" t="s">
        <v>913</v>
      </c>
      <c r="C814" s="287">
        <v>0.0</v>
      </c>
      <c r="D814" s="287" t="s">
        <v>451</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914</v>
      </c>
      <c r="B815" s="286" t="s">
        <v>264</v>
      </c>
      <c r="C815" s="287">
        <v>0.0</v>
      </c>
      <c r="D815" s="287" t="s">
        <v>455</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915</v>
      </c>
      <c r="B816" s="286" t="s">
        <v>264</v>
      </c>
      <c r="C816" s="287" t="s">
        <v>451</v>
      </c>
      <c r="D816" s="287" t="s">
        <v>457</v>
      </c>
      <c r="E816" s="287">
        <v>0.0</v>
      </c>
      <c r="F816" s="287" t="s">
        <v>462</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916</v>
      </c>
      <c r="B817" s="286" t="s">
        <v>264</v>
      </c>
      <c r="C817" s="287">
        <v>0.0</v>
      </c>
      <c r="D817" s="287" t="s">
        <v>457</v>
      </c>
      <c r="E817" s="287">
        <v>0.0</v>
      </c>
      <c r="F817" s="287" t="s">
        <v>451</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917</v>
      </c>
      <c r="B818" s="286" t="s">
        <v>264</v>
      </c>
      <c r="C818" s="287">
        <v>0.0</v>
      </c>
      <c r="D818" s="287" t="s">
        <v>451</v>
      </c>
      <c r="E818" s="287">
        <v>0.0</v>
      </c>
      <c r="F818" s="287" t="s">
        <v>451</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918</v>
      </c>
      <c r="B819" s="286" t="s">
        <v>264</v>
      </c>
      <c r="C819" s="287">
        <v>0.0</v>
      </c>
      <c r="D819" s="287" t="s">
        <v>455</v>
      </c>
      <c r="E819" s="287">
        <v>0.0</v>
      </c>
      <c r="F819" s="287" t="s">
        <v>451</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919</v>
      </c>
      <c r="B820" s="286" t="s">
        <v>264</v>
      </c>
      <c r="C820" s="287">
        <v>0.0</v>
      </c>
      <c r="D820" s="287" t="s">
        <v>547</v>
      </c>
      <c r="E820" s="287">
        <v>0.0</v>
      </c>
      <c r="F820" s="287" t="s">
        <v>462</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920</v>
      </c>
      <c r="B821" s="286" t="s">
        <v>265</v>
      </c>
      <c r="C821" s="287">
        <v>0.0</v>
      </c>
      <c r="D821" s="287" t="s">
        <v>451</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921</v>
      </c>
      <c r="B822" s="286" t="s">
        <v>265</v>
      </c>
      <c r="C822" s="287">
        <v>0.0</v>
      </c>
      <c r="D822" s="287" t="s">
        <v>451</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922</v>
      </c>
      <c r="B823" s="286" t="s">
        <v>265</v>
      </c>
      <c r="C823" s="287">
        <v>0.0</v>
      </c>
      <c r="D823" s="287" t="s">
        <v>451</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923</v>
      </c>
      <c r="B824" s="286" t="s">
        <v>265</v>
      </c>
      <c r="C824" s="287">
        <v>0.0</v>
      </c>
      <c r="D824" s="287" t="s">
        <v>461</v>
      </c>
      <c r="E824" s="287">
        <v>0.0</v>
      </c>
      <c r="F824" s="287" t="s">
        <v>451</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925</v>
      </c>
      <c r="B825" s="286" t="s">
        <v>265</v>
      </c>
      <c r="C825" s="287">
        <v>0.0</v>
      </c>
      <c r="D825" s="287" t="s">
        <v>461</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926</v>
      </c>
      <c r="B826" s="286" t="s">
        <v>266</v>
      </c>
      <c r="C826" s="287">
        <v>0.0</v>
      </c>
      <c r="D826" s="287" t="s">
        <v>455</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927</v>
      </c>
      <c r="B827" s="286" t="s">
        <v>266</v>
      </c>
      <c r="C827" s="287">
        <v>0.0</v>
      </c>
      <c r="D827" s="287" t="s">
        <v>455</v>
      </c>
      <c r="E827" s="287">
        <v>0.0</v>
      </c>
      <c r="F827" s="287" t="s">
        <v>451</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928</v>
      </c>
      <c r="B828" s="286" t="s">
        <v>266</v>
      </c>
      <c r="C828" s="287">
        <v>0.0</v>
      </c>
      <c r="D828" s="287" t="s">
        <v>455</v>
      </c>
      <c r="E828" s="287">
        <v>0.0</v>
      </c>
      <c r="F828" s="287" t="s">
        <v>451</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929</v>
      </c>
      <c r="B829" s="286" t="s">
        <v>266</v>
      </c>
      <c r="C829" s="287">
        <v>0.0</v>
      </c>
      <c r="D829" s="287" t="s">
        <v>455</v>
      </c>
      <c r="E829" s="287">
        <v>0.0</v>
      </c>
      <c r="F829" s="287" t="s">
        <v>451</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930</v>
      </c>
      <c r="B830" s="286" t="s">
        <v>266</v>
      </c>
      <c r="C830" s="287">
        <v>0.0</v>
      </c>
      <c r="D830" s="287" t="s">
        <v>455</v>
      </c>
      <c r="E830" s="287">
        <v>0.0</v>
      </c>
      <c r="F830" s="287" t="s">
        <v>451</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931</v>
      </c>
      <c r="B831" s="286" t="s">
        <v>266</v>
      </c>
      <c r="C831" s="287" t="s">
        <v>451</v>
      </c>
      <c r="D831" s="287" t="s">
        <v>457</v>
      </c>
      <c r="E831" s="287">
        <v>0.0</v>
      </c>
      <c r="F831" s="287" t="s">
        <v>462</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933</v>
      </c>
      <c r="B832" s="286" t="s">
        <v>266</v>
      </c>
      <c r="C832" s="287" t="s">
        <v>451</v>
      </c>
      <c r="D832" s="287" t="s">
        <v>958</v>
      </c>
      <c r="E832" s="287">
        <v>0.0</v>
      </c>
      <c r="F832" s="287" t="s">
        <v>462</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934</v>
      </c>
      <c r="B833" s="286" t="s">
        <v>266</v>
      </c>
      <c r="C833" s="287" t="s">
        <v>451</v>
      </c>
      <c r="D833" s="287" t="s">
        <v>457</v>
      </c>
      <c r="E833" s="287">
        <v>0.0</v>
      </c>
      <c r="F833" s="287" t="s">
        <v>451</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935</v>
      </c>
      <c r="B834" s="286" t="s">
        <v>266</v>
      </c>
      <c r="C834" s="287" t="s">
        <v>451</v>
      </c>
      <c r="D834" s="287" t="s">
        <v>491</v>
      </c>
      <c r="E834" s="287">
        <v>0.0</v>
      </c>
      <c r="F834" s="287" t="s">
        <v>451</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936</v>
      </c>
      <c r="B835" s="286" t="s">
        <v>937</v>
      </c>
      <c r="C835" s="287" t="s">
        <v>455</v>
      </c>
      <c r="D835" s="287" t="s">
        <v>959</v>
      </c>
      <c r="E835" s="287">
        <v>0.0</v>
      </c>
      <c r="F835" s="287" t="s">
        <v>545</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940</v>
      </c>
      <c r="C836" s="291" t="s">
        <v>938</v>
      </c>
      <c r="D836" s="291" t="s">
        <v>960</v>
      </c>
      <c r="E836" s="291" t="s">
        <v>451</v>
      </c>
      <c r="F836" s="291" t="s">
        <v>961</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962</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963</v>
      </c>
    </row>
    <row r="2">
      <c r="A2" s="295" t="s">
        <v>964</v>
      </c>
      <c r="B2" s="296"/>
      <c r="C2" s="296"/>
      <c r="D2" s="296"/>
    </row>
    <row r="3">
      <c r="A3" s="297" t="s">
        <v>965</v>
      </c>
      <c r="B3" s="298" t="s">
        <v>966</v>
      </c>
      <c r="C3" s="298" t="s">
        <v>967</v>
      </c>
      <c r="D3" s="299" t="s">
        <v>968</v>
      </c>
    </row>
    <row r="4">
      <c r="A4" s="300" t="s">
        <v>969</v>
      </c>
      <c r="B4" s="112"/>
      <c r="C4" s="112"/>
      <c r="D4" s="43"/>
    </row>
    <row r="5">
      <c r="A5" s="301" t="s">
        <v>970</v>
      </c>
      <c r="B5" s="302" t="s">
        <v>545</v>
      </c>
      <c r="C5" s="303">
        <v>0.0</v>
      </c>
      <c r="D5" s="304" t="s">
        <v>461</v>
      </c>
    </row>
    <row r="6">
      <c r="A6" s="305" t="s">
        <v>971</v>
      </c>
      <c r="B6" s="302" t="s">
        <v>483</v>
      </c>
      <c r="C6" s="303">
        <v>0.0</v>
      </c>
      <c r="D6" s="304" t="s">
        <v>455</v>
      </c>
    </row>
    <row r="7">
      <c r="A7" s="305" t="s">
        <v>972</v>
      </c>
      <c r="B7" s="302" t="s">
        <v>459</v>
      </c>
      <c r="C7" s="306">
        <v>0.0</v>
      </c>
      <c r="D7" s="304" t="s">
        <v>462</v>
      </c>
    </row>
    <row r="8">
      <c r="A8" s="305" t="s">
        <v>973</v>
      </c>
      <c r="B8" s="302" t="s">
        <v>457</v>
      </c>
      <c r="C8" s="306">
        <v>0.0</v>
      </c>
      <c r="D8" s="304" t="s">
        <v>451</v>
      </c>
    </row>
    <row r="9">
      <c r="A9" s="307" t="s">
        <v>974</v>
      </c>
      <c r="B9" s="308" t="s">
        <v>483</v>
      </c>
      <c r="C9" s="309">
        <v>0.0</v>
      </c>
      <c r="D9" s="310" t="s">
        <v>455</v>
      </c>
    </row>
    <row r="10">
      <c r="A10" s="307" t="s">
        <v>975</v>
      </c>
      <c r="B10" s="308" t="s">
        <v>976</v>
      </c>
      <c r="C10" s="309">
        <v>0.0</v>
      </c>
      <c r="D10" s="310" t="s">
        <v>461</v>
      </c>
    </row>
    <row r="11">
      <c r="A11" s="311" t="s">
        <v>977</v>
      </c>
      <c r="B11" s="312" t="s">
        <v>547</v>
      </c>
      <c r="C11" s="309">
        <v>0.0</v>
      </c>
      <c r="D11" s="310" t="s">
        <v>455</v>
      </c>
    </row>
    <row r="12">
      <c r="A12" s="307" t="s">
        <v>978</v>
      </c>
      <c r="B12" s="308" t="s">
        <v>979</v>
      </c>
      <c r="C12" s="309">
        <v>0.0</v>
      </c>
      <c r="D12" s="310" t="s">
        <v>547</v>
      </c>
    </row>
    <row r="13">
      <c r="A13" s="307" t="s">
        <v>980</v>
      </c>
      <c r="B13" s="308" t="s">
        <v>457</v>
      </c>
      <c r="C13" s="309">
        <v>0.0</v>
      </c>
      <c r="D13" s="310" t="s">
        <v>455</v>
      </c>
    </row>
    <row r="14">
      <c r="A14" s="311" t="s">
        <v>981</v>
      </c>
      <c r="B14" s="312" t="s">
        <v>555</v>
      </c>
      <c r="C14" s="309">
        <v>0.0</v>
      </c>
      <c r="D14" s="310" t="s">
        <v>491</v>
      </c>
    </row>
    <row r="15">
      <c r="A15" s="307" t="s">
        <v>982</v>
      </c>
      <c r="B15" s="308" t="s">
        <v>983</v>
      </c>
      <c r="C15" s="306">
        <v>0.0</v>
      </c>
      <c r="D15" s="310" t="s">
        <v>459</v>
      </c>
    </row>
    <row r="16">
      <c r="A16" s="307" t="s">
        <v>984</v>
      </c>
      <c r="B16" s="308" t="s">
        <v>457</v>
      </c>
      <c r="C16" s="309">
        <v>0.0</v>
      </c>
      <c r="D16" s="310" t="s">
        <v>451</v>
      </c>
    </row>
    <row r="17">
      <c r="A17" s="307" t="s">
        <v>985</v>
      </c>
      <c r="B17" s="308" t="s">
        <v>491</v>
      </c>
      <c r="C17" s="309">
        <v>0.0</v>
      </c>
      <c r="D17" s="310" t="s">
        <v>462</v>
      </c>
    </row>
    <row r="18">
      <c r="A18" s="307" t="s">
        <v>986</v>
      </c>
      <c r="B18" s="308" t="s">
        <v>987</v>
      </c>
      <c r="C18" s="306">
        <v>0.0</v>
      </c>
      <c r="D18" s="310" t="s">
        <v>483</v>
      </c>
    </row>
    <row r="19">
      <c r="A19" s="307" t="s">
        <v>988</v>
      </c>
      <c r="B19" s="308" t="s">
        <v>555</v>
      </c>
      <c r="C19" s="309">
        <v>0.0</v>
      </c>
      <c r="D19" s="310" t="s">
        <v>461</v>
      </c>
    </row>
    <row r="20">
      <c r="A20" s="307" t="s">
        <v>989</v>
      </c>
      <c r="B20" s="308" t="s">
        <v>987</v>
      </c>
      <c r="C20" s="309">
        <v>0.0</v>
      </c>
      <c r="D20" s="310" t="s">
        <v>946</v>
      </c>
    </row>
    <row r="21">
      <c r="A21" s="307" t="s">
        <v>990</v>
      </c>
      <c r="B21" s="308" t="s">
        <v>457</v>
      </c>
      <c r="C21" s="309">
        <v>0.0</v>
      </c>
      <c r="D21" s="310" t="s">
        <v>462</v>
      </c>
    </row>
    <row r="22">
      <c r="A22" s="307" t="s">
        <v>991</v>
      </c>
      <c r="B22" s="308" t="s">
        <v>946</v>
      </c>
      <c r="C22" s="309">
        <v>0.0</v>
      </c>
      <c r="D22" s="310" t="s">
        <v>461</v>
      </c>
    </row>
    <row r="23">
      <c r="A23" s="307" t="s">
        <v>992</v>
      </c>
      <c r="B23" s="308" t="s">
        <v>547</v>
      </c>
      <c r="C23" s="306">
        <v>0.0</v>
      </c>
      <c r="D23" s="310" t="s">
        <v>461</v>
      </c>
    </row>
    <row r="24">
      <c r="A24" s="307" t="s">
        <v>993</v>
      </c>
      <c r="B24" s="308" t="s">
        <v>957</v>
      </c>
      <c r="C24" s="309">
        <v>0.0</v>
      </c>
      <c r="D24" s="310" t="s">
        <v>455</v>
      </c>
    </row>
    <row r="25">
      <c r="A25" s="307" t="s">
        <v>994</v>
      </c>
      <c r="B25" s="308" t="s">
        <v>483</v>
      </c>
      <c r="C25" s="309">
        <v>0.0</v>
      </c>
      <c r="D25" s="310" t="s">
        <v>455</v>
      </c>
    </row>
    <row r="26">
      <c r="A26" s="311" t="s">
        <v>995</v>
      </c>
      <c r="B26" s="312" t="s">
        <v>455</v>
      </c>
      <c r="C26" s="309" t="s">
        <v>451</v>
      </c>
      <c r="D26" s="310" t="s">
        <v>451</v>
      </c>
    </row>
    <row r="27">
      <c r="A27" s="307" t="s">
        <v>996</v>
      </c>
      <c r="B27" s="308" t="s">
        <v>997</v>
      </c>
      <c r="C27" s="306">
        <v>0.0</v>
      </c>
      <c r="D27" s="310" t="s">
        <v>957</v>
      </c>
    </row>
    <row r="28">
      <c r="A28" s="307" t="s">
        <v>998</v>
      </c>
      <c r="B28" s="308" t="s">
        <v>545</v>
      </c>
      <c r="C28" s="309">
        <v>0.0</v>
      </c>
      <c r="D28" s="310" t="s">
        <v>462</v>
      </c>
    </row>
    <row r="29">
      <c r="A29" s="307" t="s">
        <v>999</v>
      </c>
      <c r="B29" s="308" t="s">
        <v>1000</v>
      </c>
      <c r="C29" s="309" t="s">
        <v>451</v>
      </c>
      <c r="D29" s="310" t="s">
        <v>457</v>
      </c>
    </row>
    <row r="30">
      <c r="A30" s="307" t="s">
        <v>1001</v>
      </c>
      <c r="B30" s="308" t="s">
        <v>947</v>
      </c>
      <c r="C30" s="309">
        <v>0.0</v>
      </c>
      <c r="D30" s="310" t="s">
        <v>483</v>
      </c>
    </row>
    <row r="31">
      <c r="A31" s="307" t="s">
        <v>1002</v>
      </c>
      <c r="B31" s="308" t="s">
        <v>1003</v>
      </c>
      <c r="C31" s="309">
        <v>0.0</v>
      </c>
      <c r="D31" s="310" t="s">
        <v>459</v>
      </c>
    </row>
    <row r="32">
      <c r="A32" s="307" t="s">
        <v>1004</v>
      </c>
      <c r="B32" s="308" t="s">
        <v>555</v>
      </c>
      <c r="C32" s="309">
        <v>0.0</v>
      </c>
      <c r="D32" s="310" t="s">
        <v>491</v>
      </c>
    </row>
    <row r="33">
      <c r="A33" s="307" t="s">
        <v>1005</v>
      </c>
      <c r="B33" s="308" t="s">
        <v>462</v>
      </c>
      <c r="C33" s="306">
        <v>0.0</v>
      </c>
      <c r="D33" s="310" t="s">
        <v>451</v>
      </c>
    </row>
    <row r="34">
      <c r="A34" s="307" t="s">
        <v>1006</v>
      </c>
      <c r="B34" s="308" t="s">
        <v>600</v>
      </c>
      <c r="C34" s="309">
        <v>0.0</v>
      </c>
      <c r="D34" s="313" t="s">
        <v>455</v>
      </c>
    </row>
    <row r="35">
      <c r="A35" s="311" t="s">
        <v>1007</v>
      </c>
      <c r="B35" s="308" t="s">
        <v>1008</v>
      </c>
      <c r="C35" s="309">
        <v>0.0</v>
      </c>
      <c r="D35" s="310" t="s">
        <v>457</v>
      </c>
    </row>
    <row r="36">
      <c r="A36" s="307" t="s">
        <v>1009</v>
      </c>
      <c r="B36" s="308" t="s">
        <v>947</v>
      </c>
      <c r="C36" s="306">
        <v>0.0</v>
      </c>
      <c r="D36" s="310" t="s">
        <v>461</v>
      </c>
    </row>
    <row r="37">
      <c r="A37" s="307" t="s">
        <v>1010</v>
      </c>
      <c r="B37" s="308" t="s">
        <v>457</v>
      </c>
      <c r="C37" s="309">
        <v>0.0</v>
      </c>
      <c r="D37" s="310" t="s">
        <v>455</v>
      </c>
    </row>
    <row r="38">
      <c r="A38" s="307" t="s">
        <v>1011</v>
      </c>
      <c r="B38" s="308" t="s">
        <v>491</v>
      </c>
      <c r="C38" s="309">
        <v>0.0</v>
      </c>
      <c r="D38" s="310" t="s">
        <v>451</v>
      </c>
    </row>
    <row r="39">
      <c r="A39" s="307" t="s">
        <v>1012</v>
      </c>
      <c r="B39" s="308" t="s">
        <v>457</v>
      </c>
      <c r="C39" s="309">
        <v>0.0</v>
      </c>
      <c r="D39" s="310" t="s">
        <v>462</v>
      </c>
    </row>
    <row r="40">
      <c r="A40" s="307" t="s">
        <v>1013</v>
      </c>
      <c r="B40" s="308" t="s">
        <v>491</v>
      </c>
      <c r="C40" s="309">
        <v>0.0</v>
      </c>
      <c r="D40" s="310" t="s">
        <v>451</v>
      </c>
    </row>
    <row r="41">
      <c r="A41" s="307" t="s">
        <v>1014</v>
      </c>
      <c r="B41" s="308" t="s">
        <v>461</v>
      </c>
      <c r="C41" s="309">
        <v>0.0</v>
      </c>
      <c r="D41" s="310" t="s">
        <v>451</v>
      </c>
    </row>
    <row r="42">
      <c r="A42" s="307" t="s">
        <v>1015</v>
      </c>
      <c r="B42" s="308" t="s">
        <v>976</v>
      </c>
      <c r="C42" s="309">
        <v>0.0</v>
      </c>
      <c r="D42" s="310" t="s">
        <v>457</v>
      </c>
    </row>
    <row r="43">
      <c r="A43" s="307" t="s">
        <v>1016</v>
      </c>
      <c r="B43" s="308" t="s">
        <v>504</v>
      </c>
      <c r="C43" s="306">
        <v>0.0</v>
      </c>
      <c r="D43" s="310" t="s">
        <v>491</v>
      </c>
    </row>
    <row r="44">
      <c r="A44" s="307" t="s">
        <v>1017</v>
      </c>
      <c r="B44" s="308" t="s">
        <v>1018</v>
      </c>
      <c r="C44" s="306">
        <v>0.0</v>
      </c>
      <c r="D44" s="310" t="s">
        <v>459</v>
      </c>
    </row>
    <row r="45">
      <c r="A45" s="307" t="s">
        <v>1019</v>
      </c>
      <c r="B45" s="308" t="s">
        <v>1018</v>
      </c>
      <c r="C45" s="309">
        <v>0.0</v>
      </c>
      <c r="D45" s="310" t="s">
        <v>457</v>
      </c>
    </row>
    <row r="46">
      <c r="A46" s="307" t="s">
        <v>1020</v>
      </c>
      <c r="B46" s="308" t="s">
        <v>461</v>
      </c>
      <c r="C46" s="306">
        <v>0.0</v>
      </c>
      <c r="D46" s="310" t="s">
        <v>451</v>
      </c>
    </row>
    <row r="47">
      <c r="A47" s="307" t="s">
        <v>1021</v>
      </c>
      <c r="B47" s="308" t="s">
        <v>1022</v>
      </c>
      <c r="C47" s="306">
        <v>0.0</v>
      </c>
      <c r="D47" s="310">
        <v>0.0</v>
      </c>
    </row>
    <row r="48">
      <c r="A48" s="307" t="s">
        <v>1023</v>
      </c>
      <c r="B48" s="308" t="s">
        <v>946</v>
      </c>
      <c r="C48" s="309">
        <v>0.0</v>
      </c>
      <c r="D48" s="310" t="s">
        <v>462</v>
      </c>
    </row>
    <row r="49">
      <c r="A49" s="311" t="s">
        <v>1024</v>
      </c>
      <c r="B49" s="308" t="s">
        <v>946</v>
      </c>
      <c r="C49" s="309">
        <v>0.0</v>
      </c>
      <c r="D49" s="310" t="s">
        <v>462</v>
      </c>
    </row>
    <row r="50">
      <c r="A50" s="307" t="s">
        <v>1025</v>
      </c>
      <c r="B50" s="308" t="s">
        <v>946</v>
      </c>
      <c r="C50" s="309" t="s">
        <v>451</v>
      </c>
      <c r="D50" s="310" t="s">
        <v>461</v>
      </c>
    </row>
    <row r="51">
      <c r="A51" s="307" t="s">
        <v>1026</v>
      </c>
      <c r="B51" s="308" t="s">
        <v>946</v>
      </c>
      <c r="C51" s="309">
        <v>0.0</v>
      </c>
      <c r="D51" s="310">
        <v>0.0</v>
      </c>
    </row>
    <row r="52">
      <c r="A52" s="307" t="s">
        <v>1027</v>
      </c>
      <c r="B52" s="308" t="s">
        <v>938</v>
      </c>
      <c r="C52" s="306">
        <v>0.0</v>
      </c>
      <c r="D52" s="310" t="s">
        <v>457</v>
      </c>
    </row>
    <row r="53">
      <c r="A53" s="307" t="s">
        <v>1028</v>
      </c>
      <c r="B53" s="308" t="s">
        <v>958</v>
      </c>
      <c r="C53" s="309">
        <v>0.0</v>
      </c>
      <c r="D53" s="310" t="s">
        <v>491</v>
      </c>
    </row>
    <row r="54">
      <c r="A54" s="307" t="s">
        <v>1029</v>
      </c>
      <c r="B54" s="308" t="s">
        <v>1030</v>
      </c>
      <c r="C54" s="309">
        <v>0.0</v>
      </c>
      <c r="D54" s="310" t="s">
        <v>483</v>
      </c>
    </row>
    <row r="55">
      <c r="A55" s="307" t="s">
        <v>1031</v>
      </c>
      <c r="B55" s="308" t="s">
        <v>987</v>
      </c>
      <c r="C55" s="309">
        <v>0.0</v>
      </c>
      <c r="D55" s="314" t="s">
        <v>483</v>
      </c>
    </row>
    <row r="56">
      <c r="A56" s="307" t="s">
        <v>1032</v>
      </c>
      <c r="B56" s="308" t="s">
        <v>1033</v>
      </c>
      <c r="C56" s="309">
        <v>0.0</v>
      </c>
      <c r="D56" s="310" t="s">
        <v>957</v>
      </c>
    </row>
    <row r="57">
      <c r="A57" s="311" t="s">
        <v>1034</v>
      </c>
      <c r="B57" s="312" t="s">
        <v>958</v>
      </c>
      <c r="C57" s="309">
        <v>0.0</v>
      </c>
      <c r="D57" s="310" t="s">
        <v>457</v>
      </c>
    </row>
    <row r="58">
      <c r="A58" s="307" t="s">
        <v>1035</v>
      </c>
      <c r="B58" s="308" t="s">
        <v>545</v>
      </c>
      <c r="C58" s="309">
        <v>0.0</v>
      </c>
      <c r="D58" s="310" t="s">
        <v>462</v>
      </c>
    </row>
    <row r="59">
      <c r="A59" s="311" t="s">
        <v>1036</v>
      </c>
      <c r="B59" s="312" t="s">
        <v>947</v>
      </c>
      <c r="C59" s="309">
        <v>0.0</v>
      </c>
      <c r="D59" s="310" t="s">
        <v>491</v>
      </c>
    </row>
    <row r="60">
      <c r="A60" s="307" t="s">
        <v>1037</v>
      </c>
      <c r="B60" s="308" t="s">
        <v>547</v>
      </c>
      <c r="C60" s="309" t="s">
        <v>451</v>
      </c>
      <c r="D60" s="310" t="s">
        <v>455</v>
      </c>
    </row>
    <row r="61">
      <c r="A61" s="307" t="s">
        <v>1038</v>
      </c>
      <c r="B61" s="308" t="s">
        <v>1018</v>
      </c>
      <c r="C61" s="309" t="s">
        <v>451</v>
      </c>
      <c r="D61" s="310" t="s">
        <v>457</v>
      </c>
    </row>
    <row r="62">
      <c r="A62" s="307" t="s">
        <v>1039</v>
      </c>
      <c r="B62" s="308" t="s">
        <v>957</v>
      </c>
      <c r="C62" s="309">
        <v>0.0</v>
      </c>
      <c r="D62" s="310" t="s">
        <v>455</v>
      </c>
    </row>
    <row r="63">
      <c r="A63" s="307" t="s">
        <v>1040</v>
      </c>
      <c r="B63" s="308" t="s">
        <v>455</v>
      </c>
      <c r="C63" s="309">
        <v>0.0</v>
      </c>
      <c r="D63" s="310">
        <v>0.0</v>
      </c>
    </row>
    <row r="64">
      <c r="A64" s="307" t="s">
        <v>1041</v>
      </c>
      <c r="B64" s="308" t="s">
        <v>455</v>
      </c>
      <c r="C64" s="309">
        <v>0.0</v>
      </c>
      <c r="D64" s="310" t="s">
        <v>451</v>
      </c>
    </row>
    <row r="65">
      <c r="A65" s="307" t="s">
        <v>1042</v>
      </c>
      <c r="B65" s="308" t="s">
        <v>1018</v>
      </c>
      <c r="C65" s="309">
        <v>0.0</v>
      </c>
      <c r="D65" s="310" t="s">
        <v>545</v>
      </c>
    </row>
    <row r="66">
      <c r="A66" s="307" t="s">
        <v>1043</v>
      </c>
      <c r="B66" s="308" t="s">
        <v>1022</v>
      </c>
      <c r="C66" s="309">
        <v>0.0</v>
      </c>
      <c r="D66" s="310">
        <v>0.0</v>
      </c>
    </row>
    <row r="67">
      <c r="A67" s="307" t="s">
        <v>1044</v>
      </c>
      <c r="B67" s="308" t="s">
        <v>496</v>
      </c>
      <c r="C67" s="306">
        <v>0.0</v>
      </c>
      <c r="D67" s="310" t="s">
        <v>461</v>
      </c>
    </row>
    <row r="68">
      <c r="A68" s="307" t="s">
        <v>1045</v>
      </c>
      <c r="B68" s="308" t="s">
        <v>1046</v>
      </c>
      <c r="C68" s="309">
        <v>0.0</v>
      </c>
      <c r="D68" s="310" t="s">
        <v>491</v>
      </c>
    </row>
    <row r="69">
      <c r="A69" s="307" t="s">
        <v>1047</v>
      </c>
      <c r="B69" s="308" t="s">
        <v>504</v>
      </c>
      <c r="C69" s="306">
        <v>0.0</v>
      </c>
      <c r="D69" s="310" t="s">
        <v>457</v>
      </c>
    </row>
    <row r="70">
      <c r="A70" s="315" t="s">
        <v>1048</v>
      </c>
      <c r="B70" s="312" t="s">
        <v>946</v>
      </c>
      <c r="C70" s="312">
        <v>0.0</v>
      </c>
      <c r="D70" s="312" t="s">
        <v>455</v>
      </c>
    </row>
    <row r="71">
      <c r="A71" s="307" t="s">
        <v>1049</v>
      </c>
      <c r="B71" s="308" t="s">
        <v>1046</v>
      </c>
      <c r="C71" s="306">
        <v>0.0</v>
      </c>
      <c r="D71" s="310" t="s">
        <v>457</v>
      </c>
    </row>
    <row r="72">
      <c r="A72" s="307" t="s">
        <v>1050</v>
      </c>
      <c r="B72" s="308" t="s">
        <v>938</v>
      </c>
      <c r="C72" s="309">
        <v>0.0</v>
      </c>
      <c r="D72" s="310" t="s">
        <v>457</v>
      </c>
    </row>
    <row r="73">
      <c r="A73" s="307" t="s">
        <v>1051</v>
      </c>
      <c r="B73" s="308" t="s">
        <v>483</v>
      </c>
      <c r="C73" s="309">
        <v>0.0</v>
      </c>
      <c r="D73" s="310" t="s">
        <v>462</v>
      </c>
    </row>
    <row r="74">
      <c r="A74" s="307" t="s">
        <v>1052</v>
      </c>
      <c r="B74" s="308" t="s">
        <v>1008</v>
      </c>
      <c r="C74" s="309">
        <v>0.0</v>
      </c>
      <c r="D74" s="310" t="s">
        <v>483</v>
      </c>
    </row>
    <row r="75">
      <c r="A75" s="307" t="s">
        <v>1053</v>
      </c>
      <c r="B75" s="308" t="s">
        <v>938</v>
      </c>
      <c r="C75" s="309">
        <v>0.0</v>
      </c>
      <c r="D75" s="310" t="s">
        <v>457</v>
      </c>
    </row>
    <row r="76">
      <c r="A76" s="307" t="s">
        <v>1054</v>
      </c>
      <c r="B76" s="308" t="s">
        <v>1030</v>
      </c>
      <c r="C76" s="309" t="s">
        <v>451</v>
      </c>
      <c r="D76" s="310" t="s">
        <v>483</v>
      </c>
    </row>
    <row r="77">
      <c r="A77" s="307" t="s">
        <v>1055</v>
      </c>
      <c r="B77" s="308" t="s">
        <v>457</v>
      </c>
      <c r="C77" s="306">
        <v>0.0</v>
      </c>
      <c r="D77" s="310" t="s">
        <v>451</v>
      </c>
    </row>
    <row r="78">
      <c r="A78" s="311" t="s">
        <v>1056</v>
      </c>
      <c r="B78" s="312" t="s">
        <v>462</v>
      </c>
      <c r="C78" s="309">
        <v>0.0</v>
      </c>
      <c r="D78" s="310">
        <v>0.0</v>
      </c>
    </row>
    <row r="79">
      <c r="A79" s="316" t="s">
        <v>1057</v>
      </c>
      <c r="B79" s="312" t="s">
        <v>455</v>
      </c>
      <c r="C79" s="306">
        <v>0.0</v>
      </c>
      <c r="D79" s="310" t="s">
        <v>451</v>
      </c>
    </row>
    <row r="80">
      <c r="A80" s="307" t="s">
        <v>1058</v>
      </c>
      <c r="B80" s="308" t="s">
        <v>1000</v>
      </c>
      <c r="C80" s="306">
        <v>0.0</v>
      </c>
      <c r="D80" s="310" t="s">
        <v>491</v>
      </c>
    </row>
    <row r="81">
      <c r="A81" s="307" t="s">
        <v>1059</v>
      </c>
      <c r="B81" s="308" t="s">
        <v>461</v>
      </c>
      <c r="C81" s="306" t="s">
        <v>451</v>
      </c>
      <c r="D81" s="310" t="s">
        <v>451</v>
      </c>
    </row>
    <row r="82">
      <c r="A82" s="307" t="s">
        <v>1060</v>
      </c>
      <c r="B82" s="308" t="s">
        <v>461</v>
      </c>
      <c r="C82" s="309">
        <v>0.0</v>
      </c>
      <c r="D82" s="310" t="s">
        <v>451</v>
      </c>
    </row>
    <row r="83">
      <c r="A83" s="307" t="s">
        <v>1061</v>
      </c>
      <c r="B83" s="308" t="s">
        <v>555</v>
      </c>
      <c r="C83" s="309" t="s">
        <v>451</v>
      </c>
      <c r="D83" s="310" t="s">
        <v>455</v>
      </c>
    </row>
    <row r="84">
      <c r="A84" s="307" t="s">
        <v>1062</v>
      </c>
      <c r="B84" s="308" t="s">
        <v>1003</v>
      </c>
      <c r="C84" s="309">
        <v>0.0</v>
      </c>
      <c r="D84" s="310" t="s">
        <v>545</v>
      </c>
    </row>
    <row r="85">
      <c r="A85" s="307" t="s">
        <v>1063</v>
      </c>
      <c r="B85" s="308" t="s">
        <v>976</v>
      </c>
      <c r="C85" s="306">
        <v>0.0</v>
      </c>
      <c r="D85" s="310" t="s">
        <v>491</v>
      </c>
    </row>
    <row r="86">
      <c r="A86" s="311" t="s">
        <v>1064</v>
      </c>
      <c r="B86" s="312" t="s">
        <v>462</v>
      </c>
      <c r="C86" s="306">
        <v>0.0</v>
      </c>
      <c r="D86" s="310">
        <v>0.0</v>
      </c>
    </row>
    <row r="87">
      <c r="A87" s="311" t="s">
        <v>1065</v>
      </c>
      <c r="B87" s="312" t="s">
        <v>461</v>
      </c>
      <c r="C87" s="306">
        <v>0.0</v>
      </c>
      <c r="D87" s="310" t="s">
        <v>451</v>
      </c>
    </row>
    <row r="88">
      <c r="A88" s="307" t="s">
        <v>1066</v>
      </c>
      <c r="B88" s="308" t="s">
        <v>976</v>
      </c>
      <c r="C88" s="306">
        <v>0.0</v>
      </c>
      <c r="D88" s="310" t="s">
        <v>491</v>
      </c>
    </row>
    <row r="89">
      <c r="A89" s="317" t="s">
        <v>105</v>
      </c>
      <c r="B89" s="318" t="s">
        <v>1067</v>
      </c>
      <c r="C89" s="319" t="s">
        <v>455</v>
      </c>
      <c r="D89" s="320" t="s">
        <v>1068</v>
      </c>
    </row>
    <row r="90">
      <c r="A90" s="300" t="s">
        <v>1069</v>
      </c>
      <c r="B90" s="112"/>
      <c r="C90" s="112"/>
      <c r="D90" s="43"/>
    </row>
    <row r="91">
      <c r="A91" s="305" t="s">
        <v>1070</v>
      </c>
      <c r="B91" s="302" t="s">
        <v>1022</v>
      </c>
      <c r="C91" s="303">
        <v>0.0</v>
      </c>
      <c r="D91" s="304">
        <v>0.0</v>
      </c>
    </row>
    <row r="92">
      <c r="A92" s="305" t="s">
        <v>1071</v>
      </c>
      <c r="B92" s="302" t="s">
        <v>462</v>
      </c>
      <c r="C92" s="303">
        <v>0.0</v>
      </c>
      <c r="D92" s="304" t="s">
        <v>451</v>
      </c>
    </row>
    <row r="93">
      <c r="A93" s="301" t="s">
        <v>1072</v>
      </c>
      <c r="B93" s="321" t="s">
        <v>461</v>
      </c>
      <c r="C93" s="306" t="s">
        <v>451</v>
      </c>
      <c r="D93" s="322" t="s">
        <v>451</v>
      </c>
    </row>
    <row r="94">
      <c r="A94" s="305" t="s">
        <v>1073</v>
      </c>
      <c r="B94" s="321" t="s">
        <v>461</v>
      </c>
      <c r="C94" s="306" t="s">
        <v>451</v>
      </c>
      <c r="D94" s="322" t="s">
        <v>451</v>
      </c>
    </row>
    <row r="95">
      <c r="A95" s="305" t="s">
        <v>1074</v>
      </c>
      <c r="B95" s="321" t="s">
        <v>462</v>
      </c>
      <c r="C95" s="306">
        <v>0.0</v>
      </c>
      <c r="D95" s="322" t="s">
        <v>451</v>
      </c>
    </row>
    <row r="96">
      <c r="A96" s="305" t="s">
        <v>1075</v>
      </c>
      <c r="B96" s="302" t="s">
        <v>462</v>
      </c>
      <c r="C96" s="309">
        <v>0.0</v>
      </c>
      <c r="D96" s="304">
        <v>0.0</v>
      </c>
    </row>
    <row r="97">
      <c r="A97" s="305" t="s">
        <v>1076</v>
      </c>
      <c r="B97" s="302" t="s">
        <v>946</v>
      </c>
      <c r="C97" s="303">
        <v>0.0</v>
      </c>
      <c r="D97" s="304" t="s">
        <v>455</v>
      </c>
    </row>
    <row r="98">
      <c r="A98" s="305" t="s">
        <v>1077</v>
      </c>
      <c r="B98" s="302" t="s">
        <v>461</v>
      </c>
      <c r="C98" s="309">
        <v>0.0</v>
      </c>
      <c r="D98" s="304" t="s">
        <v>451</v>
      </c>
    </row>
    <row r="99">
      <c r="A99" s="301" t="s">
        <v>1078</v>
      </c>
      <c r="B99" s="321" t="s">
        <v>496</v>
      </c>
      <c r="C99" s="306">
        <v>0.0</v>
      </c>
      <c r="D99" s="322" t="s">
        <v>455</v>
      </c>
    </row>
    <row r="100">
      <c r="A100" s="301" t="s">
        <v>1079</v>
      </c>
      <c r="B100" s="321" t="s">
        <v>1022</v>
      </c>
      <c r="C100" s="306">
        <v>0.0</v>
      </c>
      <c r="D100" s="322">
        <v>0.0</v>
      </c>
    </row>
    <row r="101">
      <c r="A101" s="301" t="s">
        <v>1080</v>
      </c>
      <c r="B101" s="321" t="s">
        <v>461</v>
      </c>
      <c r="C101" s="306">
        <v>0.0</v>
      </c>
      <c r="D101" s="322" t="s">
        <v>451</v>
      </c>
    </row>
    <row r="102">
      <c r="A102" s="301" t="s">
        <v>1081</v>
      </c>
      <c r="B102" s="321" t="s">
        <v>457</v>
      </c>
      <c r="C102" s="306">
        <v>0.0</v>
      </c>
      <c r="D102" s="322" t="s">
        <v>451</v>
      </c>
    </row>
    <row r="103">
      <c r="A103" s="307" t="s">
        <v>1082</v>
      </c>
      <c r="B103" s="308" t="s">
        <v>462</v>
      </c>
      <c r="C103" s="309">
        <v>0.0</v>
      </c>
      <c r="D103" s="310">
        <v>0.0</v>
      </c>
    </row>
    <row r="104">
      <c r="A104" s="311" t="s">
        <v>1083</v>
      </c>
      <c r="B104" s="312" t="s">
        <v>459</v>
      </c>
      <c r="C104" s="306">
        <v>0.0</v>
      </c>
      <c r="D104" s="310" t="s">
        <v>455</v>
      </c>
    </row>
    <row r="105">
      <c r="A105" s="311" t="s">
        <v>1084</v>
      </c>
      <c r="B105" s="312" t="s">
        <v>483</v>
      </c>
      <c r="C105" s="306">
        <v>0.0</v>
      </c>
      <c r="D105" s="314" t="s">
        <v>462</v>
      </c>
    </row>
    <row r="106">
      <c r="A106" s="307" t="s">
        <v>1085</v>
      </c>
      <c r="B106" s="308" t="s">
        <v>461</v>
      </c>
      <c r="C106" s="323">
        <v>0.0</v>
      </c>
      <c r="D106" s="310" t="s">
        <v>451</v>
      </c>
    </row>
    <row r="107">
      <c r="A107" s="307" t="s">
        <v>1086</v>
      </c>
      <c r="B107" s="308" t="s">
        <v>462</v>
      </c>
      <c r="C107" s="323">
        <v>0.0</v>
      </c>
      <c r="D107" s="310" t="s">
        <v>451</v>
      </c>
    </row>
    <row r="108">
      <c r="A108" s="307" t="s">
        <v>1087</v>
      </c>
      <c r="B108" s="308" t="s">
        <v>461</v>
      </c>
      <c r="C108" s="306" t="s">
        <v>451</v>
      </c>
      <c r="D108" s="310" t="s">
        <v>451</v>
      </c>
    </row>
    <row r="109">
      <c r="A109" s="307" t="s">
        <v>1088</v>
      </c>
      <c r="B109" s="308" t="s">
        <v>491</v>
      </c>
      <c r="C109" s="323">
        <v>0.0</v>
      </c>
      <c r="D109" s="310" t="s">
        <v>462</v>
      </c>
    </row>
    <row r="110">
      <c r="A110" s="307" t="s">
        <v>1089</v>
      </c>
      <c r="B110" s="308" t="s">
        <v>547</v>
      </c>
      <c r="C110" s="309">
        <v>0.0</v>
      </c>
      <c r="D110" s="324" t="s">
        <v>455</v>
      </c>
    </row>
    <row r="111">
      <c r="A111" s="307" t="s">
        <v>1090</v>
      </c>
      <c r="B111" s="308" t="s">
        <v>1022</v>
      </c>
      <c r="C111" s="309">
        <v>0.0</v>
      </c>
      <c r="D111" s="324">
        <v>0.0</v>
      </c>
    </row>
    <row r="112">
      <c r="A112" s="307" t="s">
        <v>1091</v>
      </c>
      <c r="B112" s="308" t="s">
        <v>600</v>
      </c>
      <c r="C112" s="306" t="s">
        <v>451</v>
      </c>
      <c r="D112" s="324" t="s">
        <v>462</v>
      </c>
    </row>
    <row r="113">
      <c r="A113" s="311" t="s">
        <v>1092</v>
      </c>
      <c r="B113" s="312" t="s">
        <v>462</v>
      </c>
      <c r="C113" s="309">
        <v>0.0</v>
      </c>
      <c r="D113" s="310">
        <v>0.0</v>
      </c>
    </row>
    <row r="114">
      <c r="A114" s="311" t="s">
        <v>1093</v>
      </c>
      <c r="B114" s="312" t="s">
        <v>462</v>
      </c>
      <c r="C114" s="309">
        <v>0.0</v>
      </c>
      <c r="D114" s="310" t="s">
        <v>451</v>
      </c>
    </row>
    <row r="115">
      <c r="A115" s="316" t="s">
        <v>1094</v>
      </c>
      <c r="B115" s="312" t="s">
        <v>1022</v>
      </c>
      <c r="C115" s="309">
        <v>0.0</v>
      </c>
      <c r="D115" s="310">
        <v>0.0</v>
      </c>
    </row>
    <row r="116">
      <c r="A116" s="316" t="s">
        <v>1095</v>
      </c>
      <c r="B116" s="308" t="s">
        <v>958</v>
      </c>
      <c r="C116" s="323">
        <v>0.0</v>
      </c>
      <c r="D116" s="310" t="s">
        <v>461</v>
      </c>
    </row>
    <row r="117">
      <c r="A117" s="311" t="s">
        <v>1096</v>
      </c>
      <c r="B117" s="312" t="s">
        <v>491</v>
      </c>
      <c r="C117" s="309">
        <v>0.0</v>
      </c>
      <c r="D117" s="310" t="s">
        <v>451</v>
      </c>
    </row>
    <row r="118">
      <c r="A118" s="307" t="s">
        <v>1097</v>
      </c>
      <c r="B118" s="308" t="s">
        <v>455</v>
      </c>
      <c r="C118" s="323" t="s">
        <v>451</v>
      </c>
      <c r="D118" s="310">
        <v>0.0</v>
      </c>
    </row>
    <row r="119">
      <c r="A119" s="307" t="s">
        <v>1098</v>
      </c>
      <c r="B119" s="308" t="s">
        <v>459</v>
      </c>
      <c r="C119" s="306">
        <v>0.0</v>
      </c>
      <c r="D119" s="310" t="s">
        <v>462</v>
      </c>
    </row>
    <row r="120">
      <c r="A120" s="311" t="s">
        <v>1099</v>
      </c>
      <c r="B120" s="308" t="s">
        <v>462</v>
      </c>
      <c r="C120" s="306">
        <v>0.0</v>
      </c>
      <c r="D120" s="310">
        <v>0.0</v>
      </c>
    </row>
    <row r="121">
      <c r="A121" s="307" t="s">
        <v>1100</v>
      </c>
      <c r="B121" s="308" t="s">
        <v>491</v>
      </c>
      <c r="C121" s="306">
        <v>0.0</v>
      </c>
      <c r="D121" s="310" t="s">
        <v>451</v>
      </c>
    </row>
    <row r="122">
      <c r="A122" s="307" t="s">
        <v>1101</v>
      </c>
      <c r="B122" s="308" t="s">
        <v>455</v>
      </c>
      <c r="C122" s="323">
        <v>0.0</v>
      </c>
      <c r="D122" s="310" t="s">
        <v>451</v>
      </c>
    </row>
    <row r="123">
      <c r="A123" s="307" t="s">
        <v>1102</v>
      </c>
      <c r="B123" s="308" t="s">
        <v>1022</v>
      </c>
      <c r="C123" s="306">
        <v>0.0</v>
      </c>
      <c r="D123" s="310">
        <v>0.0</v>
      </c>
    </row>
    <row r="124">
      <c r="A124" s="307" t="s">
        <v>1103</v>
      </c>
      <c r="B124" s="308" t="s">
        <v>455</v>
      </c>
      <c r="C124" s="306">
        <v>0.0</v>
      </c>
      <c r="D124" s="310" t="s">
        <v>451</v>
      </c>
    </row>
    <row r="125">
      <c r="A125" s="311" t="s">
        <v>1104</v>
      </c>
      <c r="B125" s="312" t="s">
        <v>946</v>
      </c>
      <c r="C125" s="306">
        <v>0.0</v>
      </c>
      <c r="D125" s="310" t="s">
        <v>462</v>
      </c>
    </row>
    <row r="126">
      <c r="A126" s="307" t="s">
        <v>1105</v>
      </c>
      <c r="B126" s="308" t="s">
        <v>946</v>
      </c>
      <c r="C126" s="306">
        <v>0.0</v>
      </c>
      <c r="D126" s="310" t="s">
        <v>451</v>
      </c>
    </row>
    <row r="127">
      <c r="A127" s="311" t="s">
        <v>1106</v>
      </c>
      <c r="B127" s="312" t="s">
        <v>462</v>
      </c>
      <c r="C127" s="309">
        <v>0.0</v>
      </c>
      <c r="D127" s="310" t="s">
        <v>451</v>
      </c>
    </row>
    <row r="128">
      <c r="A128" s="311" t="s">
        <v>1107</v>
      </c>
      <c r="B128" s="312" t="s">
        <v>547</v>
      </c>
      <c r="C128" s="309">
        <v>0.0</v>
      </c>
      <c r="D128" s="310" t="s">
        <v>455</v>
      </c>
    </row>
    <row r="129">
      <c r="A129" s="311" t="s">
        <v>1108</v>
      </c>
      <c r="B129" s="312" t="s">
        <v>946</v>
      </c>
      <c r="C129" s="309">
        <v>0.0</v>
      </c>
      <c r="D129" s="310" t="s">
        <v>451</v>
      </c>
    </row>
    <row r="130">
      <c r="A130" s="307" t="s">
        <v>1109</v>
      </c>
      <c r="B130" s="308" t="s">
        <v>1022</v>
      </c>
      <c r="C130" s="323">
        <v>0.0</v>
      </c>
      <c r="D130" s="310">
        <v>0.0</v>
      </c>
    </row>
    <row r="131">
      <c r="A131" s="311" t="s">
        <v>1110</v>
      </c>
      <c r="B131" s="312" t="s">
        <v>1022</v>
      </c>
      <c r="C131" s="309">
        <v>0.0</v>
      </c>
      <c r="D131" s="310">
        <v>0.0</v>
      </c>
    </row>
    <row r="132">
      <c r="A132" s="307" t="s">
        <v>1111</v>
      </c>
      <c r="B132" s="312" t="s">
        <v>1022</v>
      </c>
      <c r="C132" s="309">
        <v>0.0</v>
      </c>
      <c r="D132" s="310">
        <v>0.0</v>
      </c>
    </row>
    <row r="133">
      <c r="A133" s="307" t="s">
        <v>1112</v>
      </c>
      <c r="B133" s="308" t="s">
        <v>455</v>
      </c>
      <c r="C133" s="323">
        <v>0.0</v>
      </c>
      <c r="D133" s="310" t="s">
        <v>451</v>
      </c>
    </row>
    <row r="134">
      <c r="A134" s="311" t="s">
        <v>1113</v>
      </c>
      <c r="B134" s="312" t="s">
        <v>946</v>
      </c>
      <c r="C134" s="309">
        <v>0.0</v>
      </c>
      <c r="D134" s="310" t="s">
        <v>455</v>
      </c>
    </row>
    <row r="135">
      <c r="A135" s="316" t="s">
        <v>1114</v>
      </c>
      <c r="B135" s="312" t="s">
        <v>461</v>
      </c>
      <c r="C135" s="306">
        <v>0.0</v>
      </c>
      <c r="D135" s="310" t="s">
        <v>451</v>
      </c>
    </row>
    <row r="136">
      <c r="A136" s="316" t="s">
        <v>1115</v>
      </c>
      <c r="B136" s="308" t="s">
        <v>491</v>
      </c>
      <c r="C136" s="323">
        <v>0.0</v>
      </c>
      <c r="D136" s="310" t="s">
        <v>455</v>
      </c>
    </row>
    <row r="137">
      <c r="A137" s="316" t="s">
        <v>1116</v>
      </c>
      <c r="B137" s="308" t="s">
        <v>457</v>
      </c>
      <c r="C137" s="323">
        <v>0.0</v>
      </c>
      <c r="D137" s="310" t="s">
        <v>462</v>
      </c>
    </row>
    <row r="138">
      <c r="A138" s="307" t="s">
        <v>1117</v>
      </c>
      <c r="B138" s="308" t="s">
        <v>455</v>
      </c>
      <c r="C138" s="309" t="s">
        <v>451</v>
      </c>
      <c r="D138" s="310">
        <v>0.0</v>
      </c>
    </row>
    <row r="139">
      <c r="A139" s="325" t="s">
        <v>1118</v>
      </c>
      <c r="B139" s="308" t="s">
        <v>457</v>
      </c>
      <c r="C139" s="306">
        <v>0.0</v>
      </c>
      <c r="D139" s="310" t="s">
        <v>451</v>
      </c>
    </row>
    <row r="140">
      <c r="A140" s="317" t="s">
        <v>105</v>
      </c>
      <c r="B140" s="318" t="s">
        <v>1119</v>
      </c>
      <c r="C140" s="319" t="s">
        <v>462</v>
      </c>
      <c r="D140" s="320" t="s">
        <v>1120</v>
      </c>
    </row>
    <row r="141">
      <c r="A141" s="326" t="s">
        <v>1121</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- 199 )"),44073.0)</f>
        <v>44073</v>
      </c>
      <c r="B1" s="329">
        <f>IFERROR(__xludf.DUMMYFUNCTION("""COMPUTED_VALUE"""),66.0)</f>
        <v>66</v>
      </c>
      <c r="C1" s="329">
        <f>IFERROR(__xludf.DUMMYFUNCTION("""COMPUTED_VALUE"""),81.0)</f>
        <v>81</v>
      </c>
      <c r="D1" s="329">
        <f>IFERROR(__xludf.DUMMYFUNCTION("""COMPUTED_VALUE"""),31399.0)</f>
        <v>31399</v>
      </c>
      <c r="E1" s="329">
        <f>IFERROR(__xludf.DUMMYFUNCTION("""COMPUTED_VALUE"""),4323.0)</f>
        <v>4323</v>
      </c>
      <c r="F1" s="258">
        <f>IFERROR(__xludf.DUMMYFUNCTION("""COMPUTED_VALUE"""),500138.0)</f>
        <v>500138</v>
      </c>
      <c r="G1" s="258">
        <f>IFERROR(__xludf.DUMMYFUNCTION("""COMPUTED_VALUE"""),4389.0)</f>
        <v>4389</v>
      </c>
      <c r="H1" s="258">
        <f>IFERROR(__xludf.DUMMYFUNCTION("""COMPUTED_VALUE"""),531537.0)</f>
        <v>531537</v>
      </c>
      <c r="I1" s="329">
        <f>IFERROR(__xludf.DUMMYFUNCTION("""COMPUTED_VALUE"""),48.0)</f>
        <v>48</v>
      </c>
      <c r="J1" s="329">
        <f>IFERROR(__xludf.DUMMYFUNCTION("""COMPUTED_VALUE"""),62.0)</f>
        <v>62</v>
      </c>
      <c r="K1" s="329">
        <f>IFERROR(__xludf.DUMMYFUNCTION("""COMPUTED_VALUE"""),21873.0)</f>
        <v>21873</v>
      </c>
      <c r="L1" s="329">
        <f>IFERROR(__xludf.DUMMYFUNCTION("""COMPUTED_VALUE"""),1849.0)</f>
        <v>1849</v>
      </c>
      <c r="M1" s="329">
        <f>IFERROR(__xludf.DUMMYFUNCTION("""COMPUTED_VALUE"""),229523.0)</f>
        <v>229523</v>
      </c>
      <c r="N1" s="329">
        <f>IFERROR(__xludf.DUMMYFUNCTION("""COMPUTED_VALUE"""),251396.0)</f>
        <v>251396</v>
      </c>
      <c r="O1" s="329">
        <f>IFERROR(__xludf.DUMMYFUNCTION("""COMPUTED_VALUE"""),7.0)</f>
        <v>7</v>
      </c>
      <c r="P1" s="329">
        <f>IFERROR(__xludf.DUMMYFUNCTION("""COMPUTED_VALUE"""),2481.0)</f>
        <v>2481</v>
      </c>
      <c r="Q1" s="329">
        <f>IFERROR(__xludf.DUMMYFUNCTION("""COMPUTED_VALUE"""),4.0)</f>
        <v>4</v>
      </c>
      <c r="R1" s="329">
        <f>IFERROR(__xludf.DUMMYFUNCTION("""COMPUTED_VALUE"""),2063.0)</f>
        <v>2063</v>
      </c>
      <c r="S1" s="329">
        <f>IFERROR(__xludf.DUMMYFUNCTION("""COMPUTED_VALUE"""),0.0)</f>
        <v>0</v>
      </c>
      <c r="T1" s="329">
        <f>IFERROR(__xludf.DUMMYFUNCTION("""COMPUTED_VALUE"""),338.0)</f>
        <v>338</v>
      </c>
      <c r="U1" s="329">
        <f>IFERROR(__xludf.DUMMYFUNCTION("""COMPUTED_VALUE"""),80.0)</f>
        <v>80</v>
      </c>
      <c r="V1" s="329">
        <f>IFERROR(__xludf.DUMMYFUNCTION("""COMPUTED_VALUE"""),79.0)</f>
        <v>79</v>
      </c>
      <c r="W1" s="329">
        <f>IFERROR(__xludf.DUMMYFUNCTION("""COMPUTED_VALUE"""),9.0)</f>
        <v>9</v>
      </c>
      <c r="X1" s="329">
        <f>IFERROR(__xludf.DUMMYFUNCTION("""COMPUTED_VALUE"""),5.0)</f>
        <v>5</v>
      </c>
      <c r="Y1" s="329">
        <f>IFERROR(__xludf.DUMMYFUNCTION("""COMPUTED_VALUE"""),2.0)</f>
        <v>2</v>
      </c>
      <c r="Z1" s="329">
        <f>IFERROR(__xludf.DUMMYFUNCTION("""COMPUTED_VALUE"""),1077.0)</f>
        <v>1077</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IFERROR(__xludf.DUMMYFUNCTION("""COMPUTED_VALUE"""),44074.0)</f>
        <v>44074</v>
      </c>
      <c r="B2" s="329">
        <f>IFERROR(__xludf.DUMMYFUNCTION("""COMPUTED_VALUE"""),105.0)</f>
        <v>105</v>
      </c>
      <c r="C2" s="329">
        <f>IFERROR(__xludf.DUMMYFUNCTION("""COMPUTED_VALUE"""),79.0)</f>
        <v>79</v>
      </c>
      <c r="D2" s="329">
        <f>IFERROR(__xludf.DUMMYFUNCTION("""COMPUTED_VALUE"""),31504.0)</f>
        <v>31504</v>
      </c>
      <c r="E2" s="329">
        <f>IFERROR(__xludf.DUMMYFUNCTION("""COMPUTED_VALUE"""),4864.0)</f>
        <v>4864</v>
      </c>
      <c r="F2" s="258">
        <f>IFERROR(__xludf.DUMMYFUNCTION("""COMPUTED_VALUE"""),505002.0)</f>
        <v>505002</v>
      </c>
      <c r="G2" s="258">
        <f>IFERROR(__xludf.DUMMYFUNCTION("""COMPUTED_VALUE"""),4969.0)</f>
        <v>4969</v>
      </c>
      <c r="H2" s="258">
        <f>IFERROR(__xludf.DUMMYFUNCTION("""COMPUTED_VALUE"""),536506.0)</f>
        <v>536506</v>
      </c>
      <c r="I2" s="329">
        <f>IFERROR(__xludf.DUMMYFUNCTION("""COMPUTED_VALUE"""),81.0)</f>
        <v>81</v>
      </c>
      <c r="J2" s="329">
        <f>IFERROR(__xludf.DUMMYFUNCTION("""COMPUTED_VALUE"""),60.0)</f>
        <v>60</v>
      </c>
      <c r="K2" s="329">
        <f>IFERROR(__xludf.DUMMYFUNCTION("""COMPUTED_VALUE"""),21954.0)</f>
        <v>21954</v>
      </c>
      <c r="L2" s="329">
        <f>IFERROR(__xludf.DUMMYFUNCTION("""COMPUTED_VALUE"""),2039.0)</f>
        <v>2039</v>
      </c>
      <c r="M2" s="329">
        <f>IFERROR(__xludf.DUMMYFUNCTION("""COMPUTED_VALUE"""),231562.0)</f>
        <v>231562</v>
      </c>
      <c r="N2" s="329">
        <f>IFERROR(__xludf.DUMMYFUNCTION("""COMPUTED_VALUE"""),253516.0)</f>
        <v>253516</v>
      </c>
      <c r="O2" s="329">
        <f>IFERROR(__xludf.DUMMYFUNCTION("""COMPUTED_VALUE"""),12.0)</f>
        <v>12</v>
      </c>
      <c r="P2" s="329">
        <f>IFERROR(__xludf.DUMMYFUNCTION("""COMPUTED_VALUE"""),2493.0)</f>
        <v>2493</v>
      </c>
      <c r="Q2" s="329">
        <f>IFERROR(__xludf.DUMMYFUNCTION("""COMPUTED_VALUE"""),16.0)</f>
        <v>16</v>
      </c>
      <c r="R2" s="329">
        <f>IFERROR(__xludf.DUMMYFUNCTION("""COMPUTED_VALUE"""),2079.0)</f>
        <v>2079</v>
      </c>
      <c r="S2" s="329">
        <f>IFERROR(__xludf.DUMMYFUNCTION("""COMPUTED_VALUE"""),0.0)</f>
        <v>0</v>
      </c>
      <c r="T2" s="329">
        <f>IFERROR(__xludf.DUMMYFUNCTION("""COMPUTED_VALUE"""),338.0)</f>
        <v>338</v>
      </c>
      <c r="U2" s="329">
        <f>IFERROR(__xludf.DUMMYFUNCTION("""COMPUTED_VALUE"""),76.0)</f>
        <v>76</v>
      </c>
      <c r="V2" s="329">
        <f>IFERROR(__xludf.DUMMYFUNCTION("""COMPUTED_VALUE"""),78.0)</f>
        <v>78</v>
      </c>
      <c r="W2" s="329">
        <f>IFERROR(__xludf.DUMMYFUNCTION("""COMPUTED_VALUE"""),8.0)</f>
        <v>8</v>
      </c>
      <c r="X2" s="329">
        <f>IFERROR(__xludf.DUMMYFUNCTION("""COMPUTED_VALUE"""),4.0)</f>
        <v>4</v>
      </c>
      <c r="Y2" s="329">
        <f>IFERROR(__xludf.DUMMYFUNCTION("""COMPUTED_VALUE"""),1.0)</f>
        <v>1</v>
      </c>
      <c r="Z2" s="329">
        <f>IFERROR(__xludf.DUMMYFUNCTION("""COMPUTED_VALUE"""),1078.0)</f>
        <v>1078</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IFERROR(__xludf.DUMMYFUNCTION("""COMPUTED_VALUE"""),44075.0)</f>
        <v>44075</v>
      </c>
      <c r="B3" s="329">
        <f>IFERROR(__xludf.DUMMYFUNCTION("""COMPUTED_VALUE"""),99.0)</f>
        <v>99</v>
      </c>
      <c r="C3" s="329">
        <f>IFERROR(__xludf.DUMMYFUNCTION("""COMPUTED_VALUE"""),90.0)</f>
        <v>90</v>
      </c>
      <c r="D3" s="329">
        <f>IFERROR(__xludf.DUMMYFUNCTION("""COMPUTED_VALUE"""),31603.0)</f>
        <v>31603</v>
      </c>
      <c r="E3" s="329">
        <f>IFERROR(__xludf.DUMMYFUNCTION("""COMPUTED_VALUE"""),7109.0)</f>
        <v>7109</v>
      </c>
      <c r="F3" s="258">
        <f>IFERROR(__xludf.DUMMYFUNCTION("""COMPUTED_VALUE"""),512111.0)</f>
        <v>512111</v>
      </c>
      <c r="G3" s="258">
        <f>IFERROR(__xludf.DUMMYFUNCTION("""COMPUTED_VALUE"""),7208.0)</f>
        <v>7208</v>
      </c>
      <c r="H3" s="258">
        <f>IFERROR(__xludf.DUMMYFUNCTION("""COMPUTED_VALUE"""),543714.0)</f>
        <v>543714</v>
      </c>
      <c r="I3" s="329">
        <f>IFERROR(__xludf.DUMMYFUNCTION("""COMPUTED_VALUE"""),66.0)</f>
        <v>66</v>
      </c>
      <c r="J3" s="329">
        <f>IFERROR(__xludf.DUMMYFUNCTION("""COMPUTED_VALUE"""),65.0)</f>
        <v>65</v>
      </c>
      <c r="K3" s="329">
        <f>IFERROR(__xludf.DUMMYFUNCTION("""COMPUTED_VALUE"""),22020.0)</f>
        <v>22020</v>
      </c>
      <c r="L3" s="329">
        <f>IFERROR(__xludf.DUMMYFUNCTION("""COMPUTED_VALUE"""),2213.0)</f>
        <v>2213</v>
      </c>
      <c r="M3" s="329">
        <f>IFERROR(__xludf.DUMMYFUNCTION("""COMPUTED_VALUE"""),233775.0)</f>
        <v>233775</v>
      </c>
      <c r="N3" s="329">
        <f>IFERROR(__xludf.DUMMYFUNCTION("""COMPUTED_VALUE"""),255795.0)</f>
        <v>255795</v>
      </c>
      <c r="O3" s="329">
        <f>IFERROR(__xludf.DUMMYFUNCTION("""COMPUTED_VALUE"""),6.0)</f>
        <v>6</v>
      </c>
      <c r="P3" s="329">
        <f>IFERROR(__xludf.DUMMYFUNCTION("""COMPUTED_VALUE"""),2499.0)</f>
        <v>2499</v>
      </c>
      <c r="Q3" s="329">
        <f>IFERROR(__xludf.DUMMYFUNCTION("""COMPUTED_VALUE"""),9.0)</f>
        <v>9</v>
      </c>
      <c r="R3" s="329">
        <f>IFERROR(__xludf.DUMMYFUNCTION("""COMPUTED_VALUE"""),2088.0)</f>
        <v>2088</v>
      </c>
      <c r="S3" s="329">
        <f>IFERROR(__xludf.DUMMYFUNCTION("""COMPUTED_VALUE"""),1.0)</f>
        <v>1</v>
      </c>
      <c r="T3" s="329">
        <f>IFERROR(__xludf.DUMMYFUNCTION("""COMPUTED_VALUE"""),339.0)</f>
        <v>339</v>
      </c>
      <c r="U3" s="329">
        <f>IFERROR(__xludf.DUMMYFUNCTION("""COMPUTED_VALUE"""),72.0)</f>
        <v>72</v>
      </c>
      <c r="V3" s="329">
        <f>IFERROR(__xludf.DUMMYFUNCTION("""COMPUTED_VALUE"""),76.0)</f>
        <v>76</v>
      </c>
      <c r="W3" s="329">
        <f>IFERROR(__xludf.DUMMYFUNCTION("""COMPUTED_VALUE"""),7.0)</f>
        <v>7</v>
      </c>
      <c r="X3" s="329">
        <f>IFERROR(__xludf.DUMMYFUNCTION("""COMPUTED_VALUE"""),4.0)</f>
        <v>4</v>
      </c>
      <c r="Y3" s="329">
        <f>IFERROR(__xludf.DUMMYFUNCTION("""COMPUTED_VALUE"""),2.0)</f>
        <v>2</v>
      </c>
      <c r="Z3" s="329">
        <f>IFERROR(__xludf.DUMMYFUNCTION("""COMPUTED_VALUE"""),1080.0)</f>
        <v>1080</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IFERROR(__xludf.DUMMYFUNCTION("""COMPUTED_VALUE"""),44076.0)</f>
        <v>44076</v>
      </c>
      <c r="B4" s="329">
        <f>IFERROR(__xludf.DUMMYFUNCTION("""COMPUTED_VALUE"""),125.0)</f>
        <v>125</v>
      </c>
      <c r="C4" s="329">
        <f>IFERROR(__xludf.DUMMYFUNCTION("""COMPUTED_VALUE"""),110.0)</f>
        <v>110</v>
      </c>
      <c r="D4" s="329">
        <f>IFERROR(__xludf.DUMMYFUNCTION("""COMPUTED_VALUE"""),31728.0)</f>
        <v>31728</v>
      </c>
      <c r="E4" s="329">
        <f>IFERROR(__xludf.DUMMYFUNCTION("""COMPUTED_VALUE"""),10528.0)</f>
        <v>10528</v>
      </c>
      <c r="F4" s="258">
        <f>IFERROR(__xludf.DUMMYFUNCTION("""COMPUTED_VALUE"""),522639.0)</f>
        <v>522639</v>
      </c>
      <c r="G4" s="258">
        <f>IFERROR(__xludf.DUMMYFUNCTION("""COMPUTED_VALUE"""),10653.0)</f>
        <v>10653</v>
      </c>
      <c r="H4" s="258">
        <f>IFERROR(__xludf.DUMMYFUNCTION("""COMPUTED_VALUE"""),554367.0)</f>
        <v>554367</v>
      </c>
      <c r="I4" s="329">
        <f>IFERROR(__xludf.DUMMYFUNCTION("""COMPUTED_VALUE"""),105.0)</f>
        <v>105</v>
      </c>
      <c r="J4" s="329">
        <f>IFERROR(__xludf.DUMMYFUNCTION("""COMPUTED_VALUE"""),84.0)</f>
        <v>84</v>
      </c>
      <c r="K4" s="329">
        <f>IFERROR(__xludf.DUMMYFUNCTION("""COMPUTED_VALUE"""),22125.0)</f>
        <v>22125</v>
      </c>
      <c r="L4" s="329">
        <f>IFERROR(__xludf.DUMMYFUNCTION("""COMPUTED_VALUE"""),2823.0)</f>
        <v>2823</v>
      </c>
      <c r="M4" s="329">
        <f>IFERROR(__xludf.DUMMYFUNCTION("""COMPUTED_VALUE"""),236598.0)</f>
        <v>236598</v>
      </c>
      <c r="N4" s="329">
        <f>IFERROR(__xludf.DUMMYFUNCTION("""COMPUTED_VALUE"""),258723.0)</f>
        <v>258723</v>
      </c>
      <c r="O4" s="329">
        <f>IFERROR(__xludf.DUMMYFUNCTION("""COMPUTED_VALUE"""),9.0)</f>
        <v>9</v>
      </c>
      <c r="P4" s="329">
        <f>IFERROR(__xludf.DUMMYFUNCTION("""COMPUTED_VALUE"""),2508.0)</f>
        <v>2508</v>
      </c>
      <c r="Q4" s="329">
        <f>IFERROR(__xludf.DUMMYFUNCTION("""COMPUTED_VALUE"""),10.0)</f>
        <v>10</v>
      </c>
      <c r="R4" s="329">
        <f>IFERROR(__xludf.DUMMYFUNCTION("""COMPUTED_VALUE"""),2098.0)</f>
        <v>2098</v>
      </c>
      <c r="S4" s="329">
        <f>IFERROR(__xludf.DUMMYFUNCTION("""COMPUTED_VALUE"""),1.0)</f>
        <v>1</v>
      </c>
      <c r="T4" s="329">
        <f>IFERROR(__xludf.DUMMYFUNCTION("""COMPUTED_VALUE"""),340.0)</f>
        <v>340</v>
      </c>
      <c r="U4" s="329">
        <f>IFERROR(__xludf.DUMMYFUNCTION("""COMPUTED_VALUE"""),70.0)</f>
        <v>70</v>
      </c>
      <c r="V4" s="329">
        <f>IFERROR(__xludf.DUMMYFUNCTION("""COMPUTED_VALUE"""),73.0)</f>
        <v>73</v>
      </c>
      <c r="W4" s="329">
        <f>IFERROR(__xludf.DUMMYFUNCTION("""COMPUTED_VALUE"""),8.0)</f>
        <v>8</v>
      </c>
      <c r="X4" s="329">
        <f>IFERROR(__xludf.DUMMYFUNCTION("""COMPUTED_VALUE"""),4.0)</f>
        <v>4</v>
      </c>
      <c r="Y4" s="329">
        <f>IFERROR(__xludf.DUMMYFUNCTION("""COMPUTED_VALUE"""),2.0)</f>
        <v>2</v>
      </c>
      <c r="Z4" s="329">
        <f>IFERROR(__xludf.DUMMYFUNCTION("""COMPUTED_VALUE"""),1082.0)</f>
        <v>1082</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IFERROR(__xludf.DUMMYFUNCTION("""COMPUTED_VALUE"""),44077.0)</f>
        <v>44077</v>
      </c>
      <c r="B5" s="329">
        <f>IFERROR(__xludf.DUMMYFUNCTION("""COMPUTED_VALUE"""),90.0)</f>
        <v>90</v>
      </c>
      <c r="C5" s="329">
        <f>IFERROR(__xludf.DUMMYFUNCTION("""COMPUTED_VALUE"""),105.0)</f>
        <v>105</v>
      </c>
      <c r="D5" s="329">
        <f>IFERROR(__xludf.DUMMYFUNCTION("""COMPUTED_VALUE"""),31818.0)</f>
        <v>31818</v>
      </c>
      <c r="E5" s="329">
        <f>IFERROR(__xludf.DUMMYFUNCTION("""COMPUTED_VALUE"""),11080.0)</f>
        <v>11080</v>
      </c>
      <c r="F5" s="258">
        <f>IFERROR(__xludf.DUMMYFUNCTION("""COMPUTED_VALUE"""),533719.0)</f>
        <v>533719</v>
      </c>
      <c r="G5" s="258">
        <f>IFERROR(__xludf.DUMMYFUNCTION("""COMPUTED_VALUE"""),11170.0)</f>
        <v>11170</v>
      </c>
      <c r="H5" s="258">
        <f>IFERROR(__xludf.DUMMYFUNCTION("""COMPUTED_VALUE"""),565537.0)</f>
        <v>565537</v>
      </c>
      <c r="I5" s="329">
        <f>IFERROR(__xludf.DUMMYFUNCTION("""COMPUTED_VALUE"""),74.0)</f>
        <v>74</v>
      </c>
      <c r="J5" s="329">
        <f>IFERROR(__xludf.DUMMYFUNCTION("""COMPUTED_VALUE"""),82.0)</f>
        <v>82</v>
      </c>
      <c r="K5" s="329">
        <f>IFERROR(__xludf.DUMMYFUNCTION("""COMPUTED_VALUE"""),22199.0)</f>
        <v>22199</v>
      </c>
      <c r="L5" s="329">
        <f>IFERROR(__xludf.DUMMYFUNCTION("""COMPUTED_VALUE"""),2358.0)</f>
        <v>2358</v>
      </c>
      <c r="M5" s="329">
        <f>IFERROR(__xludf.DUMMYFUNCTION("""COMPUTED_VALUE"""),238956.0)</f>
        <v>238956</v>
      </c>
      <c r="N5" s="329">
        <f>IFERROR(__xludf.DUMMYFUNCTION("""COMPUTED_VALUE"""),261155.0)</f>
        <v>261155</v>
      </c>
      <c r="O5" s="329">
        <f>IFERROR(__xludf.DUMMYFUNCTION("""COMPUTED_VALUE"""),8.0)</f>
        <v>8</v>
      </c>
      <c r="P5" s="329">
        <f>IFERROR(__xludf.DUMMYFUNCTION("""COMPUTED_VALUE"""),2516.0)</f>
        <v>2516</v>
      </c>
      <c r="Q5" s="329">
        <f>IFERROR(__xludf.DUMMYFUNCTION("""COMPUTED_VALUE"""),8.0)</f>
        <v>8</v>
      </c>
      <c r="R5" s="329">
        <f>IFERROR(__xludf.DUMMYFUNCTION("""COMPUTED_VALUE"""),2106.0)</f>
        <v>2106</v>
      </c>
      <c r="S5" s="329">
        <f>IFERROR(__xludf.DUMMYFUNCTION("""COMPUTED_VALUE"""),0.0)</f>
        <v>0</v>
      </c>
      <c r="T5" s="329">
        <f>IFERROR(__xludf.DUMMYFUNCTION("""COMPUTED_VALUE"""),340.0)</f>
        <v>340</v>
      </c>
      <c r="U5" s="329">
        <f>IFERROR(__xludf.DUMMYFUNCTION("""COMPUTED_VALUE"""),70.0)</f>
        <v>70</v>
      </c>
      <c r="V5" s="329">
        <f>IFERROR(__xludf.DUMMYFUNCTION("""COMPUTED_VALUE"""),71.0)</f>
        <v>71</v>
      </c>
      <c r="W5" s="329">
        <f>IFERROR(__xludf.DUMMYFUNCTION("""COMPUTED_VALUE"""),9.0)</f>
        <v>9</v>
      </c>
      <c r="X5" s="329">
        <f>IFERROR(__xludf.DUMMYFUNCTION("""COMPUTED_VALUE"""),4.0)</f>
        <v>4</v>
      </c>
      <c r="Y5" s="329">
        <f>IFERROR(__xludf.DUMMYFUNCTION("""COMPUTED_VALUE"""),3.0)</f>
        <v>3</v>
      </c>
      <c r="Z5" s="329">
        <f>IFERROR(__xludf.DUMMYFUNCTION("""COMPUTED_VALUE"""),1085.0)</f>
        <v>1085</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IFERROR(__xludf.DUMMYFUNCTION("""COMPUTED_VALUE"""),44078.0)</f>
        <v>44078</v>
      </c>
      <c r="B6" s="329">
        <f>IFERROR(__xludf.DUMMYFUNCTION("""COMPUTED_VALUE"""),103.0)</f>
        <v>103</v>
      </c>
      <c r="C6" s="329">
        <f>IFERROR(__xludf.DUMMYFUNCTION("""COMPUTED_VALUE"""),106.0)</f>
        <v>106</v>
      </c>
      <c r="D6" s="329">
        <f>IFERROR(__xludf.DUMMYFUNCTION("""COMPUTED_VALUE"""),31921.0)</f>
        <v>31921</v>
      </c>
      <c r="E6" s="329">
        <f>IFERROR(__xludf.DUMMYFUNCTION("""COMPUTED_VALUE"""),8962.0)</f>
        <v>8962</v>
      </c>
      <c r="F6" s="258">
        <f>IFERROR(__xludf.DUMMYFUNCTION("""COMPUTED_VALUE"""),542681.0)</f>
        <v>542681</v>
      </c>
      <c r="G6" s="258">
        <f>IFERROR(__xludf.DUMMYFUNCTION("""COMPUTED_VALUE"""),9065.0)</f>
        <v>9065</v>
      </c>
      <c r="H6" s="258">
        <f>IFERROR(__xludf.DUMMYFUNCTION("""COMPUTED_VALUE"""),574602.0)</f>
        <v>574602</v>
      </c>
      <c r="I6" s="329">
        <f>IFERROR(__xludf.DUMMYFUNCTION("""COMPUTED_VALUE"""),82.0)</f>
        <v>82</v>
      </c>
      <c r="J6" s="329">
        <f>IFERROR(__xludf.DUMMYFUNCTION("""COMPUTED_VALUE"""),87.0)</f>
        <v>87</v>
      </c>
      <c r="K6" s="329">
        <f>IFERROR(__xludf.DUMMYFUNCTION("""COMPUTED_VALUE"""),22281.0)</f>
        <v>22281</v>
      </c>
      <c r="L6" s="329">
        <f>IFERROR(__xludf.DUMMYFUNCTION("""COMPUTED_VALUE"""),2176.0)</f>
        <v>2176</v>
      </c>
      <c r="M6" s="329">
        <f>IFERROR(__xludf.DUMMYFUNCTION("""COMPUTED_VALUE"""),241132.0)</f>
        <v>241132</v>
      </c>
      <c r="N6" s="329">
        <f>IFERROR(__xludf.DUMMYFUNCTION("""COMPUTED_VALUE"""),263413.0)</f>
        <v>263413</v>
      </c>
      <c r="O6" s="329">
        <f>IFERROR(__xludf.DUMMYFUNCTION("""COMPUTED_VALUE"""),11.0)</f>
        <v>11</v>
      </c>
      <c r="P6" s="329">
        <f>IFERROR(__xludf.DUMMYFUNCTION("""COMPUTED_VALUE"""),2527.0)</f>
        <v>2527</v>
      </c>
      <c r="Q6" s="329">
        <f>IFERROR(__xludf.DUMMYFUNCTION("""COMPUTED_VALUE"""),4.0)</f>
        <v>4</v>
      </c>
      <c r="R6" s="329">
        <f>IFERROR(__xludf.DUMMYFUNCTION("""COMPUTED_VALUE"""),2110.0)</f>
        <v>2110</v>
      </c>
      <c r="S6" s="329">
        <f>IFERROR(__xludf.DUMMYFUNCTION("""COMPUTED_VALUE"""),0.0)</f>
        <v>0</v>
      </c>
      <c r="T6" s="329">
        <f>IFERROR(__xludf.DUMMYFUNCTION("""COMPUTED_VALUE"""),340.0)</f>
        <v>340</v>
      </c>
      <c r="U6" s="329">
        <f>IFERROR(__xludf.DUMMYFUNCTION("""COMPUTED_VALUE"""),77.0)</f>
        <v>77</v>
      </c>
      <c r="V6" s="329">
        <f>IFERROR(__xludf.DUMMYFUNCTION("""COMPUTED_VALUE"""),72.0)</f>
        <v>72</v>
      </c>
      <c r="W6" s="329">
        <f>IFERROR(__xludf.DUMMYFUNCTION("""COMPUTED_VALUE"""),9.0)</f>
        <v>9</v>
      </c>
      <c r="X6" s="329">
        <f>IFERROR(__xludf.DUMMYFUNCTION("""COMPUTED_VALUE"""),4.0)</f>
        <v>4</v>
      </c>
      <c r="Y6" s="329">
        <f>IFERROR(__xludf.DUMMYFUNCTION("""COMPUTED_VALUE"""),1.0)</f>
        <v>1</v>
      </c>
      <c r="Z6" s="329">
        <f>IFERROR(__xludf.DUMMYFUNCTION("""COMPUTED_VALUE"""),1086.0)</f>
        <v>1086</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IFERROR(__xludf.DUMMYFUNCTION("""COMPUTED_VALUE"""),44079.0)</f>
        <v>44079</v>
      </c>
      <c r="B7" s="329">
        <f>IFERROR(__xludf.DUMMYFUNCTION("""COMPUTED_VALUE"""),53.0)</f>
        <v>53</v>
      </c>
      <c r="C7" s="329">
        <f>IFERROR(__xludf.DUMMYFUNCTION("""COMPUTED_VALUE"""),82.0)</f>
        <v>82</v>
      </c>
      <c r="D7" s="329">
        <f>IFERROR(__xludf.DUMMYFUNCTION("""COMPUTED_VALUE"""),31974.0)</f>
        <v>31974</v>
      </c>
      <c r="E7" s="329">
        <f>IFERROR(__xludf.DUMMYFUNCTION("""COMPUTED_VALUE"""),6307.0)</f>
        <v>6307</v>
      </c>
      <c r="F7" s="258">
        <f>IFERROR(__xludf.DUMMYFUNCTION("""COMPUTED_VALUE"""),548988.0)</f>
        <v>548988</v>
      </c>
      <c r="G7" s="258">
        <f>IFERROR(__xludf.DUMMYFUNCTION("""COMPUTED_VALUE"""),6360.0)</f>
        <v>6360</v>
      </c>
      <c r="H7" s="258">
        <f>IFERROR(__xludf.DUMMYFUNCTION("""COMPUTED_VALUE"""),580962.0)</f>
        <v>580962</v>
      </c>
      <c r="I7" s="329">
        <f>IFERROR(__xludf.DUMMYFUNCTION("""COMPUTED_VALUE"""),42.0)</f>
        <v>42</v>
      </c>
      <c r="J7" s="329">
        <f>IFERROR(__xludf.DUMMYFUNCTION("""COMPUTED_VALUE"""),66.0)</f>
        <v>66</v>
      </c>
      <c r="K7" s="329">
        <f>IFERROR(__xludf.DUMMYFUNCTION("""COMPUTED_VALUE"""),22323.0)</f>
        <v>22323</v>
      </c>
      <c r="L7" s="329">
        <f>IFERROR(__xludf.DUMMYFUNCTION("""COMPUTED_VALUE"""),1461.0)</f>
        <v>1461</v>
      </c>
      <c r="M7" s="329">
        <f>IFERROR(__xludf.DUMMYFUNCTION("""COMPUTED_VALUE"""),242593.0)</f>
        <v>242593</v>
      </c>
      <c r="N7" s="329">
        <f>IFERROR(__xludf.DUMMYFUNCTION("""COMPUTED_VALUE"""),264916.0)</f>
        <v>264916</v>
      </c>
      <c r="O7" s="329">
        <f>IFERROR(__xludf.DUMMYFUNCTION("""COMPUTED_VALUE"""),6.0)</f>
        <v>6</v>
      </c>
      <c r="P7" s="329">
        <f>IFERROR(__xludf.DUMMYFUNCTION("""COMPUTED_VALUE"""),2533.0)</f>
        <v>2533</v>
      </c>
      <c r="Q7" s="329">
        <f>IFERROR(__xludf.DUMMYFUNCTION("""COMPUTED_VALUE"""),9.0)</f>
        <v>9</v>
      </c>
      <c r="R7" s="329">
        <f>IFERROR(__xludf.DUMMYFUNCTION("""COMPUTED_VALUE"""),2119.0)</f>
        <v>2119</v>
      </c>
      <c r="S7" s="329">
        <f>IFERROR(__xludf.DUMMYFUNCTION("""COMPUTED_VALUE"""),0.0)</f>
        <v>0</v>
      </c>
      <c r="T7" s="329">
        <f>IFERROR(__xludf.DUMMYFUNCTION("""COMPUTED_VALUE"""),340.0)</f>
        <v>340</v>
      </c>
      <c r="U7" s="329">
        <f>IFERROR(__xludf.DUMMYFUNCTION("""COMPUTED_VALUE"""),74.0)</f>
        <v>74</v>
      </c>
      <c r="V7" s="329">
        <f>IFERROR(__xludf.DUMMYFUNCTION("""COMPUTED_VALUE"""),74.0)</f>
        <v>74</v>
      </c>
      <c r="W7" s="329">
        <f>IFERROR(__xludf.DUMMYFUNCTION("""COMPUTED_VALUE"""),8.0)</f>
        <v>8</v>
      </c>
      <c r="X7" s="329">
        <f>IFERROR(__xludf.DUMMYFUNCTION("""COMPUTED_VALUE"""),3.0)</f>
        <v>3</v>
      </c>
      <c r="Y7" s="329">
        <f>IFERROR(__xludf.DUMMYFUNCTION("""COMPUTED_VALUE"""),1.0)</f>
        <v>1</v>
      </c>
      <c r="Z7" s="329">
        <f>IFERROR(__xludf.DUMMYFUNCTION("""COMPUTED_VALUE"""),1087.0)</f>
        <v>1087</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IFERROR(__xludf.DUMMYFUNCTION("""COMPUTED_VALUE"""),44080.0)</f>
        <v>44080</v>
      </c>
      <c r="B8" s="329">
        <f>IFERROR(__xludf.DUMMYFUNCTION("""COMPUTED_VALUE"""),88.0)</f>
        <v>88</v>
      </c>
      <c r="C8" s="329">
        <f>IFERROR(__xludf.DUMMYFUNCTION("""COMPUTED_VALUE"""),81.0)</f>
        <v>81</v>
      </c>
      <c r="D8" s="329">
        <f>IFERROR(__xludf.DUMMYFUNCTION("""COMPUTED_VALUE"""),32062.0)</f>
        <v>32062</v>
      </c>
      <c r="E8" s="329">
        <f>IFERROR(__xludf.DUMMYFUNCTION("""COMPUTED_VALUE"""),4325.0)</f>
        <v>4325</v>
      </c>
      <c r="F8" s="258">
        <f>IFERROR(__xludf.DUMMYFUNCTION("""COMPUTED_VALUE"""),553313.0)</f>
        <v>553313</v>
      </c>
      <c r="G8" s="258">
        <f>IFERROR(__xludf.DUMMYFUNCTION("""COMPUTED_VALUE"""),4413.0)</f>
        <v>4413</v>
      </c>
      <c r="H8" s="258">
        <f>IFERROR(__xludf.DUMMYFUNCTION("""COMPUTED_VALUE"""),585375.0)</f>
        <v>585375</v>
      </c>
      <c r="I8" s="329">
        <f>IFERROR(__xludf.DUMMYFUNCTION("""COMPUTED_VALUE"""),65.0)</f>
        <v>65</v>
      </c>
      <c r="J8" s="329">
        <f>IFERROR(__xludf.DUMMYFUNCTION("""COMPUTED_VALUE"""),63.0)</f>
        <v>63</v>
      </c>
      <c r="K8" s="329">
        <f>IFERROR(__xludf.DUMMYFUNCTION("""COMPUTED_VALUE"""),22388.0)</f>
        <v>22388</v>
      </c>
      <c r="L8" s="329">
        <f>IFERROR(__xludf.DUMMYFUNCTION("""COMPUTED_VALUE"""),1776.0)</f>
        <v>1776</v>
      </c>
      <c r="M8" s="329">
        <f>IFERROR(__xludf.DUMMYFUNCTION("""COMPUTED_VALUE"""),244369.0)</f>
        <v>244369</v>
      </c>
      <c r="N8" s="329">
        <f>IFERROR(__xludf.DUMMYFUNCTION("""COMPUTED_VALUE"""),266757.0)</f>
        <v>266757</v>
      </c>
      <c r="O8" s="329">
        <f>IFERROR(__xludf.DUMMYFUNCTION("""COMPUTED_VALUE"""),4.0)</f>
        <v>4</v>
      </c>
      <c r="P8" s="329">
        <f>IFERROR(__xludf.DUMMYFUNCTION("""COMPUTED_VALUE"""),2537.0)</f>
        <v>2537</v>
      </c>
      <c r="Q8" s="329">
        <f>IFERROR(__xludf.DUMMYFUNCTION("""COMPUTED_VALUE"""),8.0)</f>
        <v>8</v>
      </c>
      <c r="R8" s="329">
        <f>IFERROR(__xludf.DUMMYFUNCTION("""COMPUTED_VALUE"""),2127.0)</f>
        <v>2127</v>
      </c>
      <c r="S8" s="329">
        <f>IFERROR(__xludf.DUMMYFUNCTION("""COMPUTED_VALUE"""),1.0)</f>
        <v>1</v>
      </c>
      <c r="T8" s="329">
        <f>IFERROR(__xludf.DUMMYFUNCTION("""COMPUTED_VALUE"""),341.0)</f>
        <v>341</v>
      </c>
      <c r="U8" s="329">
        <f>IFERROR(__xludf.DUMMYFUNCTION("""COMPUTED_VALUE"""),69.0)</f>
        <v>69</v>
      </c>
      <c r="V8" s="329">
        <f>IFERROR(__xludf.DUMMYFUNCTION("""COMPUTED_VALUE"""),73.0)</f>
        <v>73</v>
      </c>
      <c r="W8" s="329">
        <f>IFERROR(__xludf.DUMMYFUNCTION("""COMPUTED_VALUE"""),6.0)</f>
        <v>6</v>
      </c>
      <c r="X8" s="329">
        <f>IFERROR(__xludf.DUMMYFUNCTION("""COMPUTED_VALUE"""),3.0)</f>
        <v>3</v>
      </c>
      <c r="Y8" s="329">
        <f>IFERROR(__xludf.DUMMYFUNCTION("""COMPUTED_VALUE"""),1.0)</f>
        <v>1</v>
      </c>
      <c r="Z8" s="329">
        <f>IFERROR(__xludf.DUMMYFUNCTION("""COMPUTED_VALUE"""),1088.0)</f>
        <v>1088</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IFERROR(__xludf.DUMMYFUNCTION("""COMPUTED_VALUE"""),44081.0)</f>
        <v>44081</v>
      </c>
      <c r="B9" s="329">
        <f>IFERROR(__xludf.DUMMYFUNCTION("""COMPUTED_VALUE"""),35.0)</f>
        <v>35</v>
      </c>
      <c r="C9" s="329">
        <f>IFERROR(__xludf.DUMMYFUNCTION("""COMPUTED_VALUE"""),59.0)</f>
        <v>59</v>
      </c>
      <c r="D9" s="329">
        <f>IFERROR(__xludf.DUMMYFUNCTION("""COMPUTED_VALUE"""),32097.0)</f>
        <v>32097</v>
      </c>
      <c r="E9" s="329">
        <f>IFERROR(__xludf.DUMMYFUNCTION("""COMPUTED_VALUE"""),3002.0)</f>
        <v>3002</v>
      </c>
      <c r="F9" s="258">
        <f>IFERROR(__xludf.DUMMYFUNCTION("""COMPUTED_VALUE"""),556315.0)</f>
        <v>556315</v>
      </c>
      <c r="G9" s="258">
        <f>IFERROR(__xludf.DUMMYFUNCTION("""COMPUTED_VALUE"""),3037.0)</f>
        <v>3037</v>
      </c>
      <c r="H9" s="258">
        <f>IFERROR(__xludf.DUMMYFUNCTION("""COMPUTED_VALUE"""),588412.0)</f>
        <v>588412</v>
      </c>
      <c r="I9" s="329">
        <f>IFERROR(__xludf.DUMMYFUNCTION("""COMPUTED_VALUE"""),26.0)</f>
        <v>26</v>
      </c>
      <c r="J9" s="329">
        <f>IFERROR(__xludf.DUMMYFUNCTION("""COMPUTED_VALUE"""),44.0)</f>
        <v>44</v>
      </c>
      <c r="K9" s="329">
        <f>IFERROR(__xludf.DUMMYFUNCTION("""COMPUTED_VALUE"""),22414.0)</f>
        <v>22414</v>
      </c>
      <c r="L9" s="329">
        <f>IFERROR(__xludf.DUMMYFUNCTION("""COMPUTED_VALUE"""),594.0)</f>
        <v>594</v>
      </c>
      <c r="M9" s="329">
        <f>IFERROR(__xludf.DUMMYFUNCTION("""COMPUTED_VALUE"""),244963.0)</f>
        <v>244963</v>
      </c>
      <c r="N9" s="329">
        <f>IFERROR(__xludf.DUMMYFUNCTION("""COMPUTED_VALUE"""),267377.0)</f>
        <v>267377</v>
      </c>
      <c r="O9" s="329">
        <f>IFERROR(__xludf.DUMMYFUNCTION("""COMPUTED_VALUE"""),11.0)</f>
        <v>11</v>
      </c>
      <c r="P9" s="329">
        <f>IFERROR(__xludf.DUMMYFUNCTION("""COMPUTED_VALUE"""),2548.0)</f>
        <v>2548</v>
      </c>
      <c r="Q9" s="329">
        <f>IFERROR(__xludf.DUMMYFUNCTION("""COMPUTED_VALUE"""),3.0)</f>
        <v>3</v>
      </c>
      <c r="R9" s="329">
        <f>IFERROR(__xludf.DUMMYFUNCTION("""COMPUTED_VALUE"""),2130.0)</f>
        <v>2130</v>
      </c>
      <c r="S9" s="329">
        <f>IFERROR(__xludf.DUMMYFUNCTION("""COMPUTED_VALUE"""),0.0)</f>
        <v>0</v>
      </c>
      <c r="T9" s="329">
        <f>IFERROR(__xludf.DUMMYFUNCTION("""COMPUTED_VALUE"""),341.0)</f>
        <v>341</v>
      </c>
      <c r="U9" s="329">
        <f>IFERROR(__xludf.DUMMYFUNCTION("""COMPUTED_VALUE"""),77.0)</f>
        <v>77</v>
      </c>
      <c r="V9" s="329">
        <f>IFERROR(__xludf.DUMMYFUNCTION("""COMPUTED_VALUE"""),73.0)</f>
        <v>73</v>
      </c>
      <c r="W9" s="329">
        <f>IFERROR(__xludf.DUMMYFUNCTION("""COMPUTED_VALUE"""),5.0)</f>
        <v>5</v>
      </c>
      <c r="X9" s="329">
        <f>IFERROR(__xludf.DUMMYFUNCTION("""COMPUTED_VALUE"""),3.0)</f>
        <v>3</v>
      </c>
      <c r="Y9" s="329">
        <f>IFERROR(__xludf.DUMMYFUNCTION("""COMPUTED_VALUE"""),1.0)</f>
        <v>1</v>
      </c>
      <c r="Z9" s="329">
        <f>IFERROR(__xludf.DUMMYFUNCTION("""COMPUTED_VALUE"""),1089.0)</f>
        <v>1089</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IFERROR(__xludf.DUMMYFUNCTION("""COMPUTED_VALUE"""),44082.0)</f>
        <v>44082</v>
      </c>
      <c r="B10" s="329">
        <f>IFERROR(__xludf.DUMMYFUNCTION("""COMPUTED_VALUE"""),74.0)</f>
        <v>74</v>
      </c>
      <c r="C10" s="329">
        <f>IFERROR(__xludf.DUMMYFUNCTION("""COMPUTED_VALUE"""),66.0)</f>
        <v>66</v>
      </c>
      <c r="D10" s="329">
        <f>IFERROR(__xludf.DUMMYFUNCTION("""COMPUTED_VALUE"""),32171.0)</f>
        <v>32171</v>
      </c>
      <c r="E10" s="329">
        <f>IFERROR(__xludf.DUMMYFUNCTION("""COMPUTED_VALUE"""),6380.0)</f>
        <v>6380</v>
      </c>
      <c r="F10" s="258">
        <f>IFERROR(__xludf.DUMMYFUNCTION("""COMPUTED_VALUE"""),562695.0)</f>
        <v>562695</v>
      </c>
      <c r="G10" s="258">
        <f>IFERROR(__xludf.DUMMYFUNCTION("""COMPUTED_VALUE"""),6454.0)</f>
        <v>6454</v>
      </c>
      <c r="H10" s="258">
        <f>IFERROR(__xludf.DUMMYFUNCTION("""COMPUTED_VALUE"""),594866.0)</f>
        <v>594866</v>
      </c>
      <c r="I10" s="329">
        <f>IFERROR(__xludf.DUMMYFUNCTION("""COMPUTED_VALUE"""),66.0)</f>
        <v>66</v>
      </c>
      <c r="J10" s="329">
        <f>IFERROR(__xludf.DUMMYFUNCTION("""COMPUTED_VALUE"""),52.0)</f>
        <v>52</v>
      </c>
      <c r="K10" s="329">
        <f>IFERROR(__xludf.DUMMYFUNCTION("""COMPUTED_VALUE"""),22480.0)</f>
        <v>22480</v>
      </c>
      <c r="L10" s="329">
        <f>IFERROR(__xludf.DUMMYFUNCTION("""COMPUTED_VALUE"""),1451.0)</f>
        <v>1451</v>
      </c>
      <c r="M10" s="329">
        <f>IFERROR(__xludf.DUMMYFUNCTION("""COMPUTED_VALUE"""),246414.0)</f>
        <v>246414</v>
      </c>
      <c r="N10" s="329">
        <f>IFERROR(__xludf.DUMMYFUNCTION("""COMPUTED_VALUE"""),268894.0)</f>
        <v>268894</v>
      </c>
      <c r="O10" s="329">
        <f>IFERROR(__xludf.DUMMYFUNCTION("""COMPUTED_VALUE"""),6.0)</f>
        <v>6</v>
      </c>
      <c r="P10" s="329">
        <f>IFERROR(__xludf.DUMMYFUNCTION("""COMPUTED_VALUE"""),2554.0)</f>
        <v>2554</v>
      </c>
      <c r="Q10" s="329">
        <f>IFERROR(__xludf.DUMMYFUNCTION("""COMPUTED_VALUE"""),12.0)</f>
        <v>12</v>
      </c>
      <c r="R10" s="329">
        <f>IFERROR(__xludf.DUMMYFUNCTION("""COMPUTED_VALUE"""),2142.0)</f>
        <v>2142</v>
      </c>
      <c r="S10" s="329">
        <f>IFERROR(__xludf.DUMMYFUNCTION("""COMPUTED_VALUE"""),1.0)</f>
        <v>1</v>
      </c>
      <c r="T10" s="329">
        <f>IFERROR(__xludf.DUMMYFUNCTION("""COMPUTED_VALUE"""),342.0)</f>
        <v>342</v>
      </c>
      <c r="U10" s="329">
        <f>IFERROR(__xludf.DUMMYFUNCTION("""COMPUTED_VALUE"""),70.0)</f>
        <v>70</v>
      </c>
      <c r="V10" s="329">
        <f>IFERROR(__xludf.DUMMYFUNCTION("""COMPUTED_VALUE"""),72.0)</f>
        <v>72</v>
      </c>
      <c r="W10" s="329">
        <f>IFERROR(__xludf.DUMMYFUNCTION("""COMPUTED_VALUE"""),6.0)</f>
        <v>6</v>
      </c>
      <c r="X10" s="329">
        <f>IFERROR(__xludf.DUMMYFUNCTION("""COMPUTED_VALUE"""),3.0)</f>
        <v>3</v>
      </c>
      <c r="Y10" s="329">
        <f>IFERROR(__xludf.DUMMYFUNCTION("""COMPUTED_VALUE"""),2.0)</f>
        <v>2</v>
      </c>
      <c r="Z10" s="329">
        <f>IFERROR(__xludf.DUMMYFUNCTION("""COMPUTED_VALUE"""),1091.0)</f>
        <v>1091</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IFERROR(__xludf.DUMMYFUNCTION("""COMPUTED_VALUE"""),44083.0)</f>
        <v>44083</v>
      </c>
      <c r="B11" s="329">
        <f>IFERROR(__xludf.DUMMYFUNCTION("""COMPUTED_VALUE"""),118.0)</f>
        <v>118</v>
      </c>
      <c r="C11" s="329">
        <f>IFERROR(__xludf.DUMMYFUNCTION("""COMPUTED_VALUE"""),76.0)</f>
        <v>76</v>
      </c>
      <c r="D11" s="329">
        <f>IFERROR(__xludf.DUMMYFUNCTION("""COMPUTED_VALUE"""),32289.0)</f>
        <v>32289</v>
      </c>
      <c r="E11" s="329">
        <f>IFERROR(__xludf.DUMMYFUNCTION("""COMPUTED_VALUE"""),8650.0)</f>
        <v>8650</v>
      </c>
      <c r="F11" s="258">
        <f>IFERROR(__xludf.DUMMYFUNCTION("""COMPUTED_VALUE"""),571345.0)</f>
        <v>571345</v>
      </c>
      <c r="G11" s="258">
        <f>IFERROR(__xludf.DUMMYFUNCTION("""COMPUTED_VALUE"""),8768.0)</f>
        <v>8768</v>
      </c>
      <c r="H11" s="258">
        <f>IFERROR(__xludf.DUMMYFUNCTION("""COMPUTED_VALUE"""),603634.0)</f>
        <v>603634</v>
      </c>
      <c r="I11" s="329">
        <f>IFERROR(__xludf.DUMMYFUNCTION("""COMPUTED_VALUE"""),102.0)</f>
        <v>102</v>
      </c>
      <c r="J11" s="329">
        <f>IFERROR(__xludf.DUMMYFUNCTION("""COMPUTED_VALUE"""),65.0)</f>
        <v>65</v>
      </c>
      <c r="K11" s="329">
        <f>IFERROR(__xludf.DUMMYFUNCTION("""COMPUTED_VALUE"""),22582.0)</f>
        <v>22582</v>
      </c>
      <c r="L11" s="329">
        <f>IFERROR(__xludf.DUMMYFUNCTION("""COMPUTED_VALUE"""),1961.0)</f>
        <v>1961</v>
      </c>
      <c r="M11" s="329">
        <f>IFERROR(__xludf.DUMMYFUNCTION("""COMPUTED_VALUE"""),248375.0)</f>
        <v>248375</v>
      </c>
      <c r="N11" s="329">
        <f>IFERROR(__xludf.DUMMYFUNCTION("""COMPUTED_VALUE"""),270957.0)</f>
        <v>270957</v>
      </c>
      <c r="O11" s="329">
        <f>IFERROR(__xludf.DUMMYFUNCTION("""COMPUTED_VALUE"""),10.0)</f>
        <v>10</v>
      </c>
      <c r="P11" s="329">
        <f>IFERROR(__xludf.DUMMYFUNCTION("""COMPUTED_VALUE"""),2564.0)</f>
        <v>2564</v>
      </c>
      <c r="Q11" s="329">
        <f>IFERROR(__xludf.DUMMYFUNCTION("""COMPUTED_VALUE"""),5.0)</f>
        <v>5</v>
      </c>
      <c r="R11" s="329">
        <f>IFERROR(__xludf.DUMMYFUNCTION("""COMPUTED_VALUE"""),2147.0)</f>
        <v>2147</v>
      </c>
      <c r="S11" s="329">
        <f>IFERROR(__xludf.DUMMYFUNCTION("""COMPUTED_VALUE"""),1.0)</f>
        <v>1</v>
      </c>
      <c r="T11" s="329">
        <f>IFERROR(__xludf.DUMMYFUNCTION("""COMPUTED_VALUE"""),343.0)</f>
        <v>343</v>
      </c>
      <c r="U11" s="329">
        <f>IFERROR(__xludf.DUMMYFUNCTION("""COMPUTED_VALUE"""),74.0)</f>
        <v>74</v>
      </c>
      <c r="V11" s="329">
        <f>IFERROR(__xludf.DUMMYFUNCTION("""COMPUTED_VALUE"""),74.0)</f>
        <v>74</v>
      </c>
      <c r="W11" s="329">
        <f>IFERROR(__xludf.DUMMYFUNCTION("""COMPUTED_VALUE"""),9.0)</f>
        <v>9</v>
      </c>
      <c r="X11" s="329">
        <f>IFERROR(__xludf.DUMMYFUNCTION("""COMPUTED_VALUE"""),3.0)</f>
        <v>3</v>
      </c>
      <c r="Y11" s="329">
        <f>IFERROR(__xludf.DUMMYFUNCTION("""COMPUTED_VALUE"""),1.0)</f>
        <v>1</v>
      </c>
      <c r="Z11" s="329">
        <f>IFERROR(__xludf.DUMMYFUNCTION("""COMPUTED_VALUE"""),1092.0)</f>
        <v>1092</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IFERROR(__xludf.DUMMYFUNCTION("""COMPUTED_VALUE"""),44084.0)</f>
        <v>44084</v>
      </c>
      <c r="B12" s="329">
        <f>IFERROR(__xludf.DUMMYFUNCTION("""COMPUTED_VALUE"""),164.0)</f>
        <v>164</v>
      </c>
      <c r="C12" s="329">
        <f>IFERROR(__xludf.DUMMYFUNCTION("""COMPUTED_VALUE"""),119.0)</f>
        <v>119</v>
      </c>
      <c r="D12" s="329">
        <f>IFERROR(__xludf.DUMMYFUNCTION("""COMPUTED_VALUE"""),32453.0)</f>
        <v>32453</v>
      </c>
      <c r="E12" s="329">
        <f>IFERROR(__xludf.DUMMYFUNCTION("""COMPUTED_VALUE"""),11334.0)</f>
        <v>11334</v>
      </c>
      <c r="F12" s="258">
        <f>IFERROR(__xludf.DUMMYFUNCTION("""COMPUTED_VALUE"""),582679.0)</f>
        <v>582679</v>
      </c>
      <c r="G12" s="258">
        <f>IFERROR(__xludf.DUMMYFUNCTION("""COMPUTED_VALUE"""),11498.0)</f>
        <v>11498</v>
      </c>
      <c r="H12" s="258">
        <f>IFERROR(__xludf.DUMMYFUNCTION("""COMPUTED_VALUE"""),615132.0)</f>
        <v>615132</v>
      </c>
      <c r="I12" s="329">
        <f>IFERROR(__xludf.DUMMYFUNCTION("""COMPUTED_VALUE"""),111.0)</f>
        <v>111</v>
      </c>
      <c r="J12" s="329">
        <f>IFERROR(__xludf.DUMMYFUNCTION("""COMPUTED_VALUE"""),93.0)</f>
        <v>93</v>
      </c>
      <c r="K12" s="329">
        <f>IFERROR(__xludf.DUMMYFUNCTION("""COMPUTED_VALUE"""),22693.0)</f>
        <v>22693</v>
      </c>
      <c r="L12" s="329">
        <f>IFERROR(__xludf.DUMMYFUNCTION("""COMPUTED_VALUE"""),2073.0)</f>
        <v>2073</v>
      </c>
      <c r="M12" s="329">
        <f>IFERROR(__xludf.DUMMYFUNCTION("""COMPUTED_VALUE"""),250448.0)</f>
        <v>250448</v>
      </c>
      <c r="N12" s="329">
        <f>IFERROR(__xludf.DUMMYFUNCTION("""COMPUTED_VALUE"""),273141.0)</f>
        <v>273141</v>
      </c>
      <c r="O12" s="329">
        <f>IFERROR(__xludf.DUMMYFUNCTION("""COMPUTED_VALUE"""),9.0)</f>
        <v>9</v>
      </c>
      <c r="P12" s="329">
        <f>IFERROR(__xludf.DUMMYFUNCTION("""COMPUTED_VALUE"""),2573.0)</f>
        <v>2573</v>
      </c>
      <c r="Q12" s="329">
        <f>IFERROR(__xludf.DUMMYFUNCTION("""COMPUTED_VALUE"""),8.0)</f>
        <v>8</v>
      </c>
      <c r="R12" s="329">
        <f>IFERROR(__xludf.DUMMYFUNCTION("""COMPUTED_VALUE"""),2155.0)</f>
        <v>2155</v>
      </c>
      <c r="S12" s="329">
        <f>IFERROR(__xludf.DUMMYFUNCTION("""COMPUTED_VALUE"""),0.0)</f>
        <v>0</v>
      </c>
      <c r="T12" s="329">
        <f>IFERROR(__xludf.DUMMYFUNCTION("""COMPUTED_VALUE"""),343.0)</f>
        <v>343</v>
      </c>
      <c r="U12" s="329">
        <f>IFERROR(__xludf.DUMMYFUNCTION("""COMPUTED_VALUE"""),75.0)</f>
        <v>75</v>
      </c>
      <c r="V12" s="329">
        <f>IFERROR(__xludf.DUMMYFUNCTION("""COMPUTED_VALUE"""),73.0)</f>
        <v>73</v>
      </c>
      <c r="W12" s="329">
        <f>IFERROR(__xludf.DUMMYFUNCTION("""COMPUTED_VALUE"""),10.0)</f>
        <v>10</v>
      </c>
      <c r="X12" s="329">
        <f>IFERROR(__xludf.DUMMYFUNCTION("""COMPUTED_VALUE"""),3.0)</f>
        <v>3</v>
      </c>
      <c r="Y12" s="329">
        <f>IFERROR(__xludf.DUMMYFUNCTION("""COMPUTED_VALUE"""),1.0)</f>
        <v>1</v>
      </c>
      <c r="Z12" s="329">
        <f>IFERROR(__xludf.DUMMYFUNCTION("""COMPUTED_VALUE"""),1093.0)</f>
        <v>1093</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IFERROR(__xludf.DUMMYFUNCTION("""COMPUTED_VALUE"""),44085.0)</f>
        <v>44085</v>
      </c>
      <c r="B13" s="329">
        <f>IFERROR(__xludf.DUMMYFUNCTION("""COMPUTED_VALUE"""),120.0)</f>
        <v>120</v>
      </c>
      <c r="C13" s="329">
        <f>IFERROR(__xludf.DUMMYFUNCTION("""COMPUTED_VALUE"""),134.0)</f>
        <v>134</v>
      </c>
      <c r="D13" s="329">
        <f>IFERROR(__xludf.DUMMYFUNCTION("""COMPUTED_VALUE"""),32573.0)</f>
        <v>32573</v>
      </c>
      <c r="E13" s="329">
        <f>IFERROR(__xludf.DUMMYFUNCTION("""COMPUTED_VALUE"""),9455.0)</f>
        <v>9455</v>
      </c>
      <c r="F13" s="258">
        <f>IFERROR(__xludf.DUMMYFUNCTION("""COMPUTED_VALUE"""),592134.0)</f>
        <v>592134</v>
      </c>
      <c r="G13" s="258">
        <f>IFERROR(__xludf.DUMMYFUNCTION("""COMPUTED_VALUE"""),9575.0)</f>
        <v>9575</v>
      </c>
      <c r="H13" s="258">
        <f>IFERROR(__xludf.DUMMYFUNCTION("""COMPUTED_VALUE"""),624707.0)</f>
        <v>624707</v>
      </c>
      <c r="I13" s="329">
        <f>IFERROR(__xludf.DUMMYFUNCTION("""COMPUTED_VALUE"""),95.0)</f>
        <v>95</v>
      </c>
      <c r="J13" s="329">
        <f>IFERROR(__xludf.DUMMYFUNCTION("""COMPUTED_VALUE"""),103.0)</f>
        <v>103</v>
      </c>
      <c r="K13" s="329">
        <f>IFERROR(__xludf.DUMMYFUNCTION("""COMPUTED_VALUE"""),22788.0)</f>
        <v>22788</v>
      </c>
      <c r="L13" s="329">
        <f>IFERROR(__xludf.DUMMYFUNCTION("""COMPUTED_VALUE"""),1801.0)</f>
        <v>1801</v>
      </c>
      <c r="M13" s="329">
        <f>IFERROR(__xludf.DUMMYFUNCTION("""COMPUTED_VALUE"""),252249.0)</f>
        <v>252249</v>
      </c>
      <c r="N13" s="329">
        <f>IFERROR(__xludf.DUMMYFUNCTION("""COMPUTED_VALUE"""),275037.0)</f>
        <v>275037</v>
      </c>
      <c r="O13" s="329">
        <f>IFERROR(__xludf.DUMMYFUNCTION("""COMPUTED_VALUE"""),10.0)</f>
        <v>10</v>
      </c>
      <c r="P13" s="329">
        <f>IFERROR(__xludf.DUMMYFUNCTION("""COMPUTED_VALUE"""),2583.0)</f>
        <v>2583</v>
      </c>
      <c r="Q13" s="329">
        <f>IFERROR(__xludf.DUMMYFUNCTION("""COMPUTED_VALUE"""),10.0)</f>
        <v>10</v>
      </c>
      <c r="R13" s="329">
        <f>IFERROR(__xludf.DUMMYFUNCTION("""COMPUTED_VALUE"""),2165.0)</f>
        <v>2165</v>
      </c>
      <c r="S13" s="329">
        <f>IFERROR(__xludf.DUMMYFUNCTION("""COMPUTED_VALUE"""),0.0)</f>
        <v>0</v>
      </c>
      <c r="T13" s="329">
        <f>IFERROR(__xludf.DUMMYFUNCTION("""COMPUTED_VALUE"""),343.0)</f>
        <v>343</v>
      </c>
      <c r="U13" s="329">
        <f>IFERROR(__xludf.DUMMYFUNCTION("""COMPUTED_VALUE"""),75.0)</f>
        <v>75</v>
      </c>
      <c r="V13" s="329">
        <f>IFERROR(__xludf.DUMMYFUNCTION("""COMPUTED_VALUE"""),75.0)</f>
        <v>75</v>
      </c>
      <c r="W13" s="329">
        <f>IFERROR(__xludf.DUMMYFUNCTION("""COMPUTED_VALUE"""),10.0)</f>
        <v>10</v>
      </c>
      <c r="X13" s="329">
        <f>IFERROR(__xludf.DUMMYFUNCTION("""COMPUTED_VALUE"""),5.0)</f>
        <v>5</v>
      </c>
      <c r="Y13" s="329">
        <f>IFERROR(__xludf.DUMMYFUNCTION("""COMPUTED_VALUE"""),0.0)</f>
        <v>0</v>
      </c>
      <c r="Z13" s="329">
        <f>IFERROR(__xludf.DUMMYFUNCTION("""COMPUTED_VALUE"""),1093.0)</f>
        <v>1093</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IFERROR(__xludf.DUMMYFUNCTION("""COMPUTED_VALUE"""),44086.0)</f>
        <v>44086</v>
      </c>
      <c r="B14" s="329">
        <f>IFERROR(__xludf.DUMMYFUNCTION("""COMPUTED_VALUE"""),110.0)</f>
        <v>110</v>
      </c>
      <c r="C14" s="329">
        <f>IFERROR(__xludf.DUMMYFUNCTION("""COMPUTED_VALUE"""),131.0)</f>
        <v>131</v>
      </c>
      <c r="D14" s="329">
        <f>IFERROR(__xludf.DUMMYFUNCTION("""COMPUTED_VALUE"""),32683.0)</f>
        <v>32683</v>
      </c>
      <c r="E14" s="329">
        <f>IFERROR(__xludf.DUMMYFUNCTION("""COMPUTED_VALUE"""),6158.0)</f>
        <v>6158</v>
      </c>
      <c r="F14" s="258">
        <f>IFERROR(__xludf.DUMMYFUNCTION("""COMPUTED_VALUE"""),598292.0)</f>
        <v>598292</v>
      </c>
      <c r="G14" s="258">
        <f>IFERROR(__xludf.DUMMYFUNCTION("""COMPUTED_VALUE"""),6268.0)</f>
        <v>6268</v>
      </c>
      <c r="H14" s="258">
        <f>IFERROR(__xludf.DUMMYFUNCTION("""COMPUTED_VALUE"""),630975.0)</f>
        <v>630975</v>
      </c>
      <c r="I14" s="329">
        <f>IFERROR(__xludf.DUMMYFUNCTION("""COMPUTED_VALUE"""),97.0)</f>
        <v>97</v>
      </c>
      <c r="J14" s="329">
        <f>IFERROR(__xludf.DUMMYFUNCTION("""COMPUTED_VALUE"""),101.0)</f>
        <v>101</v>
      </c>
      <c r="K14" s="329">
        <f>IFERROR(__xludf.DUMMYFUNCTION("""COMPUTED_VALUE"""),22885.0)</f>
        <v>22885</v>
      </c>
      <c r="L14" s="329">
        <f>IFERROR(__xludf.DUMMYFUNCTION("""COMPUTED_VALUE"""),1368.0)</f>
        <v>1368</v>
      </c>
      <c r="M14" s="329">
        <f>IFERROR(__xludf.DUMMYFUNCTION("""COMPUTED_VALUE"""),253617.0)</f>
        <v>253617</v>
      </c>
      <c r="N14" s="329">
        <f>IFERROR(__xludf.DUMMYFUNCTION("""COMPUTED_VALUE"""),276502.0)</f>
        <v>276502</v>
      </c>
      <c r="O14" s="329">
        <f>IFERROR(__xludf.DUMMYFUNCTION("""COMPUTED_VALUE"""),8.0)</f>
        <v>8</v>
      </c>
      <c r="P14" s="329">
        <f>IFERROR(__xludf.DUMMYFUNCTION("""COMPUTED_VALUE"""),2591.0)</f>
        <v>2591</v>
      </c>
      <c r="Q14" s="329">
        <f>IFERROR(__xludf.DUMMYFUNCTION("""COMPUTED_VALUE"""),5.0)</f>
        <v>5</v>
      </c>
      <c r="R14" s="329">
        <f>IFERROR(__xludf.DUMMYFUNCTION("""COMPUTED_VALUE"""),2170.0)</f>
        <v>2170</v>
      </c>
      <c r="S14" s="329">
        <f>IFERROR(__xludf.DUMMYFUNCTION("""COMPUTED_VALUE"""),2.0)</f>
        <v>2</v>
      </c>
      <c r="T14" s="329">
        <f>IFERROR(__xludf.DUMMYFUNCTION("""COMPUTED_VALUE"""),345.0)</f>
        <v>345</v>
      </c>
      <c r="U14" s="329">
        <f>IFERROR(__xludf.DUMMYFUNCTION("""COMPUTED_VALUE"""),76.0)</f>
        <v>76</v>
      </c>
      <c r="V14" s="329">
        <f>IFERROR(__xludf.DUMMYFUNCTION("""COMPUTED_VALUE"""),75.0)</f>
        <v>75</v>
      </c>
      <c r="W14" s="329">
        <f>IFERROR(__xludf.DUMMYFUNCTION("""COMPUTED_VALUE"""),9.0)</f>
        <v>9</v>
      </c>
      <c r="X14" s="329">
        <f>IFERROR(__xludf.DUMMYFUNCTION("""COMPUTED_VALUE"""),5.0)</f>
        <v>5</v>
      </c>
      <c r="Y14" s="329">
        <f>IFERROR(__xludf.DUMMYFUNCTION("""COMPUTED_VALUE"""),3.0)</f>
        <v>3</v>
      </c>
      <c r="Z14" s="329">
        <f>IFERROR(__xludf.DUMMYFUNCTION("""COMPUTED_VALUE"""),1096.0)</f>
        <v>1096</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IFERROR(__xludf.DUMMYFUNCTION("""COMPUTED_VALUE"""),44087.0)</f>
        <v>44087</v>
      </c>
      <c r="B15" s="329">
        <f>IFERROR(__xludf.DUMMYFUNCTION("""COMPUTED_VALUE"""),58.0)</f>
        <v>58</v>
      </c>
      <c r="C15" s="329">
        <f>IFERROR(__xludf.DUMMYFUNCTION("""COMPUTED_VALUE"""),96.0)</f>
        <v>96</v>
      </c>
      <c r="D15" s="329">
        <f>IFERROR(__xludf.DUMMYFUNCTION("""COMPUTED_VALUE"""),32741.0)</f>
        <v>32741</v>
      </c>
      <c r="E15" s="329">
        <f>IFERROR(__xludf.DUMMYFUNCTION("""COMPUTED_VALUE"""),2717.0)</f>
        <v>2717</v>
      </c>
      <c r="F15" s="258">
        <f>IFERROR(__xludf.DUMMYFUNCTION("""COMPUTED_VALUE"""),601009.0)</f>
        <v>601009</v>
      </c>
      <c r="G15" s="258">
        <f>IFERROR(__xludf.DUMMYFUNCTION("""COMPUTED_VALUE"""),2775.0)</f>
        <v>2775</v>
      </c>
      <c r="H15" s="258">
        <f>IFERROR(__xludf.DUMMYFUNCTION("""COMPUTED_VALUE"""),633750.0)</f>
        <v>633750</v>
      </c>
      <c r="I15" s="329">
        <f>IFERROR(__xludf.DUMMYFUNCTION("""COMPUTED_VALUE"""),53.0)</f>
        <v>53</v>
      </c>
      <c r="J15" s="329">
        <f>IFERROR(__xludf.DUMMYFUNCTION("""COMPUTED_VALUE"""),82.0)</f>
        <v>82</v>
      </c>
      <c r="K15" s="329">
        <f>IFERROR(__xludf.DUMMYFUNCTION("""COMPUTED_VALUE"""),22938.0)</f>
        <v>22938</v>
      </c>
      <c r="L15" s="329">
        <f>IFERROR(__xludf.DUMMYFUNCTION("""COMPUTED_VALUE"""),800.0)</f>
        <v>800</v>
      </c>
      <c r="M15" s="329">
        <f>IFERROR(__xludf.DUMMYFUNCTION("""COMPUTED_VALUE"""),254417.0)</f>
        <v>254417</v>
      </c>
      <c r="N15" s="329">
        <f>IFERROR(__xludf.DUMMYFUNCTION("""COMPUTED_VALUE"""),277355.0)</f>
        <v>277355</v>
      </c>
      <c r="O15" s="329">
        <f>IFERROR(__xludf.DUMMYFUNCTION("""COMPUTED_VALUE"""),4.0)</f>
        <v>4</v>
      </c>
      <c r="P15" s="329">
        <f>IFERROR(__xludf.DUMMYFUNCTION("""COMPUTED_VALUE"""),2595.0)</f>
        <v>2595</v>
      </c>
      <c r="Q15" s="329">
        <f>IFERROR(__xludf.DUMMYFUNCTION("""COMPUTED_VALUE"""),3.0)</f>
        <v>3</v>
      </c>
      <c r="R15" s="329">
        <f>IFERROR(__xludf.DUMMYFUNCTION("""COMPUTED_VALUE"""),2173.0)</f>
        <v>2173</v>
      </c>
      <c r="S15" s="329">
        <f>IFERROR(__xludf.DUMMYFUNCTION("""COMPUTED_VALUE"""),0.0)</f>
        <v>0</v>
      </c>
      <c r="T15" s="329">
        <f>IFERROR(__xludf.DUMMYFUNCTION("""COMPUTED_VALUE"""),345.0)</f>
        <v>345</v>
      </c>
      <c r="U15" s="329">
        <f>IFERROR(__xludf.DUMMYFUNCTION("""COMPUTED_VALUE"""),77.0)</f>
        <v>77</v>
      </c>
      <c r="V15" s="329">
        <f>IFERROR(__xludf.DUMMYFUNCTION("""COMPUTED_VALUE"""),76.0)</f>
        <v>76</v>
      </c>
      <c r="W15" s="329">
        <f>IFERROR(__xludf.DUMMYFUNCTION("""COMPUTED_VALUE"""),10.0)</f>
        <v>10</v>
      </c>
      <c r="X15" s="329">
        <f>IFERROR(__xludf.DUMMYFUNCTION("""COMPUTED_VALUE"""),5.0)</f>
        <v>5</v>
      </c>
      <c r="Y15" s="329">
        <f>IFERROR(__xludf.DUMMYFUNCTION("""COMPUTED_VALUE"""),0.0)</f>
        <v>0</v>
      </c>
      <c r="Z15" s="329">
        <f>IFERROR(__xludf.DUMMYFUNCTION("""COMPUTED_VALUE"""),1096.0)</f>
        <v>1096</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IFERROR(__xludf.DUMMYFUNCTION("""COMPUTED_VALUE"""),44088.0)</f>
        <v>44088</v>
      </c>
      <c r="B16" s="329">
        <f>IFERROR(__xludf.DUMMYFUNCTION("""COMPUTED_VALUE"""),104.0)</f>
        <v>104</v>
      </c>
      <c r="C16" s="329">
        <f>IFERROR(__xludf.DUMMYFUNCTION("""COMPUTED_VALUE"""),91.0)</f>
        <v>91</v>
      </c>
      <c r="D16" s="329">
        <f>IFERROR(__xludf.DUMMYFUNCTION("""COMPUTED_VALUE"""),32845.0)</f>
        <v>32845</v>
      </c>
      <c r="E16" s="329">
        <f>IFERROR(__xludf.DUMMYFUNCTION("""COMPUTED_VALUE"""),6434.0)</f>
        <v>6434</v>
      </c>
      <c r="F16" s="258">
        <f>IFERROR(__xludf.DUMMYFUNCTION("""COMPUTED_VALUE"""),607443.0)</f>
        <v>607443</v>
      </c>
      <c r="G16" s="258">
        <f>IFERROR(__xludf.DUMMYFUNCTION("""COMPUTED_VALUE"""),6538.0)</f>
        <v>6538</v>
      </c>
      <c r="H16" s="258">
        <f>IFERROR(__xludf.DUMMYFUNCTION("""COMPUTED_VALUE"""),640288.0)</f>
        <v>640288</v>
      </c>
      <c r="I16" s="329">
        <f>IFERROR(__xludf.DUMMYFUNCTION("""COMPUTED_VALUE"""),96.0)</f>
        <v>96</v>
      </c>
      <c r="J16" s="329">
        <f>IFERROR(__xludf.DUMMYFUNCTION("""COMPUTED_VALUE"""),82.0)</f>
        <v>82</v>
      </c>
      <c r="K16" s="329">
        <f>IFERROR(__xludf.DUMMYFUNCTION("""COMPUTED_VALUE"""),23034.0)</f>
        <v>23034</v>
      </c>
      <c r="L16" s="329">
        <f>IFERROR(__xludf.DUMMYFUNCTION("""COMPUTED_VALUE"""),1569.0)</f>
        <v>1569</v>
      </c>
      <c r="M16" s="329">
        <f>IFERROR(__xludf.DUMMYFUNCTION("""COMPUTED_VALUE"""),255986.0)</f>
        <v>255986</v>
      </c>
      <c r="N16" s="329">
        <f>IFERROR(__xludf.DUMMYFUNCTION("""COMPUTED_VALUE"""),279020.0)</f>
        <v>279020</v>
      </c>
      <c r="O16" s="329">
        <f>IFERROR(__xludf.DUMMYFUNCTION("""COMPUTED_VALUE"""),6.0)</f>
        <v>6</v>
      </c>
      <c r="P16" s="329">
        <f>IFERROR(__xludf.DUMMYFUNCTION("""COMPUTED_VALUE"""),2601.0)</f>
        <v>2601</v>
      </c>
      <c r="Q16" s="329">
        <f>IFERROR(__xludf.DUMMYFUNCTION("""COMPUTED_VALUE"""),3.0)</f>
        <v>3</v>
      </c>
      <c r="R16" s="329">
        <f>IFERROR(__xludf.DUMMYFUNCTION("""COMPUTED_VALUE"""),2176.0)</f>
        <v>2176</v>
      </c>
      <c r="S16" s="329">
        <f>IFERROR(__xludf.DUMMYFUNCTION("""COMPUTED_VALUE"""),2.0)</f>
        <v>2</v>
      </c>
      <c r="T16" s="329">
        <f>IFERROR(__xludf.DUMMYFUNCTION("""COMPUTED_VALUE"""),347.0)</f>
        <v>347</v>
      </c>
      <c r="U16" s="329">
        <f>IFERROR(__xludf.DUMMYFUNCTION("""COMPUTED_VALUE"""),78.0)</f>
        <v>78</v>
      </c>
      <c r="V16" s="329">
        <f>IFERROR(__xludf.DUMMYFUNCTION("""COMPUTED_VALUE"""),77.0)</f>
        <v>77</v>
      </c>
      <c r="W16" s="329">
        <f>IFERROR(__xludf.DUMMYFUNCTION("""COMPUTED_VALUE"""),10.0)</f>
        <v>10</v>
      </c>
      <c r="X16" s="329">
        <f>IFERROR(__xludf.DUMMYFUNCTION("""COMPUTED_VALUE"""),5.0)</f>
        <v>5</v>
      </c>
      <c r="Y16" s="329">
        <f>IFERROR(__xludf.DUMMYFUNCTION("""COMPUTED_VALUE"""),2.0)</f>
        <v>2</v>
      </c>
      <c r="Z16" s="329">
        <f>IFERROR(__xludf.DUMMYFUNCTION("""COMPUTED_VALUE"""),1098.0)</f>
        <v>1098</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IFERROR(__xludf.DUMMYFUNCTION("""COMPUTED_VALUE"""),44089.0)</f>
        <v>44089</v>
      </c>
      <c r="B17" s="329">
        <f>IFERROR(__xludf.DUMMYFUNCTION("""COMPUTED_VALUE"""),122.0)</f>
        <v>122</v>
      </c>
      <c r="C17" s="329">
        <f>IFERROR(__xludf.DUMMYFUNCTION("""COMPUTED_VALUE"""),95.0)</f>
        <v>95</v>
      </c>
      <c r="D17" s="329">
        <f>IFERROR(__xludf.DUMMYFUNCTION("""COMPUTED_VALUE"""),32967.0)</f>
        <v>32967</v>
      </c>
      <c r="E17" s="329">
        <f>IFERROR(__xludf.DUMMYFUNCTION("""COMPUTED_VALUE"""),8456.0)</f>
        <v>8456</v>
      </c>
      <c r="F17" s="258">
        <f>IFERROR(__xludf.DUMMYFUNCTION("""COMPUTED_VALUE"""),615899.0)</f>
        <v>615899</v>
      </c>
      <c r="G17" s="258">
        <f>IFERROR(__xludf.DUMMYFUNCTION("""COMPUTED_VALUE"""),8578.0)</f>
        <v>8578</v>
      </c>
      <c r="H17" s="258">
        <f>IFERROR(__xludf.DUMMYFUNCTION("""COMPUTED_VALUE"""),648866.0)</f>
        <v>648866</v>
      </c>
      <c r="I17" s="329">
        <f>IFERROR(__xludf.DUMMYFUNCTION("""COMPUTED_VALUE"""),123.0)</f>
        <v>123</v>
      </c>
      <c r="J17" s="329">
        <f>IFERROR(__xludf.DUMMYFUNCTION("""COMPUTED_VALUE"""),91.0)</f>
        <v>91</v>
      </c>
      <c r="K17" s="329">
        <f>IFERROR(__xludf.DUMMYFUNCTION("""COMPUTED_VALUE"""),23157.0)</f>
        <v>23157</v>
      </c>
      <c r="L17" s="329">
        <f>IFERROR(__xludf.DUMMYFUNCTION("""COMPUTED_VALUE"""),2000.0)</f>
        <v>2000</v>
      </c>
      <c r="M17" s="329">
        <f>IFERROR(__xludf.DUMMYFUNCTION("""COMPUTED_VALUE"""),257986.0)</f>
        <v>257986</v>
      </c>
      <c r="N17" s="329">
        <f>IFERROR(__xludf.DUMMYFUNCTION("""COMPUTED_VALUE"""),281143.0)</f>
        <v>281143</v>
      </c>
      <c r="O17" s="329">
        <f>IFERROR(__xludf.DUMMYFUNCTION("""COMPUTED_VALUE"""),7.0)</f>
        <v>7</v>
      </c>
      <c r="P17" s="329">
        <f>IFERROR(__xludf.DUMMYFUNCTION("""COMPUTED_VALUE"""),2608.0)</f>
        <v>2608</v>
      </c>
      <c r="Q17" s="329">
        <f>IFERROR(__xludf.DUMMYFUNCTION("""COMPUTED_VALUE"""),2.0)</f>
        <v>2</v>
      </c>
      <c r="R17" s="329">
        <f>IFERROR(__xludf.DUMMYFUNCTION("""COMPUTED_VALUE"""),2178.0)</f>
        <v>2178</v>
      </c>
      <c r="S17" s="329">
        <f>IFERROR(__xludf.DUMMYFUNCTION("""COMPUTED_VALUE"""),1.0)</f>
        <v>1</v>
      </c>
      <c r="T17" s="329">
        <f>IFERROR(__xludf.DUMMYFUNCTION("""COMPUTED_VALUE"""),348.0)</f>
        <v>348</v>
      </c>
      <c r="U17" s="329">
        <f>IFERROR(__xludf.DUMMYFUNCTION("""COMPUTED_VALUE"""),82.0)</f>
        <v>82</v>
      </c>
      <c r="V17" s="329">
        <f>IFERROR(__xludf.DUMMYFUNCTION("""COMPUTED_VALUE"""),79.0)</f>
        <v>79</v>
      </c>
      <c r="W17" s="329">
        <f>IFERROR(__xludf.DUMMYFUNCTION("""COMPUTED_VALUE"""),10.0)</f>
        <v>10</v>
      </c>
      <c r="X17" s="329">
        <f>IFERROR(__xludf.DUMMYFUNCTION("""COMPUTED_VALUE"""),5.0)</f>
        <v>5</v>
      </c>
      <c r="Y17" s="329">
        <f>IFERROR(__xludf.DUMMYFUNCTION("""COMPUTED_VALUE"""),2.0)</f>
        <v>2</v>
      </c>
      <c r="Z17" s="329">
        <f>IFERROR(__xludf.DUMMYFUNCTION("""COMPUTED_VALUE"""),1100.0)</f>
        <v>1100</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IFERROR(__xludf.DUMMYFUNCTION("""COMPUTED_VALUE"""),44090.0)</f>
        <v>44090</v>
      </c>
      <c r="B18" s="329">
        <f>IFERROR(__xludf.DUMMYFUNCTION("""COMPUTED_VALUE"""),137.0)</f>
        <v>137</v>
      </c>
      <c r="C18" s="329">
        <f>IFERROR(__xludf.DUMMYFUNCTION("""COMPUTED_VALUE"""),121.0)</f>
        <v>121</v>
      </c>
      <c r="D18" s="329">
        <f>IFERROR(__xludf.DUMMYFUNCTION("""COMPUTED_VALUE"""),33104.0)</f>
        <v>33104</v>
      </c>
      <c r="E18" s="329">
        <f>IFERROR(__xludf.DUMMYFUNCTION("""COMPUTED_VALUE"""),9707.0)</f>
        <v>9707</v>
      </c>
      <c r="F18" s="258">
        <f>IFERROR(__xludf.DUMMYFUNCTION("""COMPUTED_VALUE"""),625606.0)</f>
        <v>625606</v>
      </c>
      <c r="G18" s="258">
        <f>IFERROR(__xludf.DUMMYFUNCTION("""COMPUTED_VALUE"""),9844.0)</f>
        <v>9844</v>
      </c>
      <c r="H18" s="258">
        <f>IFERROR(__xludf.DUMMYFUNCTION("""COMPUTED_VALUE"""),658710.0)</f>
        <v>658710</v>
      </c>
      <c r="I18" s="329">
        <f>IFERROR(__xludf.DUMMYFUNCTION("""COMPUTED_VALUE"""),117.0)</f>
        <v>117</v>
      </c>
      <c r="J18" s="329">
        <f>IFERROR(__xludf.DUMMYFUNCTION("""COMPUTED_VALUE"""),112.0)</f>
        <v>112</v>
      </c>
      <c r="K18" s="329">
        <f>IFERROR(__xludf.DUMMYFUNCTION("""COMPUTED_VALUE"""),23274.0)</f>
        <v>23274</v>
      </c>
      <c r="L18" s="329">
        <f>IFERROR(__xludf.DUMMYFUNCTION("""COMPUTED_VALUE"""),1804.0)</f>
        <v>1804</v>
      </c>
      <c r="M18" s="329">
        <f>IFERROR(__xludf.DUMMYFUNCTION("""COMPUTED_VALUE"""),259790.0)</f>
        <v>259790</v>
      </c>
      <c r="N18" s="329">
        <f>IFERROR(__xludf.DUMMYFUNCTION("""COMPUTED_VALUE"""),283064.0)</f>
        <v>283064</v>
      </c>
      <c r="O18" s="329">
        <f>IFERROR(__xludf.DUMMYFUNCTION("""COMPUTED_VALUE"""),7.0)</f>
        <v>7</v>
      </c>
      <c r="P18" s="329">
        <f>IFERROR(__xludf.DUMMYFUNCTION("""COMPUTED_VALUE"""),2615.0)</f>
        <v>2615</v>
      </c>
      <c r="Q18" s="329">
        <f>IFERROR(__xludf.DUMMYFUNCTION("""COMPUTED_VALUE"""),7.0)</f>
        <v>7</v>
      </c>
      <c r="R18" s="329">
        <f>IFERROR(__xludf.DUMMYFUNCTION("""COMPUTED_VALUE"""),2185.0)</f>
        <v>2185</v>
      </c>
      <c r="S18" s="329">
        <f>IFERROR(__xludf.DUMMYFUNCTION("""COMPUTED_VALUE"""),2.0)</f>
        <v>2</v>
      </c>
      <c r="T18" s="329">
        <f>IFERROR(__xludf.DUMMYFUNCTION("""COMPUTED_VALUE"""),350.0)</f>
        <v>350</v>
      </c>
      <c r="U18" s="329">
        <f>IFERROR(__xludf.DUMMYFUNCTION("""COMPUTED_VALUE"""),80.0)</f>
        <v>80</v>
      </c>
      <c r="V18" s="329">
        <f>IFERROR(__xludf.DUMMYFUNCTION("""COMPUTED_VALUE"""),80.0)</f>
        <v>80</v>
      </c>
      <c r="W18" s="329">
        <f>IFERROR(__xludf.DUMMYFUNCTION("""COMPUTED_VALUE"""),9.0)</f>
        <v>9</v>
      </c>
      <c r="X18" s="329">
        <f>IFERROR(__xludf.DUMMYFUNCTION("""COMPUTED_VALUE"""),6.0)</f>
        <v>6</v>
      </c>
      <c r="Y18" s="329">
        <f>IFERROR(__xludf.DUMMYFUNCTION("""COMPUTED_VALUE"""),5.0)</f>
        <v>5</v>
      </c>
      <c r="Z18" s="329">
        <f>IFERROR(__xludf.DUMMYFUNCTION("""COMPUTED_VALUE"""),1105.0)</f>
        <v>1105</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IFERROR(__xludf.DUMMYFUNCTION("""COMPUTED_VALUE"""),44091.0)</f>
        <v>44091</v>
      </c>
      <c r="B19" s="329">
        <f>IFERROR(__xludf.DUMMYFUNCTION("""COMPUTED_VALUE"""),125.0)</f>
        <v>125</v>
      </c>
      <c r="C19" s="329">
        <f>IFERROR(__xludf.DUMMYFUNCTION("""COMPUTED_VALUE"""),128.0)</f>
        <v>128</v>
      </c>
      <c r="D19" s="329">
        <f>IFERROR(__xludf.DUMMYFUNCTION("""COMPUTED_VALUE"""),33229.0)</f>
        <v>33229</v>
      </c>
      <c r="E19" s="329">
        <f>IFERROR(__xludf.DUMMYFUNCTION("""COMPUTED_VALUE"""),9228.0)</f>
        <v>9228</v>
      </c>
      <c r="F19" s="258">
        <f>IFERROR(__xludf.DUMMYFUNCTION("""COMPUTED_VALUE"""),634834.0)</f>
        <v>634834</v>
      </c>
      <c r="G19" s="258">
        <f>IFERROR(__xludf.DUMMYFUNCTION("""COMPUTED_VALUE"""),9353.0)</f>
        <v>9353</v>
      </c>
      <c r="H19" s="258">
        <f>IFERROR(__xludf.DUMMYFUNCTION("""COMPUTED_VALUE"""),668063.0)</f>
        <v>668063</v>
      </c>
      <c r="I19" s="329">
        <f>IFERROR(__xludf.DUMMYFUNCTION("""COMPUTED_VALUE"""),153.0)</f>
        <v>153</v>
      </c>
      <c r="J19" s="329">
        <f>IFERROR(__xludf.DUMMYFUNCTION("""COMPUTED_VALUE"""),131.0)</f>
        <v>131</v>
      </c>
      <c r="K19" s="329">
        <f>IFERROR(__xludf.DUMMYFUNCTION("""COMPUTED_VALUE"""),23427.0)</f>
        <v>23427</v>
      </c>
      <c r="L19" s="329">
        <f>IFERROR(__xludf.DUMMYFUNCTION("""COMPUTED_VALUE"""),1773.0)</f>
        <v>1773</v>
      </c>
      <c r="M19" s="329">
        <f>IFERROR(__xludf.DUMMYFUNCTION("""COMPUTED_VALUE"""),261563.0)</f>
        <v>261563</v>
      </c>
      <c r="N19" s="329">
        <f>IFERROR(__xludf.DUMMYFUNCTION("""COMPUTED_VALUE"""),284990.0)</f>
        <v>284990</v>
      </c>
      <c r="O19" s="329">
        <f>IFERROR(__xludf.DUMMYFUNCTION("""COMPUTED_VALUE"""),7.0)</f>
        <v>7</v>
      </c>
      <c r="P19" s="329">
        <f>IFERROR(__xludf.DUMMYFUNCTION("""COMPUTED_VALUE"""),2622.0)</f>
        <v>2622</v>
      </c>
      <c r="Q19" s="329">
        <f>IFERROR(__xludf.DUMMYFUNCTION("""COMPUTED_VALUE"""),15.0)</f>
        <v>15</v>
      </c>
      <c r="R19" s="329">
        <f>IFERROR(__xludf.DUMMYFUNCTION("""COMPUTED_VALUE"""),2200.0)</f>
        <v>2200</v>
      </c>
      <c r="S19" s="329">
        <f>IFERROR(__xludf.DUMMYFUNCTION("""COMPUTED_VALUE"""),0.0)</f>
        <v>0</v>
      </c>
      <c r="T19" s="329">
        <f>IFERROR(__xludf.DUMMYFUNCTION("""COMPUTED_VALUE"""),350.0)</f>
        <v>350</v>
      </c>
      <c r="U19" s="329">
        <f>IFERROR(__xludf.DUMMYFUNCTION("""COMPUTED_VALUE"""),72.0)</f>
        <v>72</v>
      </c>
      <c r="V19" s="329">
        <f>IFERROR(__xludf.DUMMYFUNCTION("""COMPUTED_VALUE"""),78.0)</f>
        <v>78</v>
      </c>
      <c r="W19" s="329">
        <f>IFERROR(__xludf.DUMMYFUNCTION("""COMPUTED_VALUE"""),8.0)</f>
        <v>8</v>
      </c>
      <c r="X19" s="329">
        <f>IFERROR(__xludf.DUMMYFUNCTION("""COMPUTED_VALUE"""),4.0)</f>
        <v>4</v>
      </c>
      <c r="Y19" s="329">
        <f>IFERROR(__xludf.DUMMYFUNCTION("""COMPUTED_VALUE"""),0.0)</f>
        <v>0</v>
      </c>
      <c r="Z19" s="329">
        <f>IFERROR(__xludf.DUMMYFUNCTION("""COMPUTED_VALUE"""),1105.0)</f>
        <v>1105</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IFERROR(__xludf.DUMMYFUNCTION("""COMPUTED_VALUE"""),44092.0)</f>
        <v>44092</v>
      </c>
      <c r="B20" s="329">
        <f>IFERROR(__xludf.DUMMYFUNCTION("""COMPUTED_VALUE"""),132.0)</f>
        <v>132</v>
      </c>
      <c r="C20" s="329">
        <f>IFERROR(__xludf.DUMMYFUNCTION("""COMPUTED_VALUE"""),131.0)</f>
        <v>131</v>
      </c>
      <c r="D20" s="329">
        <f>IFERROR(__xludf.DUMMYFUNCTION("""COMPUTED_VALUE"""),33361.0)</f>
        <v>33361</v>
      </c>
      <c r="E20" s="329">
        <f>IFERROR(__xludf.DUMMYFUNCTION("""COMPUTED_VALUE"""),10027.0)</f>
        <v>10027</v>
      </c>
      <c r="F20" s="258">
        <f>IFERROR(__xludf.DUMMYFUNCTION("""COMPUTED_VALUE"""),644861.0)</f>
        <v>644861</v>
      </c>
      <c r="G20" s="258">
        <f>IFERROR(__xludf.DUMMYFUNCTION("""COMPUTED_VALUE"""),10159.0)</f>
        <v>10159</v>
      </c>
      <c r="H20" s="258">
        <f>IFERROR(__xludf.DUMMYFUNCTION("""COMPUTED_VALUE"""),678222.0)</f>
        <v>678222</v>
      </c>
      <c r="I20" s="329">
        <f>IFERROR(__xludf.DUMMYFUNCTION("""COMPUTED_VALUE"""),131.0)</f>
        <v>131</v>
      </c>
      <c r="J20" s="329">
        <f>IFERROR(__xludf.DUMMYFUNCTION("""COMPUTED_VALUE"""),134.0)</f>
        <v>134</v>
      </c>
      <c r="K20" s="329">
        <f>IFERROR(__xludf.DUMMYFUNCTION("""COMPUTED_VALUE"""),23558.0)</f>
        <v>23558</v>
      </c>
      <c r="L20" s="329">
        <f>IFERROR(__xludf.DUMMYFUNCTION("""COMPUTED_VALUE"""),1753.0)</f>
        <v>1753</v>
      </c>
      <c r="M20" s="329">
        <f>IFERROR(__xludf.DUMMYFUNCTION("""COMPUTED_VALUE"""),263316.0)</f>
        <v>263316</v>
      </c>
      <c r="N20" s="329">
        <f>IFERROR(__xludf.DUMMYFUNCTION("""COMPUTED_VALUE"""),286874.0)</f>
        <v>286874</v>
      </c>
      <c r="O20" s="329">
        <f>IFERROR(__xludf.DUMMYFUNCTION("""COMPUTED_VALUE"""),7.0)</f>
        <v>7</v>
      </c>
      <c r="P20" s="329">
        <f>IFERROR(__xludf.DUMMYFUNCTION("""COMPUTED_VALUE"""),2629.0)</f>
        <v>2629</v>
      </c>
      <c r="Q20" s="329">
        <f>IFERROR(__xludf.DUMMYFUNCTION("""COMPUTED_VALUE"""),7.0)</f>
        <v>7</v>
      </c>
      <c r="R20" s="329">
        <f>IFERROR(__xludf.DUMMYFUNCTION("""COMPUTED_VALUE"""),2207.0)</f>
        <v>2207</v>
      </c>
      <c r="S20" s="329">
        <f>IFERROR(__xludf.DUMMYFUNCTION("""COMPUTED_VALUE"""),1.0)</f>
        <v>1</v>
      </c>
      <c r="T20" s="329">
        <f>IFERROR(__xludf.DUMMYFUNCTION("""COMPUTED_VALUE"""),351.0)</f>
        <v>351</v>
      </c>
      <c r="U20" s="329">
        <f>IFERROR(__xludf.DUMMYFUNCTION("""COMPUTED_VALUE"""),71.0)</f>
        <v>71</v>
      </c>
      <c r="V20" s="329">
        <f>IFERROR(__xludf.DUMMYFUNCTION("""COMPUTED_VALUE"""),74.0)</f>
        <v>74</v>
      </c>
      <c r="W20" s="329">
        <f>IFERROR(__xludf.DUMMYFUNCTION("""COMPUTED_VALUE"""),11.0)</f>
        <v>11</v>
      </c>
      <c r="X20" s="329">
        <f>IFERROR(__xludf.DUMMYFUNCTION("""COMPUTED_VALUE"""),6.0)</f>
        <v>6</v>
      </c>
      <c r="Y20" s="329">
        <f>IFERROR(__xludf.DUMMYFUNCTION("""COMPUTED_VALUE"""),2.0)</f>
        <v>2</v>
      </c>
      <c r="Z20" s="329">
        <f>IFERROR(__xludf.DUMMYFUNCTION("""COMPUTED_VALUE"""),1107.0)</f>
        <v>1107</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IFERROR(__xludf.DUMMYFUNCTION("""COMPUTED_VALUE"""),44093.0)</f>
        <v>44093</v>
      </c>
      <c r="B21" s="329">
        <f>IFERROR(__xludf.DUMMYFUNCTION("""COMPUTED_VALUE"""),115.0)</f>
        <v>115</v>
      </c>
      <c r="C21" s="329">
        <f>IFERROR(__xludf.DUMMYFUNCTION("""COMPUTED_VALUE"""),124.0)</f>
        <v>124</v>
      </c>
      <c r="D21" s="329">
        <f>IFERROR(__xludf.DUMMYFUNCTION("""COMPUTED_VALUE"""),33476.0)</f>
        <v>33476</v>
      </c>
      <c r="E21" s="329">
        <f>IFERROR(__xludf.DUMMYFUNCTION("""COMPUTED_VALUE"""),8292.0)</f>
        <v>8292</v>
      </c>
      <c r="F21" s="258">
        <f>IFERROR(__xludf.DUMMYFUNCTION("""COMPUTED_VALUE"""),653153.0)</f>
        <v>653153</v>
      </c>
      <c r="G21" s="258">
        <f>IFERROR(__xludf.DUMMYFUNCTION("""COMPUTED_VALUE"""),8407.0)</f>
        <v>8407</v>
      </c>
      <c r="H21" s="258">
        <f>IFERROR(__xludf.DUMMYFUNCTION("""COMPUTED_VALUE"""),686629.0)</f>
        <v>686629</v>
      </c>
      <c r="I21" s="329">
        <f>IFERROR(__xludf.DUMMYFUNCTION("""COMPUTED_VALUE"""),111.0)</f>
        <v>111</v>
      </c>
      <c r="J21" s="329">
        <f>IFERROR(__xludf.DUMMYFUNCTION("""COMPUTED_VALUE"""),132.0)</f>
        <v>132</v>
      </c>
      <c r="K21" s="329">
        <f>IFERROR(__xludf.DUMMYFUNCTION("""COMPUTED_VALUE"""),23669.0)</f>
        <v>23669</v>
      </c>
      <c r="L21" s="329">
        <f>IFERROR(__xludf.DUMMYFUNCTION("""COMPUTED_VALUE"""),1565.0)</f>
        <v>1565</v>
      </c>
      <c r="M21" s="329">
        <f>IFERROR(__xludf.DUMMYFUNCTION("""COMPUTED_VALUE"""),264881.0)</f>
        <v>264881</v>
      </c>
      <c r="N21" s="329">
        <f>IFERROR(__xludf.DUMMYFUNCTION("""COMPUTED_VALUE"""),288550.0)</f>
        <v>288550</v>
      </c>
      <c r="O21" s="329">
        <f>IFERROR(__xludf.DUMMYFUNCTION("""COMPUTED_VALUE"""),7.0)</f>
        <v>7</v>
      </c>
      <c r="P21" s="329">
        <f>IFERROR(__xludf.DUMMYFUNCTION("""COMPUTED_VALUE"""),2636.0)</f>
        <v>2636</v>
      </c>
      <c r="Q21" s="329">
        <f>IFERROR(__xludf.DUMMYFUNCTION("""COMPUTED_VALUE"""),3.0)</f>
        <v>3</v>
      </c>
      <c r="R21" s="329">
        <f>IFERROR(__xludf.DUMMYFUNCTION("""COMPUTED_VALUE"""),2210.0)</f>
        <v>2210</v>
      </c>
      <c r="S21" s="329">
        <f>IFERROR(__xludf.DUMMYFUNCTION("""COMPUTED_VALUE"""),0.0)</f>
        <v>0</v>
      </c>
      <c r="T21" s="329">
        <f>IFERROR(__xludf.DUMMYFUNCTION("""COMPUTED_VALUE"""),351.0)</f>
        <v>351</v>
      </c>
      <c r="U21" s="329">
        <f>IFERROR(__xludf.DUMMYFUNCTION("""COMPUTED_VALUE"""),75.0)</f>
        <v>75</v>
      </c>
      <c r="V21" s="329">
        <f>IFERROR(__xludf.DUMMYFUNCTION("""COMPUTED_VALUE"""),73.0)</f>
        <v>73</v>
      </c>
      <c r="W21" s="329">
        <f>IFERROR(__xludf.DUMMYFUNCTION("""COMPUTED_VALUE"""),10.0)</f>
        <v>10</v>
      </c>
      <c r="X21" s="329">
        <f>IFERROR(__xludf.DUMMYFUNCTION("""COMPUTED_VALUE"""),6.0)</f>
        <v>6</v>
      </c>
      <c r="Y21" s="329">
        <f>IFERROR(__xludf.DUMMYFUNCTION("""COMPUTED_VALUE"""),4.0)</f>
        <v>4</v>
      </c>
      <c r="Z21" s="329">
        <f>IFERROR(__xludf.DUMMYFUNCTION("""COMPUTED_VALUE"""),1111.0)</f>
        <v>1111</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IFERROR(__xludf.DUMMYFUNCTION("""COMPUTED_VALUE"""),44094.0)</f>
        <v>44094</v>
      </c>
      <c r="B22" s="329">
        <f>IFERROR(__xludf.DUMMYFUNCTION("""COMPUTED_VALUE"""),60.0)</f>
        <v>60</v>
      </c>
      <c r="C22" s="329">
        <f>IFERROR(__xludf.DUMMYFUNCTION("""COMPUTED_VALUE"""),102.0)</f>
        <v>102</v>
      </c>
      <c r="D22" s="329">
        <f>IFERROR(__xludf.DUMMYFUNCTION("""COMPUTED_VALUE"""),33536.0)</f>
        <v>33536</v>
      </c>
      <c r="E22" s="329">
        <f>IFERROR(__xludf.DUMMYFUNCTION("""COMPUTED_VALUE"""),3676.0)</f>
        <v>3676</v>
      </c>
      <c r="F22" s="258">
        <f>IFERROR(__xludf.DUMMYFUNCTION("""COMPUTED_VALUE"""),656829.0)</f>
        <v>656829</v>
      </c>
      <c r="G22" s="258">
        <f>IFERROR(__xludf.DUMMYFUNCTION("""COMPUTED_VALUE"""),3736.0)</f>
        <v>3736</v>
      </c>
      <c r="H22" s="258">
        <f>IFERROR(__xludf.DUMMYFUNCTION("""COMPUTED_VALUE"""),690365.0)</f>
        <v>690365</v>
      </c>
      <c r="I22" s="329">
        <f>IFERROR(__xludf.DUMMYFUNCTION("""COMPUTED_VALUE"""),49.0)</f>
        <v>49</v>
      </c>
      <c r="J22" s="329">
        <f>IFERROR(__xludf.DUMMYFUNCTION("""COMPUTED_VALUE"""),97.0)</f>
        <v>97</v>
      </c>
      <c r="K22" s="329">
        <f>IFERROR(__xludf.DUMMYFUNCTION("""COMPUTED_VALUE"""),23718.0)</f>
        <v>23718</v>
      </c>
      <c r="L22" s="329">
        <f>IFERROR(__xludf.DUMMYFUNCTION("""COMPUTED_VALUE"""),1210.0)</f>
        <v>1210</v>
      </c>
      <c r="M22" s="329">
        <f>IFERROR(__xludf.DUMMYFUNCTION("""COMPUTED_VALUE"""),266091.0)</f>
        <v>266091</v>
      </c>
      <c r="N22" s="329">
        <f>IFERROR(__xludf.DUMMYFUNCTION("""COMPUTED_VALUE"""),289809.0)</f>
        <v>289809</v>
      </c>
      <c r="O22" s="329">
        <f>IFERROR(__xludf.DUMMYFUNCTION("""COMPUTED_VALUE"""),7.0)</f>
        <v>7</v>
      </c>
      <c r="P22" s="329">
        <f>IFERROR(__xludf.DUMMYFUNCTION("""COMPUTED_VALUE"""),2643.0)</f>
        <v>2643</v>
      </c>
      <c r="Q22" s="329">
        <f>IFERROR(__xludf.DUMMYFUNCTION("""COMPUTED_VALUE"""),6.0)</f>
        <v>6</v>
      </c>
      <c r="R22" s="329">
        <f>IFERROR(__xludf.DUMMYFUNCTION("""COMPUTED_VALUE"""),2216.0)</f>
        <v>2216</v>
      </c>
      <c r="S22" s="329">
        <f>IFERROR(__xludf.DUMMYFUNCTION("""COMPUTED_VALUE"""),2.0)</f>
        <v>2</v>
      </c>
      <c r="T22" s="329">
        <f>IFERROR(__xludf.DUMMYFUNCTION("""COMPUTED_VALUE"""),353.0)</f>
        <v>353</v>
      </c>
      <c r="U22" s="329">
        <f>IFERROR(__xludf.DUMMYFUNCTION("""COMPUTED_VALUE"""),74.0)</f>
        <v>74</v>
      </c>
      <c r="V22" s="329">
        <f>IFERROR(__xludf.DUMMYFUNCTION("""COMPUTED_VALUE"""),73.0)</f>
        <v>73</v>
      </c>
      <c r="W22" s="329">
        <f>IFERROR(__xludf.DUMMYFUNCTION("""COMPUTED_VALUE"""),9.0)</f>
        <v>9</v>
      </c>
      <c r="X22" s="329">
        <f>IFERROR(__xludf.DUMMYFUNCTION("""COMPUTED_VALUE"""),8.0)</f>
        <v>8</v>
      </c>
      <c r="Y22" s="329">
        <f>IFERROR(__xludf.DUMMYFUNCTION("""COMPUTED_VALUE"""),4.0)</f>
        <v>4</v>
      </c>
      <c r="Z22" s="329">
        <f>IFERROR(__xludf.DUMMYFUNCTION("""COMPUTED_VALUE"""),1115.0)</f>
        <v>1115</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IFERROR(__xludf.DUMMYFUNCTION("""COMPUTED_VALUE"""),44095.0)</f>
        <v>44095</v>
      </c>
      <c r="B23" s="329">
        <f>IFERROR(__xludf.DUMMYFUNCTION("""COMPUTED_VALUE"""),102.0)</f>
        <v>102</v>
      </c>
      <c r="C23" s="329">
        <f>IFERROR(__xludf.DUMMYFUNCTION("""COMPUTED_VALUE"""),92.0)</f>
        <v>92</v>
      </c>
      <c r="D23" s="329">
        <f>IFERROR(__xludf.DUMMYFUNCTION("""COMPUTED_VALUE"""),33638.0)</f>
        <v>33638</v>
      </c>
      <c r="E23" s="329">
        <f>IFERROR(__xludf.DUMMYFUNCTION("""COMPUTED_VALUE"""),7007.0)</f>
        <v>7007</v>
      </c>
      <c r="F23" s="258">
        <f>IFERROR(__xludf.DUMMYFUNCTION("""COMPUTED_VALUE"""),663836.0)</f>
        <v>663836</v>
      </c>
      <c r="G23" s="258">
        <f>IFERROR(__xludf.DUMMYFUNCTION("""COMPUTED_VALUE"""),7109.0)</f>
        <v>7109</v>
      </c>
      <c r="H23" s="258">
        <f>IFERROR(__xludf.DUMMYFUNCTION("""COMPUTED_VALUE"""),697474.0)</f>
        <v>697474</v>
      </c>
      <c r="I23" s="329">
        <f>IFERROR(__xludf.DUMMYFUNCTION("""COMPUTED_VALUE"""),95.0)</f>
        <v>95</v>
      </c>
      <c r="J23" s="329">
        <f>IFERROR(__xludf.DUMMYFUNCTION("""COMPUTED_VALUE"""),85.0)</f>
        <v>85</v>
      </c>
      <c r="K23" s="329">
        <f>IFERROR(__xludf.DUMMYFUNCTION("""COMPUTED_VALUE"""),23813.0)</f>
        <v>23813</v>
      </c>
      <c r="L23" s="329">
        <f>IFERROR(__xludf.DUMMYFUNCTION("""COMPUTED_VALUE"""),2261.0)</f>
        <v>2261</v>
      </c>
      <c r="M23" s="329">
        <f>IFERROR(__xludf.DUMMYFUNCTION("""COMPUTED_VALUE"""),268352.0)</f>
        <v>268352</v>
      </c>
      <c r="N23" s="329">
        <f>IFERROR(__xludf.DUMMYFUNCTION("""COMPUTED_VALUE"""),292165.0)</f>
        <v>292165</v>
      </c>
      <c r="O23" s="329">
        <f>IFERROR(__xludf.DUMMYFUNCTION("""COMPUTED_VALUE"""),12.0)</f>
        <v>12</v>
      </c>
      <c r="P23" s="329">
        <f>IFERROR(__xludf.DUMMYFUNCTION("""COMPUTED_VALUE"""),2655.0)</f>
        <v>2655</v>
      </c>
      <c r="Q23" s="329">
        <f>IFERROR(__xludf.DUMMYFUNCTION("""COMPUTED_VALUE"""),3.0)</f>
        <v>3</v>
      </c>
      <c r="R23" s="329">
        <f>IFERROR(__xludf.DUMMYFUNCTION("""COMPUTED_VALUE"""),2219.0)</f>
        <v>2219</v>
      </c>
      <c r="S23" s="329">
        <f>IFERROR(__xludf.DUMMYFUNCTION("""COMPUTED_VALUE"""),2.0)</f>
        <v>2</v>
      </c>
      <c r="T23" s="329">
        <f>IFERROR(__xludf.DUMMYFUNCTION("""COMPUTED_VALUE"""),355.0)</f>
        <v>355</v>
      </c>
      <c r="U23" s="329">
        <f>IFERROR(__xludf.DUMMYFUNCTION("""COMPUTED_VALUE"""),81.0)</f>
        <v>81</v>
      </c>
      <c r="V23" s="329">
        <f>IFERROR(__xludf.DUMMYFUNCTION("""COMPUTED_VALUE"""),77.0)</f>
        <v>77</v>
      </c>
      <c r="W23" s="329">
        <f>IFERROR(__xludf.DUMMYFUNCTION("""COMPUTED_VALUE"""),8.0)</f>
        <v>8</v>
      </c>
      <c r="X23" s="329">
        <f>IFERROR(__xludf.DUMMYFUNCTION("""COMPUTED_VALUE"""),6.0)</f>
        <v>6</v>
      </c>
      <c r="Y23" s="329">
        <f>IFERROR(__xludf.DUMMYFUNCTION("""COMPUTED_VALUE"""),2.0)</f>
        <v>2</v>
      </c>
      <c r="Z23" s="329">
        <f>IFERROR(__xludf.DUMMYFUNCTION("""COMPUTED_VALUE"""),1117.0)</f>
        <v>1117</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IFERROR(__xludf.DUMMYFUNCTION("""COMPUTED_VALUE"""),44096.0)</f>
        <v>44096</v>
      </c>
      <c r="B24" s="329">
        <f>IFERROR(__xludf.DUMMYFUNCTION("""COMPUTED_VALUE"""),154.0)</f>
        <v>154</v>
      </c>
      <c r="C24" s="329">
        <f>IFERROR(__xludf.DUMMYFUNCTION("""COMPUTED_VALUE"""),105.0)</f>
        <v>105</v>
      </c>
      <c r="D24" s="329">
        <f>IFERROR(__xludf.DUMMYFUNCTION("""COMPUTED_VALUE"""),33792.0)</f>
        <v>33792</v>
      </c>
      <c r="E24" s="329">
        <f>IFERROR(__xludf.DUMMYFUNCTION("""COMPUTED_VALUE"""),9275.0)</f>
        <v>9275</v>
      </c>
      <c r="F24" s="258">
        <f>IFERROR(__xludf.DUMMYFUNCTION("""COMPUTED_VALUE"""),673111.0)</f>
        <v>673111</v>
      </c>
      <c r="G24" s="258">
        <f>IFERROR(__xludf.DUMMYFUNCTION("""COMPUTED_VALUE"""),9429.0)</f>
        <v>9429</v>
      </c>
      <c r="H24" s="258">
        <f>IFERROR(__xludf.DUMMYFUNCTION("""COMPUTED_VALUE"""),706903.0)</f>
        <v>706903</v>
      </c>
      <c r="I24" s="329">
        <f>IFERROR(__xludf.DUMMYFUNCTION("""COMPUTED_VALUE"""),123.0)</f>
        <v>123</v>
      </c>
      <c r="J24" s="329">
        <f>IFERROR(__xludf.DUMMYFUNCTION("""COMPUTED_VALUE"""),89.0)</f>
        <v>89</v>
      </c>
      <c r="K24" s="329">
        <f>IFERROR(__xludf.DUMMYFUNCTION("""COMPUTED_VALUE"""),23936.0)</f>
        <v>23936</v>
      </c>
      <c r="L24" s="329">
        <f>IFERROR(__xludf.DUMMYFUNCTION("""COMPUTED_VALUE"""),2004.0)</f>
        <v>2004</v>
      </c>
      <c r="M24" s="329">
        <f>IFERROR(__xludf.DUMMYFUNCTION("""COMPUTED_VALUE"""),270356.0)</f>
        <v>270356</v>
      </c>
      <c r="N24" s="329">
        <f>IFERROR(__xludf.DUMMYFUNCTION("""COMPUTED_VALUE"""),294292.0)</f>
        <v>294292</v>
      </c>
      <c r="O24" s="329">
        <f>IFERROR(__xludf.DUMMYFUNCTION("""COMPUTED_VALUE"""),12.0)</f>
        <v>12</v>
      </c>
      <c r="P24" s="329">
        <f>IFERROR(__xludf.DUMMYFUNCTION("""COMPUTED_VALUE"""),2667.0)</f>
        <v>2667</v>
      </c>
      <c r="Q24" s="329">
        <f>IFERROR(__xludf.DUMMYFUNCTION("""COMPUTED_VALUE"""),3.0)</f>
        <v>3</v>
      </c>
      <c r="R24" s="329">
        <f>IFERROR(__xludf.DUMMYFUNCTION("""COMPUTED_VALUE"""),2222.0)</f>
        <v>2222</v>
      </c>
      <c r="S24" s="329">
        <f>IFERROR(__xludf.DUMMYFUNCTION("""COMPUTED_VALUE"""),1.0)</f>
        <v>1</v>
      </c>
      <c r="T24" s="329">
        <f>IFERROR(__xludf.DUMMYFUNCTION("""COMPUTED_VALUE"""),356.0)</f>
        <v>356</v>
      </c>
      <c r="U24" s="329">
        <f>IFERROR(__xludf.DUMMYFUNCTION("""COMPUTED_VALUE"""),89.0)</f>
        <v>89</v>
      </c>
      <c r="V24" s="329">
        <f>IFERROR(__xludf.DUMMYFUNCTION("""COMPUTED_VALUE"""),81.0)</f>
        <v>81</v>
      </c>
      <c r="W24" s="329">
        <f>IFERROR(__xludf.DUMMYFUNCTION("""COMPUTED_VALUE"""),7.0)</f>
        <v>7</v>
      </c>
      <c r="X24" s="329">
        <f>IFERROR(__xludf.DUMMYFUNCTION("""COMPUTED_VALUE"""),5.0)</f>
        <v>5</v>
      </c>
      <c r="Y24" s="329">
        <f>IFERROR(__xludf.DUMMYFUNCTION("""COMPUTED_VALUE"""),1.0)</f>
        <v>1</v>
      </c>
      <c r="Z24" s="329">
        <f>IFERROR(__xludf.DUMMYFUNCTION("""COMPUTED_VALUE"""),1118.0)</f>
        <v>1118</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IFERROR(__xludf.DUMMYFUNCTION("""COMPUTED_VALUE"""),44097.0)</f>
        <v>44097</v>
      </c>
      <c r="B25" s="329">
        <f>IFERROR(__xludf.DUMMYFUNCTION("""COMPUTED_VALUE"""),136.0)</f>
        <v>136</v>
      </c>
      <c r="C25" s="329">
        <f>IFERROR(__xludf.DUMMYFUNCTION("""COMPUTED_VALUE"""),131.0)</f>
        <v>131</v>
      </c>
      <c r="D25" s="329">
        <f>IFERROR(__xludf.DUMMYFUNCTION("""COMPUTED_VALUE"""),33928.0)</f>
        <v>33928</v>
      </c>
      <c r="E25" s="329">
        <f>IFERROR(__xludf.DUMMYFUNCTION("""COMPUTED_VALUE"""),10637.0)</f>
        <v>10637</v>
      </c>
      <c r="F25" s="258">
        <f>IFERROR(__xludf.DUMMYFUNCTION("""COMPUTED_VALUE"""),683748.0)</f>
        <v>683748</v>
      </c>
      <c r="G25" s="258">
        <f>IFERROR(__xludf.DUMMYFUNCTION("""COMPUTED_VALUE"""),10773.0)</f>
        <v>10773</v>
      </c>
      <c r="H25" s="258">
        <f>IFERROR(__xludf.DUMMYFUNCTION("""COMPUTED_VALUE"""),717676.0)</f>
        <v>717676</v>
      </c>
      <c r="I25" s="329">
        <f>IFERROR(__xludf.DUMMYFUNCTION("""COMPUTED_VALUE"""),128.0)</f>
        <v>128</v>
      </c>
      <c r="J25" s="329">
        <f>IFERROR(__xludf.DUMMYFUNCTION("""COMPUTED_VALUE"""),115.0)</f>
        <v>115</v>
      </c>
      <c r="K25" s="329">
        <f>IFERROR(__xludf.DUMMYFUNCTION("""COMPUTED_VALUE"""),24064.0)</f>
        <v>24064</v>
      </c>
      <c r="L25" s="329">
        <f>IFERROR(__xludf.DUMMYFUNCTION("""COMPUTED_VALUE"""),2036.0)</f>
        <v>2036</v>
      </c>
      <c r="M25" s="329">
        <f>IFERROR(__xludf.DUMMYFUNCTION("""COMPUTED_VALUE"""),272392.0)</f>
        <v>272392</v>
      </c>
      <c r="N25" s="329">
        <f>IFERROR(__xludf.DUMMYFUNCTION("""COMPUTED_VALUE"""),296456.0)</f>
        <v>296456</v>
      </c>
      <c r="O25" s="329">
        <f>IFERROR(__xludf.DUMMYFUNCTION("""COMPUTED_VALUE"""),13.0)</f>
        <v>13</v>
      </c>
      <c r="P25" s="329">
        <f>IFERROR(__xludf.DUMMYFUNCTION("""COMPUTED_VALUE"""),2680.0)</f>
        <v>2680</v>
      </c>
      <c r="Q25" s="329">
        <f>IFERROR(__xludf.DUMMYFUNCTION("""COMPUTED_VALUE"""),7.0)</f>
        <v>7</v>
      </c>
      <c r="R25" s="329">
        <f>IFERROR(__xludf.DUMMYFUNCTION("""COMPUTED_VALUE"""),2229.0)</f>
        <v>2229</v>
      </c>
      <c r="S25" s="329">
        <f>IFERROR(__xludf.DUMMYFUNCTION("""COMPUTED_VALUE"""),0.0)</f>
        <v>0</v>
      </c>
      <c r="T25" s="329">
        <f>IFERROR(__xludf.DUMMYFUNCTION("""COMPUTED_VALUE"""),356.0)</f>
        <v>356</v>
      </c>
      <c r="U25" s="329">
        <f>IFERROR(__xludf.DUMMYFUNCTION("""COMPUTED_VALUE"""),95.0)</f>
        <v>95</v>
      </c>
      <c r="V25" s="329">
        <f>IFERROR(__xludf.DUMMYFUNCTION("""COMPUTED_VALUE"""),88.0)</f>
        <v>88</v>
      </c>
      <c r="W25" s="329">
        <f>IFERROR(__xludf.DUMMYFUNCTION("""COMPUTED_VALUE"""),6.0)</f>
        <v>6</v>
      </c>
      <c r="X25" s="329">
        <f>IFERROR(__xludf.DUMMYFUNCTION("""COMPUTED_VALUE"""),5.0)</f>
        <v>5</v>
      </c>
      <c r="Y25" s="329">
        <f>IFERROR(__xludf.DUMMYFUNCTION("""COMPUTED_VALUE"""),0.0)</f>
        <v>0</v>
      </c>
      <c r="Z25" s="329">
        <f>IFERROR(__xludf.DUMMYFUNCTION("""COMPUTED_VALUE"""),1118.0)</f>
        <v>1118</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IFERROR(__xludf.DUMMYFUNCTION("""COMPUTED_VALUE"""),44098.0)</f>
        <v>44098</v>
      </c>
      <c r="B26" s="329">
        <f>IFERROR(__xludf.DUMMYFUNCTION("""COMPUTED_VALUE"""),120.0)</f>
        <v>120</v>
      </c>
      <c r="C26" s="329">
        <f>IFERROR(__xludf.DUMMYFUNCTION("""COMPUTED_VALUE"""),137.0)</f>
        <v>137</v>
      </c>
      <c r="D26" s="329">
        <f>IFERROR(__xludf.DUMMYFUNCTION("""COMPUTED_VALUE"""),34048.0)</f>
        <v>34048</v>
      </c>
      <c r="E26" s="329">
        <f>IFERROR(__xludf.DUMMYFUNCTION("""COMPUTED_VALUE"""),12468.0)</f>
        <v>12468</v>
      </c>
      <c r="F26" s="258">
        <f>IFERROR(__xludf.DUMMYFUNCTION("""COMPUTED_VALUE"""),696216.0)</f>
        <v>696216</v>
      </c>
      <c r="G26" s="258">
        <f>IFERROR(__xludf.DUMMYFUNCTION("""COMPUTED_VALUE"""),12588.0)</f>
        <v>12588</v>
      </c>
      <c r="H26" s="258">
        <f>IFERROR(__xludf.DUMMYFUNCTION("""COMPUTED_VALUE"""),730264.0)</f>
        <v>730264</v>
      </c>
      <c r="I26" s="329">
        <f>IFERROR(__xludf.DUMMYFUNCTION("""COMPUTED_VALUE"""),117.0)</f>
        <v>117</v>
      </c>
      <c r="J26" s="329">
        <f>IFERROR(__xludf.DUMMYFUNCTION("""COMPUTED_VALUE"""),123.0)</f>
        <v>123</v>
      </c>
      <c r="K26" s="329">
        <f>IFERROR(__xludf.DUMMYFUNCTION("""COMPUTED_VALUE"""),24181.0)</f>
        <v>24181</v>
      </c>
      <c r="L26" s="329">
        <f>IFERROR(__xludf.DUMMYFUNCTION("""COMPUTED_VALUE"""),2881.0)</f>
        <v>2881</v>
      </c>
      <c r="M26" s="329">
        <f>IFERROR(__xludf.DUMMYFUNCTION("""COMPUTED_VALUE"""),275273.0)</f>
        <v>275273</v>
      </c>
      <c r="N26" s="329">
        <f>IFERROR(__xludf.DUMMYFUNCTION("""COMPUTED_VALUE"""),299454.0)</f>
        <v>299454</v>
      </c>
      <c r="O26" s="329">
        <f>IFERROR(__xludf.DUMMYFUNCTION("""COMPUTED_VALUE"""),7.0)</f>
        <v>7</v>
      </c>
      <c r="P26" s="329">
        <f>IFERROR(__xludf.DUMMYFUNCTION("""COMPUTED_VALUE"""),2687.0)</f>
        <v>2687</v>
      </c>
      <c r="Q26" s="329">
        <f>IFERROR(__xludf.DUMMYFUNCTION("""COMPUTED_VALUE"""),8.0)</f>
        <v>8</v>
      </c>
      <c r="R26" s="329">
        <f>IFERROR(__xludf.DUMMYFUNCTION("""COMPUTED_VALUE"""),2237.0)</f>
        <v>2237</v>
      </c>
      <c r="S26" s="329">
        <f>IFERROR(__xludf.DUMMYFUNCTION("""COMPUTED_VALUE"""),1.0)</f>
        <v>1</v>
      </c>
      <c r="T26" s="329">
        <f>IFERROR(__xludf.DUMMYFUNCTION("""COMPUTED_VALUE"""),357.0)</f>
        <v>357</v>
      </c>
      <c r="U26" s="329">
        <f>IFERROR(__xludf.DUMMYFUNCTION("""COMPUTED_VALUE"""),93.0)</f>
        <v>93</v>
      </c>
      <c r="V26" s="329">
        <f>IFERROR(__xludf.DUMMYFUNCTION("""COMPUTED_VALUE"""),92.0)</f>
        <v>92</v>
      </c>
      <c r="W26" s="329">
        <f>IFERROR(__xludf.DUMMYFUNCTION("""COMPUTED_VALUE"""),7.0)</f>
        <v>7</v>
      </c>
      <c r="X26" s="329">
        <f>IFERROR(__xludf.DUMMYFUNCTION("""COMPUTED_VALUE"""),5.0)</f>
        <v>5</v>
      </c>
      <c r="Y26" s="329">
        <f>IFERROR(__xludf.DUMMYFUNCTION("""COMPUTED_VALUE"""),1.0)</f>
        <v>1</v>
      </c>
      <c r="Z26" s="329">
        <f>IFERROR(__xludf.DUMMYFUNCTION("""COMPUTED_VALUE"""),1119.0)</f>
        <v>1119</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IFERROR(__xludf.DUMMYFUNCTION("""COMPUTED_VALUE"""),44099.0)</f>
        <v>44099</v>
      </c>
      <c r="B27" s="329">
        <f>IFERROR(__xludf.DUMMYFUNCTION("""COMPUTED_VALUE"""),150.0)</f>
        <v>150</v>
      </c>
      <c r="C27" s="329">
        <f>IFERROR(__xludf.DUMMYFUNCTION("""COMPUTED_VALUE"""),135.0)</f>
        <v>135</v>
      </c>
      <c r="D27" s="329">
        <f>IFERROR(__xludf.DUMMYFUNCTION("""COMPUTED_VALUE"""),34198.0)</f>
        <v>34198</v>
      </c>
      <c r="E27" s="329">
        <f>IFERROR(__xludf.DUMMYFUNCTION("""COMPUTED_VALUE"""),10546.0)</f>
        <v>10546</v>
      </c>
      <c r="F27" s="258">
        <f>IFERROR(__xludf.DUMMYFUNCTION("""COMPUTED_VALUE"""),706762.0)</f>
        <v>706762</v>
      </c>
      <c r="G27" s="258">
        <f>IFERROR(__xludf.DUMMYFUNCTION("""COMPUTED_VALUE"""),10696.0)</f>
        <v>10696</v>
      </c>
      <c r="H27" s="258">
        <f>IFERROR(__xludf.DUMMYFUNCTION("""COMPUTED_VALUE"""),740960.0)</f>
        <v>740960</v>
      </c>
      <c r="I27" s="329">
        <f>IFERROR(__xludf.DUMMYFUNCTION("""COMPUTED_VALUE"""),143.0)</f>
        <v>143</v>
      </c>
      <c r="J27" s="329">
        <f>IFERROR(__xludf.DUMMYFUNCTION("""COMPUTED_VALUE"""),129.0)</f>
        <v>129</v>
      </c>
      <c r="K27" s="329">
        <f>IFERROR(__xludf.DUMMYFUNCTION("""COMPUTED_VALUE"""),24324.0)</f>
        <v>24324</v>
      </c>
      <c r="L27" s="329">
        <f>IFERROR(__xludf.DUMMYFUNCTION("""COMPUTED_VALUE"""),2740.0)</f>
        <v>2740</v>
      </c>
      <c r="M27" s="329">
        <f>IFERROR(__xludf.DUMMYFUNCTION("""COMPUTED_VALUE"""),278013.0)</f>
        <v>278013</v>
      </c>
      <c r="N27" s="329">
        <f>IFERROR(__xludf.DUMMYFUNCTION("""COMPUTED_VALUE"""),302337.0)</f>
        <v>302337</v>
      </c>
      <c r="O27" s="329">
        <f>IFERROR(__xludf.DUMMYFUNCTION("""COMPUTED_VALUE"""),9.0)</f>
        <v>9</v>
      </c>
      <c r="P27" s="329">
        <f>IFERROR(__xludf.DUMMYFUNCTION("""COMPUTED_VALUE"""),2696.0)</f>
        <v>2696</v>
      </c>
      <c r="Q27" s="329">
        <f>IFERROR(__xludf.DUMMYFUNCTION("""COMPUTED_VALUE"""),10.0)</f>
        <v>10</v>
      </c>
      <c r="R27" s="329">
        <f>IFERROR(__xludf.DUMMYFUNCTION("""COMPUTED_VALUE"""),2247.0)</f>
        <v>2247</v>
      </c>
      <c r="S27" s="329">
        <f>IFERROR(__xludf.DUMMYFUNCTION("""COMPUTED_VALUE"""),0.0)</f>
        <v>0</v>
      </c>
      <c r="T27" s="329">
        <f>IFERROR(__xludf.DUMMYFUNCTION("""COMPUTED_VALUE"""),357.0)</f>
        <v>357</v>
      </c>
      <c r="U27" s="329">
        <f>IFERROR(__xludf.DUMMYFUNCTION("""COMPUTED_VALUE"""),92.0)</f>
        <v>92</v>
      </c>
      <c r="V27" s="329">
        <f>IFERROR(__xludf.DUMMYFUNCTION("""COMPUTED_VALUE"""),93.0)</f>
        <v>93</v>
      </c>
      <c r="W27" s="329">
        <f>IFERROR(__xludf.DUMMYFUNCTION("""COMPUTED_VALUE"""),6.0)</f>
        <v>6</v>
      </c>
      <c r="X27" s="329">
        <f>IFERROR(__xludf.DUMMYFUNCTION("""COMPUTED_VALUE"""),5.0)</f>
        <v>5</v>
      </c>
      <c r="Y27" s="329">
        <f>IFERROR(__xludf.DUMMYFUNCTION("""COMPUTED_VALUE"""),1.0)</f>
        <v>1</v>
      </c>
      <c r="Z27" s="329">
        <f>IFERROR(__xludf.DUMMYFUNCTION("""COMPUTED_VALUE"""),1120.0)</f>
        <v>1120</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IFERROR(__xludf.DUMMYFUNCTION("""COMPUTED_VALUE"""),44100.0)</f>
        <v>44100</v>
      </c>
      <c r="B28" s="329">
        <f>IFERROR(__xludf.DUMMYFUNCTION("""COMPUTED_VALUE"""),147.0)</f>
        <v>147</v>
      </c>
      <c r="C28" s="329">
        <f>IFERROR(__xludf.DUMMYFUNCTION("""COMPUTED_VALUE"""),139.0)</f>
        <v>139</v>
      </c>
      <c r="D28" s="329">
        <f>IFERROR(__xludf.DUMMYFUNCTION("""COMPUTED_VALUE"""),34345.0)</f>
        <v>34345</v>
      </c>
      <c r="E28" s="329">
        <f>IFERROR(__xludf.DUMMYFUNCTION("""COMPUTED_VALUE"""),10556.0)</f>
        <v>10556</v>
      </c>
      <c r="F28" s="258">
        <f>IFERROR(__xludf.DUMMYFUNCTION("""COMPUTED_VALUE"""),717318.0)</f>
        <v>717318</v>
      </c>
      <c r="G28" s="258">
        <f>IFERROR(__xludf.DUMMYFUNCTION("""COMPUTED_VALUE"""),10703.0)</f>
        <v>10703</v>
      </c>
      <c r="H28" s="258">
        <f>IFERROR(__xludf.DUMMYFUNCTION("""COMPUTED_VALUE"""),751663.0)</f>
        <v>751663</v>
      </c>
      <c r="I28" s="329">
        <f>IFERROR(__xludf.DUMMYFUNCTION("""COMPUTED_VALUE"""),120.0)</f>
        <v>120</v>
      </c>
      <c r="J28" s="329">
        <f>IFERROR(__xludf.DUMMYFUNCTION("""COMPUTED_VALUE"""),127.0)</f>
        <v>127</v>
      </c>
      <c r="K28" s="329">
        <f>IFERROR(__xludf.DUMMYFUNCTION("""COMPUTED_VALUE"""),24444.0)</f>
        <v>24444</v>
      </c>
      <c r="L28" s="329">
        <f>IFERROR(__xludf.DUMMYFUNCTION("""COMPUTED_VALUE"""),2276.0)</f>
        <v>2276</v>
      </c>
      <c r="M28" s="329">
        <f>IFERROR(__xludf.DUMMYFUNCTION("""COMPUTED_VALUE"""),280289.0)</f>
        <v>280289</v>
      </c>
      <c r="N28" s="329">
        <f>IFERROR(__xludf.DUMMYFUNCTION("""COMPUTED_VALUE"""),304733.0)</f>
        <v>304733</v>
      </c>
      <c r="O28" s="329">
        <f>IFERROR(__xludf.DUMMYFUNCTION("""COMPUTED_VALUE"""),12.0)</f>
        <v>12</v>
      </c>
      <c r="P28" s="329">
        <f>IFERROR(__xludf.DUMMYFUNCTION("""COMPUTED_VALUE"""),2708.0)</f>
        <v>2708</v>
      </c>
      <c r="Q28" s="329">
        <f>IFERROR(__xludf.DUMMYFUNCTION("""COMPUTED_VALUE"""),8.0)</f>
        <v>8</v>
      </c>
      <c r="R28" s="329">
        <f>IFERROR(__xludf.DUMMYFUNCTION("""COMPUTED_VALUE"""),2255.0)</f>
        <v>2255</v>
      </c>
      <c r="S28" s="329">
        <f>IFERROR(__xludf.DUMMYFUNCTION("""COMPUTED_VALUE"""),1.0)</f>
        <v>1</v>
      </c>
      <c r="T28" s="329">
        <f>IFERROR(__xludf.DUMMYFUNCTION("""COMPUTED_VALUE"""),358.0)</f>
        <v>358</v>
      </c>
      <c r="U28" s="329">
        <f>IFERROR(__xludf.DUMMYFUNCTION("""COMPUTED_VALUE"""),95.0)</f>
        <v>95</v>
      </c>
      <c r="V28" s="329">
        <f>IFERROR(__xludf.DUMMYFUNCTION("""COMPUTED_VALUE"""),93.0)</f>
        <v>93</v>
      </c>
      <c r="W28" s="329">
        <f>IFERROR(__xludf.DUMMYFUNCTION("""COMPUTED_VALUE"""),6.0)</f>
        <v>6</v>
      </c>
      <c r="X28" s="329">
        <f>IFERROR(__xludf.DUMMYFUNCTION("""COMPUTED_VALUE"""),5.0)</f>
        <v>5</v>
      </c>
      <c r="Y28" s="329">
        <f>IFERROR(__xludf.DUMMYFUNCTION("""COMPUTED_VALUE"""),1.0)</f>
        <v>1</v>
      </c>
      <c r="Z28" s="329">
        <f>IFERROR(__xludf.DUMMYFUNCTION("""COMPUTED_VALUE"""),1121.0)</f>
        <v>1121</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IFERROR(__xludf.DUMMYFUNCTION("""COMPUTED_VALUE"""),44101.0)</f>
        <v>44101</v>
      </c>
      <c r="B29" s="329">
        <f>IFERROR(__xludf.DUMMYFUNCTION("""COMPUTED_VALUE"""),43.0)</f>
        <v>43</v>
      </c>
      <c r="C29" s="329">
        <f>IFERROR(__xludf.DUMMYFUNCTION("""COMPUTED_VALUE"""),113.0)</f>
        <v>113</v>
      </c>
      <c r="D29" s="329">
        <f>IFERROR(__xludf.DUMMYFUNCTION("""COMPUTED_VALUE"""),34388.0)</f>
        <v>34388</v>
      </c>
      <c r="E29" s="329">
        <f>IFERROR(__xludf.DUMMYFUNCTION("""COMPUTED_VALUE"""),2764.0)</f>
        <v>2764</v>
      </c>
      <c r="F29" s="258">
        <f>IFERROR(__xludf.DUMMYFUNCTION("""COMPUTED_VALUE"""),720082.0)</f>
        <v>720082</v>
      </c>
      <c r="G29" s="258">
        <f>IFERROR(__xludf.DUMMYFUNCTION("""COMPUTED_VALUE"""),2807.0)</f>
        <v>2807</v>
      </c>
      <c r="H29" s="258">
        <f>IFERROR(__xludf.DUMMYFUNCTION("""COMPUTED_VALUE"""),754470.0)</f>
        <v>754470</v>
      </c>
      <c r="I29" s="329">
        <f>IFERROR(__xludf.DUMMYFUNCTION("""COMPUTED_VALUE"""),34.0)</f>
        <v>34</v>
      </c>
      <c r="J29" s="329">
        <f>IFERROR(__xludf.DUMMYFUNCTION("""COMPUTED_VALUE"""),99.0)</f>
        <v>99</v>
      </c>
      <c r="K29" s="329">
        <f>IFERROR(__xludf.DUMMYFUNCTION("""COMPUTED_VALUE"""),24478.0)</f>
        <v>24478</v>
      </c>
      <c r="L29" s="329">
        <f>IFERROR(__xludf.DUMMYFUNCTION("""COMPUTED_VALUE"""),785.0)</f>
        <v>785</v>
      </c>
      <c r="M29" s="329">
        <f>IFERROR(__xludf.DUMMYFUNCTION("""COMPUTED_VALUE"""),281074.0)</f>
        <v>281074</v>
      </c>
      <c r="N29" s="329">
        <f>IFERROR(__xludf.DUMMYFUNCTION("""COMPUTED_VALUE"""),305552.0)</f>
        <v>305552</v>
      </c>
      <c r="O29" s="329">
        <f>IFERROR(__xludf.DUMMYFUNCTION("""COMPUTED_VALUE"""),7.0)</f>
        <v>7</v>
      </c>
      <c r="P29" s="329">
        <f>IFERROR(__xludf.DUMMYFUNCTION("""COMPUTED_VALUE"""),2715.0)</f>
        <v>2715</v>
      </c>
      <c r="Q29" s="329">
        <f>IFERROR(__xludf.DUMMYFUNCTION("""COMPUTED_VALUE"""),5.0)</f>
        <v>5</v>
      </c>
      <c r="R29" s="329">
        <f>IFERROR(__xludf.DUMMYFUNCTION("""COMPUTED_VALUE"""),2260.0)</f>
        <v>2260</v>
      </c>
      <c r="S29" s="329">
        <f>IFERROR(__xludf.DUMMYFUNCTION("""COMPUTED_VALUE"""),0.0)</f>
        <v>0</v>
      </c>
      <c r="T29" s="329">
        <f>IFERROR(__xludf.DUMMYFUNCTION("""COMPUTED_VALUE"""),358.0)</f>
        <v>358</v>
      </c>
      <c r="U29" s="329">
        <f>IFERROR(__xludf.DUMMYFUNCTION("""COMPUTED_VALUE"""),97.0)</f>
        <v>97</v>
      </c>
      <c r="V29" s="329">
        <f>IFERROR(__xludf.DUMMYFUNCTION("""COMPUTED_VALUE"""),95.0)</f>
        <v>95</v>
      </c>
      <c r="W29" s="329">
        <f>IFERROR(__xludf.DUMMYFUNCTION("""COMPUTED_VALUE"""),9.0)</f>
        <v>9</v>
      </c>
      <c r="X29" s="329">
        <f>IFERROR(__xludf.DUMMYFUNCTION("""COMPUTED_VALUE"""),5.0)</f>
        <v>5</v>
      </c>
      <c r="Y29" s="329">
        <f>IFERROR(__xludf.DUMMYFUNCTION("""COMPUTED_VALUE"""),0.0)</f>
        <v>0</v>
      </c>
      <c r="Z29" s="329">
        <f>IFERROR(__xludf.DUMMYFUNCTION("""COMPUTED_VALUE"""),1121.0)</f>
        <v>1121</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IFERROR(__xludf.DUMMYFUNCTION("""COMPUTED_VALUE"""),44102.0)</f>
        <v>44102</v>
      </c>
      <c r="B30" s="329">
        <f>IFERROR(__xludf.DUMMYFUNCTION("""COMPUTED_VALUE"""),156.0)</f>
        <v>156</v>
      </c>
      <c r="C30" s="329">
        <f>IFERROR(__xludf.DUMMYFUNCTION("""COMPUTED_VALUE"""),115.0)</f>
        <v>115</v>
      </c>
      <c r="D30" s="329">
        <f>IFERROR(__xludf.DUMMYFUNCTION("""COMPUTED_VALUE"""),34544.0)</f>
        <v>34544</v>
      </c>
      <c r="E30" s="329">
        <f>IFERROR(__xludf.DUMMYFUNCTION("""COMPUTED_VALUE"""),7294.0)</f>
        <v>7294</v>
      </c>
      <c r="F30" s="258">
        <f>IFERROR(__xludf.DUMMYFUNCTION("""COMPUTED_VALUE"""),727376.0)</f>
        <v>727376</v>
      </c>
      <c r="G30" s="258">
        <f>IFERROR(__xludf.DUMMYFUNCTION("""COMPUTED_VALUE"""),7450.0)</f>
        <v>7450</v>
      </c>
      <c r="H30" s="258">
        <f>IFERROR(__xludf.DUMMYFUNCTION("""COMPUTED_VALUE"""),761920.0)</f>
        <v>761920</v>
      </c>
      <c r="I30" s="329">
        <f>IFERROR(__xludf.DUMMYFUNCTION("""COMPUTED_VALUE"""),137.0)</f>
        <v>137</v>
      </c>
      <c r="J30" s="329">
        <f>IFERROR(__xludf.DUMMYFUNCTION("""COMPUTED_VALUE"""),97.0)</f>
        <v>97</v>
      </c>
      <c r="K30" s="329">
        <f>IFERROR(__xludf.DUMMYFUNCTION("""COMPUTED_VALUE"""),24615.0)</f>
        <v>24615</v>
      </c>
      <c r="L30" s="329">
        <f>IFERROR(__xludf.DUMMYFUNCTION("""COMPUTED_VALUE"""),2103.0)</f>
        <v>2103</v>
      </c>
      <c r="M30" s="329">
        <f>IFERROR(__xludf.DUMMYFUNCTION("""COMPUTED_VALUE"""),283177.0)</f>
        <v>283177</v>
      </c>
      <c r="N30" s="329">
        <f>IFERROR(__xludf.DUMMYFUNCTION("""COMPUTED_VALUE"""),307792.0)</f>
        <v>307792</v>
      </c>
      <c r="O30" s="329">
        <f>IFERROR(__xludf.DUMMYFUNCTION("""COMPUTED_VALUE"""),7.0)</f>
        <v>7</v>
      </c>
      <c r="P30" s="329">
        <f>IFERROR(__xludf.DUMMYFUNCTION("""COMPUTED_VALUE"""),2722.0)</f>
        <v>2722</v>
      </c>
      <c r="Q30" s="329">
        <f>IFERROR(__xludf.DUMMYFUNCTION("""COMPUTED_VALUE"""),7.0)</f>
        <v>7</v>
      </c>
      <c r="R30" s="329">
        <f>IFERROR(__xludf.DUMMYFUNCTION("""COMPUTED_VALUE"""),2267.0)</f>
        <v>2267</v>
      </c>
      <c r="S30" s="329">
        <f>IFERROR(__xludf.DUMMYFUNCTION("""COMPUTED_VALUE"""),2.0)</f>
        <v>2</v>
      </c>
      <c r="T30" s="329">
        <f>IFERROR(__xludf.DUMMYFUNCTION("""COMPUTED_VALUE"""),360.0)</f>
        <v>360</v>
      </c>
      <c r="U30" s="329">
        <f>IFERROR(__xludf.DUMMYFUNCTION("""COMPUTED_VALUE"""),95.0)</f>
        <v>95</v>
      </c>
      <c r="V30" s="329">
        <f>IFERROR(__xludf.DUMMYFUNCTION("""COMPUTED_VALUE"""),96.0)</f>
        <v>96</v>
      </c>
      <c r="W30" s="329">
        <f>IFERROR(__xludf.DUMMYFUNCTION("""COMPUTED_VALUE"""),7.0)</f>
        <v>7</v>
      </c>
      <c r="X30" s="329">
        <f>IFERROR(__xludf.DUMMYFUNCTION("""COMPUTED_VALUE"""),5.0)</f>
        <v>5</v>
      </c>
      <c r="Y30" s="329">
        <f>IFERROR(__xludf.DUMMYFUNCTION("""COMPUTED_VALUE"""),2.0)</f>
        <v>2</v>
      </c>
      <c r="Z30" s="329">
        <f>IFERROR(__xludf.DUMMYFUNCTION("""COMPUTED_VALUE"""),1123.0)</f>
        <v>1123</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IFERROR(__xludf.DUMMYFUNCTION("""COMPUTED_VALUE"""),44103.0)</f>
        <v>44103</v>
      </c>
      <c r="B31" s="329">
        <f>IFERROR(__xludf.DUMMYFUNCTION("""COMPUTED_VALUE"""),203.0)</f>
        <v>203</v>
      </c>
      <c r="C31" s="329">
        <f>IFERROR(__xludf.DUMMYFUNCTION("""COMPUTED_VALUE"""),134.0)</f>
        <v>134</v>
      </c>
      <c r="D31" s="329">
        <f>IFERROR(__xludf.DUMMYFUNCTION("""COMPUTED_VALUE"""),34747.0)</f>
        <v>34747</v>
      </c>
      <c r="E31" s="329">
        <f>IFERROR(__xludf.DUMMYFUNCTION("""COMPUTED_VALUE"""),11034.0)</f>
        <v>11034</v>
      </c>
      <c r="F31" s="258">
        <f>IFERROR(__xludf.DUMMYFUNCTION("""COMPUTED_VALUE"""),738410.0)</f>
        <v>738410</v>
      </c>
      <c r="G31" s="258">
        <f>IFERROR(__xludf.DUMMYFUNCTION("""COMPUTED_VALUE"""),11237.0)</f>
        <v>11237</v>
      </c>
      <c r="H31" s="258">
        <f>IFERROR(__xludf.DUMMYFUNCTION("""COMPUTED_VALUE"""),773157.0)</f>
        <v>773157</v>
      </c>
      <c r="I31" s="329">
        <f>IFERROR(__xludf.DUMMYFUNCTION("""COMPUTED_VALUE"""),185.0)</f>
        <v>185</v>
      </c>
      <c r="J31" s="329">
        <f>IFERROR(__xludf.DUMMYFUNCTION("""COMPUTED_VALUE"""),119.0)</f>
        <v>119</v>
      </c>
      <c r="K31" s="329">
        <f>IFERROR(__xludf.DUMMYFUNCTION("""COMPUTED_VALUE"""),24800.0)</f>
        <v>24800</v>
      </c>
      <c r="L31" s="329">
        <f>IFERROR(__xludf.DUMMYFUNCTION("""COMPUTED_VALUE"""),2568.0)</f>
        <v>2568</v>
      </c>
      <c r="M31" s="329">
        <f>IFERROR(__xludf.DUMMYFUNCTION("""COMPUTED_VALUE"""),285745.0)</f>
        <v>285745</v>
      </c>
      <c r="N31" s="329">
        <f>IFERROR(__xludf.DUMMYFUNCTION("""COMPUTED_VALUE"""),310545.0)</f>
        <v>310545</v>
      </c>
      <c r="O31" s="329">
        <f>IFERROR(__xludf.DUMMYFUNCTION("""COMPUTED_VALUE"""),12.0)</f>
        <v>12</v>
      </c>
      <c r="P31" s="329">
        <f>IFERROR(__xludf.DUMMYFUNCTION("""COMPUTED_VALUE"""),2734.0)</f>
        <v>2734</v>
      </c>
      <c r="Q31" s="329">
        <f>IFERROR(__xludf.DUMMYFUNCTION("""COMPUTED_VALUE"""),18.0)</f>
        <v>18</v>
      </c>
      <c r="R31" s="329">
        <f>IFERROR(__xludf.DUMMYFUNCTION("""COMPUTED_VALUE"""),2285.0)</f>
        <v>2285</v>
      </c>
      <c r="S31" s="329">
        <f>IFERROR(__xludf.DUMMYFUNCTION("""COMPUTED_VALUE"""),1.0)</f>
        <v>1</v>
      </c>
      <c r="T31" s="329">
        <f>IFERROR(__xludf.DUMMYFUNCTION("""COMPUTED_VALUE"""),361.0)</f>
        <v>361</v>
      </c>
      <c r="U31" s="329">
        <f>IFERROR(__xludf.DUMMYFUNCTION("""COMPUTED_VALUE"""),88.0)</f>
        <v>88</v>
      </c>
      <c r="V31" s="329">
        <f>IFERROR(__xludf.DUMMYFUNCTION("""COMPUTED_VALUE"""),93.0)</f>
        <v>93</v>
      </c>
      <c r="W31" s="329">
        <f>IFERROR(__xludf.DUMMYFUNCTION("""COMPUTED_VALUE"""),6.0)</f>
        <v>6</v>
      </c>
      <c r="X31" s="329">
        <f>IFERROR(__xludf.DUMMYFUNCTION("""COMPUTED_VALUE"""),6.0)</f>
        <v>6</v>
      </c>
      <c r="Y31" s="329">
        <f>IFERROR(__xludf.DUMMYFUNCTION("""COMPUTED_VALUE"""),1.0)</f>
        <v>1</v>
      </c>
      <c r="Z31" s="329">
        <f>IFERROR(__xludf.DUMMYFUNCTION("""COMPUTED_VALUE"""),1124.0)</f>
        <v>1124</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IFERROR(__xludf.DUMMYFUNCTION("""COMPUTED_VALUE"""),44104.0)</f>
        <v>44104</v>
      </c>
      <c r="B32" s="329">
        <f>IFERROR(__xludf.DUMMYFUNCTION("""COMPUTED_VALUE"""),223.0)</f>
        <v>223</v>
      </c>
      <c r="C32" s="329">
        <f>IFERROR(__xludf.DUMMYFUNCTION("""COMPUTED_VALUE"""),194.0)</f>
        <v>194</v>
      </c>
      <c r="D32" s="329">
        <f>IFERROR(__xludf.DUMMYFUNCTION("""COMPUTED_VALUE"""),34970.0)</f>
        <v>34970</v>
      </c>
      <c r="E32" s="329">
        <f>IFERROR(__xludf.DUMMYFUNCTION("""COMPUTED_VALUE"""),12218.0)</f>
        <v>12218</v>
      </c>
      <c r="F32" s="258">
        <f>IFERROR(__xludf.DUMMYFUNCTION("""COMPUTED_VALUE"""),750628.0)</f>
        <v>750628</v>
      </c>
      <c r="G32" s="258">
        <f>IFERROR(__xludf.DUMMYFUNCTION("""COMPUTED_VALUE"""),12441.0)</f>
        <v>12441</v>
      </c>
      <c r="H32" s="258">
        <f>IFERROR(__xludf.DUMMYFUNCTION("""COMPUTED_VALUE"""),785598.0)</f>
        <v>785598</v>
      </c>
      <c r="I32" s="329">
        <f>IFERROR(__xludf.DUMMYFUNCTION("""COMPUTED_VALUE"""),189.0)</f>
        <v>189</v>
      </c>
      <c r="J32" s="329">
        <f>IFERROR(__xludf.DUMMYFUNCTION("""COMPUTED_VALUE"""),170.0)</f>
        <v>170</v>
      </c>
      <c r="K32" s="329">
        <f>IFERROR(__xludf.DUMMYFUNCTION("""COMPUTED_VALUE"""),24989.0)</f>
        <v>24989</v>
      </c>
      <c r="L32" s="329">
        <f>IFERROR(__xludf.DUMMYFUNCTION("""COMPUTED_VALUE"""),2368.0)</f>
        <v>2368</v>
      </c>
      <c r="M32" s="329">
        <f>IFERROR(__xludf.DUMMYFUNCTION("""COMPUTED_VALUE"""),288113.0)</f>
        <v>288113</v>
      </c>
      <c r="N32" s="329">
        <f>IFERROR(__xludf.DUMMYFUNCTION("""COMPUTED_VALUE"""),313102.0)</f>
        <v>313102</v>
      </c>
      <c r="O32" s="329">
        <f>IFERROR(__xludf.DUMMYFUNCTION("""COMPUTED_VALUE"""),6.0)</f>
        <v>6</v>
      </c>
      <c r="P32" s="329">
        <f>IFERROR(__xludf.DUMMYFUNCTION("""COMPUTED_VALUE"""),2740.0)</f>
        <v>2740</v>
      </c>
      <c r="Q32" s="329">
        <f>IFERROR(__xludf.DUMMYFUNCTION("""COMPUTED_VALUE"""),6.0)</f>
        <v>6</v>
      </c>
      <c r="R32" s="329">
        <f>IFERROR(__xludf.DUMMYFUNCTION("""COMPUTED_VALUE"""),2291.0)</f>
        <v>2291</v>
      </c>
      <c r="S32" s="329">
        <f>IFERROR(__xludf.DUMMYFUNCTION("""COMPUTED_VALUE"""),0.0)</f>
        <v>0</v>
      </c>
      <c r="T32" s="329">
        <f>IFERROR(__xludf.DUMMYFUNCTION("""COMPUTED_VALUE"""),361.0)</f>
        <v>361</v>
      </c>
      <c r="U32" s="329">
        <f>IFERROR(__xludf.DUMMYFUNCTION("""COMPUTED_VALUE"""),88.0)</f>
        <v>88</v>
      </c>
      <c r="V32" s="329">
        <f>IFERROR(__xludf.DUMMYFUNCTION("""COMPUTED_VALUE"""),90.0)</f>
        <v>90</v>
      </c>
      <c r="W32" s="329">
        <f>IFERROR(__xludf.DUMMYFUNCTION("""COMPUTED_VALUE"""),6.0)</f>
        <v>6</v>
      </c>
      <c r="X32" s="329">
        <f>IFERROR(__xludf.DUMMYFUNCTION("""COMPUTED_VALUE"""),6.0)</f>
        <v>6</v>
      </c>
      <c r="Y32" s="329">
        <f>IFERROR(__xludf.DUMMYFUNCTION("""COMPUTED_VALUE"""),1.0)</f>
        <v>1</v>
      </c>
      <c r="Z32" s="329">
        <f>IFERROR(__xludf.DUMMYFUNCTION("""COMPUTED_VALUE"""),1125.0)</f>
        <v>1125</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IFERROR(__xludf.DUMMYFUNCTION("""COMPUTED_VALUE"""),44105.0)</f>
        <v>44105</v>
      </c>
      <c r="B33" s="329">
        <f>IFERROR(__xludf.DUMMYFUNCTION("""COMPUTED_VALUE"""),184.0)</f>
        <v>184</v>
      </c>
      <c r="C33" s="329">
        <f>IFERROR(__xludf.DUMMYFUNCTION("""COMPUTED_VALUE"""),203.0)</f>
        <v>203</v>
      </c>
      <c r="D33" s="329">
        <f>IFERROR(__xludf.DUMMYFUNCTION("""COMPUTED_VALUE"""),35154.0)</f>
        <v>35154</v>
      </c>
      <c r="E33" s="329">
        <f>IFERROR(__xludf.DUMMYFUNCTION("""COMPUTED_VALUE"""),12492.0)</f>
        <v>12492</v>
      </c>
      <c r="F33" s="258">
        <f>IFERROR(__xludf.DUMMYFUNCTION("""COMPUTED_VALUE"""),763120.0)</f>
        <v>763120</v>
      </c>
      <c r="G33" s="258">
        <f>IFERROR(__xludf.DUMMYFUNCTION("""COMPUTED_VALUE"""),12676.0)</f>
        <v>12676</v>
      </c>
      <c r="H33" s="258">
        <f>IFERROR(__xludf.DUMMYFUNCTION("""COMPUTED_VALUE"""),798274.0)</f>
        <v>798274</v>
      </c>
      <c r="I33" s="329">
        <f>IFERROR(__xludf.DUMMYFUNCTION("""COMPUTED_VALUE"""),166.0)</f>
        <v>166</v>
      </c>
      <c r="J33" s="329">
        <f>IFERROR(__xludf.DUMMYFUNCTION("""COMPUTED_VALUE"""),180.0)</f>
        <v>180</v>
      </c>
      <c r="K33" s="329">
        <f>IFERROR(__xludf.DUMMYFUNCTION("""COMPUTED_VALUE"""),25155.0)</f>
        <v>25155</v>
      </c>
      <c r="L33" s="329">
        <f>IFERROR(__xludf.DUMMYFUNCTION("""COMPUTED_VALUE"""),2186.0)</f>
        <v>2186</v>
      </c>
      <c r="M33" s="329">
        <f>IFERROR(__xludf.DUMMYFUNCTION("""COMPUTED_VALUE"""),290299.0)</f>
        <v>290299</v>
      </c>
      <c r="N33" s="329">
        <f>IFERROR(__xludf.DUMMYFUNCTION("""COMPUTED_VALUE"""),315454.0)</f>
        <v>315454</v>
      </c>
      <c r="O33" s="329">
        <f>IFERROR(__xludf.DUMMYFUNCTION("""COMPUTED_VALUE"""),17.0)</f>
        <v>17</v>
      </c>
      <c r="P33" s="329">
        <f>IFERROR(__xludf.DUMMYFUNCTION("""COMPUTED_VALUE"""),2757.0)</f>
        <v>2757</v>
      </c>
      <c r="Q33" s="329">
        <f>IFERROR(__xludf.DUMMYFUNCTION("""COMPUTED_VALUE"""),13.0)</f>
        <v>13</v>
      </c>
      <c r="R33" s="329">
        <f>IFERROR(__xludf.DUMMYFUNCTION("""COMPUTED_VALUE"""),2304.0)</f>
        <v>2304</v>
      </c>
      <c r="S33" s="329">
        <f>IFERROR(__xludf.DUMMYFUNCTION("""COMPUTED_VALUE"""),1.0)</f>
        <v>1</v>
      </c>
      <c r="T33" s="329">
        <f>IFERROR(__xludf.DUMMYFUNCTION("""COMPUTED_VALUE"""),362.0)</f>
        <v>362</v>
      </c>
      <c r="U33" s="329">
        <f>IFERROR(__xludf.DUMMYFUNCTION("""COMPUTED_VALUE"""),91.0)</f>
        <v>91</v>
      </c>
      <c r="V33" s="329">
        <f>IFERROR(__xludf.DUMMYFUNCTION("""COMPUTED_VALUE"""),89.0)</f>
        <v>89</v>
      </c>
      <c r="W33" s="329">
        <f>IFERROR(__xludf.DUMMYFUNCTION("""COMPUTED_VALUE"""),6.0)</f>
        <v>6</v>
      </c>
      <c r="X33" s="329">
        <f>IFERROR(__xludf.DUMMYFUNCTION("""COMPUTED_VALUE"""),4.0)</f>
        <v>4</v>
      </c>
      <c r="Y33" s="329">
        <f>IFERROR(__xludf.DUMMYFUNCTION("""COMPUTED_VALUE"""),2.0)</f>
        <v>2</v>
      </c>
      <c r="Z33" s="329">
        <f>IFERROR(__xludf.DUMMYFUNCTION("""COMPUTED_VALUE"""),1127.0)</f>
        <v>1127</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IFERROR(__xludf.DUMMYFUNCTION("""COMPUTED_VALUE"""),44106.0)</f>
        <v>44106</v>
      </c>
      <c r="B34" s="329">
        <f>IFERROR(__xludf.DUMMYFUNCTION("""COMPUTED_VALUE"""),209.0)</f>
        <v>209</v>
      </c>
      <c r="C34" s="329">
        <f>IFERROR(__xludf.DUMMYFUNCTION("""COMPUTED_VALUE"""),205.0)</f>
        <v>205</v>
      </c>
      <c r="D34" s="329">
        <f>IFERROR(__xludf.DUMMYFUNCTION("""COMPUTED_VALUE"""),35363.0)</f>
        <v>35363</v>
      </c>
      <c r="E34" s="329">
        <f>IFERROR(__xludf.DUMMYFUNCTION("""COMPUTED_VALUE"""),12149.0)</f>
        <v>12149</v>
      </c>
      <c r="F34" s="258">
        <f>IFERROR(__xludf.DUMMYFUNCTION("""COMPUTED_VALUE"""),775269.0)</f>
        <v>775269</v>
      </c>
      <c r="G34" s="258">
        <f>IFERROR(__xludf.DUMMYFUNCTION("""COMPUTED_VALUE"""),12358.0)</f>
        <v>12358</v>
      </c>
      <c r="H34" s="258">
        <f>IFERROR(__xludf.DUMMYFUNCTION("""COMPUTED_VALUE"""),810632.0)</f>
        <v>810632</v>
      </c>
      <c r="I34" s="329">
        <f>IFERROR(__xludf.DUMMYFUNCTION("""COMPUTED_VALUE"""),183.0)</f>
        <v>183</v>
      </c>
      <c r="J34" s="329">
        <f>IFERROR(__xludf.DUMMYFUNCTION("""COMPUTED_VALUE"""),179.0)</f>
        <v>179</v>
      </c>
      <c r="K34" s="329">
        <f>IFERROR(__xludf.DUMMYFUNCTION("""COMPUTED_VALUE"""),25338.0)</f>
        <v>25338</v>
      </c>
      <c r="L34" s="329">
        <f>IFERROR(__xludf.DUMMYFUNCTION("""COMPUTED_VALUE"""),2284.0)</f>
        <v>2284</v>
      </c>
      <c r="M34" s="329">
        <f>IFERROR(__xludf.DUMMYFUNCTION("""COMPUTED_VALUE"""),292583.0)</f>
        <v>292583</v>
      </c>
      <c r="N34" s="329">
        <f>IFERROR(__xludf.DUMMYFUNCTION("""COMPUTED_VALUE"""),317921.0)</f>
        <v>317921</v>
      </c>
      <c r="O34" s="329">
        <f>IFERROR(__xludf.DUMMYFUNCTION("""COMPUTED_VALUE"""),14.0)</f>
        <v>14</v>
      </c>
      <c r="P34" s="329">
        <f>IFERROR(__xludf.DUMMYFUNCTION("""COMPUTED_VALUE"""),2771.0)</f>
        <v>2771</v>
      </c>
      <c r="Q34" s="329">
        <f>IFERROR(__xludf.DUMMYFUNCTION("""COMPUTED_VALUE"""),13.0)</f>
        <v>13</v>
      </c>
      <c r="R34" s="329">
        <f>IFERROR(__xludf.DUMMYFUNCTION("""COMPUTED_VALUE"""),2317.0)</f>
        <v>2317</v>
      </c>
      <c r="S34" s="329">
        <f>IFERROR(__xludf.DUMMYFUNCTION("""COMPUTED_VALUE"""),1.0)</f>
        <v>1</v>
      </c>
      <c r="T34" s="329">
        <f>IFERROR(__xludf.DUMMYFUNCTION("""COMPUTED_VALUE"""),363.0)</f>
        <v>363</v>
      </c>
      <c r="U34" s="329">
        <f>IFERROR(__xludf.DUMMYFUNCTION("""COMPUTED_VALUE"""),91.0)</f>
        <v>91</v>
      </c>
      <c r="V34" s="329">
        <f>IFERROR(__xludf.DUMMYFUNCTION("""COMPUTED_VALUE"""),90.0)</f>
        <v>90</v>
      </c>
      <c r="W34" s="329">
        <f>IFERROR(__xludf.DUMMYFUNCTION("""COMPUTED_VALUE"""),8.0)</f>
        <v>8</v>
      </c>
      <c r="X34" s="329">
        <f>IFERROR(__xludf.DUMMYFUNCTION("""COMPUTED_VALUE"""),5.0)</f>
        <v>5</v>
      </c>
      <c r="Y34" s="329">
        <f>IFERROR(__xludf.DUMMYFUNCTION("""COMPUTED_VALUE"""),2.0)</f>
        <v>2</v>
      </c>
      <c r="Z34" s="329">
        <f>IFERROR(__xludf.DUMMYFUNCTION("""COMPUTED_VALUE"""),1129.0)</f>
        <v>1129</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IFERROR(__xludf.DUMMYFUNCTION("""COMPUTED_VALUE"""),44107.0)</f>
        <v>44107</v>
      </c>
      <c r="B35" s="329">
        <f>IFERROR(__xludf.DUMMYFUNCTION("""COMPUTED_VALUE"""),157.0)</f>
        <v>157</v>
      </c>
      <c r="C35" s="329">
        <f>IFERROR(__xludf.DUMMYFUNCTION("""COMPUTED_VALUE"""),183.0)</f>
        <v>183</v>
      </c>
      <c r="D35" s="329">
        <f>IFERROR(__xludf.DUMMYFUNCTION("""COMPUTED_VALUE"""),35520.0)</f>
        <v>35520</v>
      </c>
      <c r="E35" s="329">
        <f>IFERROR(__xludf.DUMMYFUNCTION("""COMPUTED_VALUE"""),9304.0)</f>
        <v>9304</v>
      </c>
      <c r="F35" s="258">
        <f>IFERROR(__xludf.DUMMYFUNCTION("""COMPUTED_VALUE"""),784573.0)</f>
        <v>784573</v>
      </c>
      <c r="G35" s="258">
        <f>IFERROR(__xludf.DUMMYFUNCTION("""COMPUTED_VALUE"""),9461.0)</f>
        <v>9461</v>
      </c>
      <c r="H35" s="258">
        <f>IFERROR(__xludf.DUMMYFUNCTION("""COMPUTED_VALUE"""),820093.0)</f>
        <v>820093</v>
      </c>
      <c r="I35" s="329">
        <f>IFERROR(__xludf.DUMMYFUNCTION("""COMPUTED_VALUE"""),131.0)</f>
        <v>131</v>
      </c>
      <c r="J35" s="329">
        <f>IFERROR(__xludf.DUMMYFUNCTION("""COMPUTED_VALUE"""),160.0)</f>
        <v>160</v>
      </c>
      <c r="K35" s="329">
        <f>IFERROR(__xludf.DUMMYFUNCTION("""COMPUTED_VALUE"""),25469.0)</f>
        <v>25469</v>
      </c>
      <c r="L35" s="329">
        <f>IFERROR(__xludf.DUMMYFUNCTION("""COMPUTED_VALUE"""),1861.0)</f>
        <v>1861</v>
      </c>
      <c r="M35" s="329">
        <f>IFERROR(__xludf.DUMMYFUNCTION("""COMPUTED_VALUE"""),294444.0)</f>
        <v>294444</v>
      </c>
      <c r="N35" s="329">
        <f>IFERROR(__xludf.DUMMYFUNCTION("""COMPUTED_VALUE"""),319913.0)</f>
        <v>319913</v>
      </c>
      <c r="O35" s="329">
        <f>IFERROR(__xludf.DUMMYFUNCTION("""COMPUTED_VALUE"""),8.0)</f>
        <v>8</v>
      </c>
      <c r="P35" s="329">
        <f>IFERROR(__xludf.DUMMYFUNCTION("""COMPUTED_VALUE"""),2779.0)</f>
        <v>2779</v>
      </c>
      <c r="Q35" s="329">
        <f>IFERROR(__xludf.DUMMYFUNCTION("""COMPUTED_VALUE"""),8.0)</f>
        <v>8</v>
      </c>
      <c r="R35" s="329">
        <f>IFERROR(__xludf.DUMMYFUNCTION("""COMPUTED_VALUE"""),2325.0)</f>
        <v>2325</v>
      </c>
      <c r="S35" s="329">
        <f>IFERROR(__xludf.DUMMYFUNCTION("""COMPUTED_VALUE"""),2.0)</f>
        <v>2</v>
      </c>
      <c r="T35" s="329">
        <f>IFERROR(__xludf.DUMMYFUNCTION("""COMPUTED_VALUE"""),365.0)</f>
        <v>365</v>
      </c>
      <c r="U35" s="329">
        <f>IFERROR(__xludf.DUMMYFUNCTION("""COMPUTED_VALUE"""),89.0)</f>
        <v>89</v>
      </c>
      <c r="V35" s="329">
        <f>IFERROR(__xludf.DUMMYFUNCTION("""COMPUTED_VALUE"""),90.0)</f>
        <v>90</v>
      </c>
      <c r="W35" s="329">
        <f>IFERROR(__xludf.DUMMYFUNCTION("""COMPUTED_VALUE"""),9.0)</f>
        <v>9</v>
      </c>
      <c r="X35" s="329">
        <f>IFERROR(__xludf.DUMMYFUNCTION("""COMPUTED_VALUE"""),4.0)</f>
        <v>4</v>
      </c>
      <c r="Y35" s="329">
        <f>IFERROR(__xludf.DUMMYFUNCTION("""COMPUTED_VALUE"""),2.0)</f>
        <v>2</v>
      </c>
      <c r="Z35" s="329">
        <f>IFERROR(__xludf.DUMMYFUNCTION("""COMPUTED_VALUE"""),1131.0)</f>
        <v>1131</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IFERROR(__xludf.DUMMYFUNCTION("""COMPUTED_VALUE"""),44108.0)</f>
        <v>44108</v>
      </c>
      <c r="B36" s="329">
        <f>IFERROR(__xludf.DUMMYFUNCTION("""COMPUTED_VALUE"""),81.0)</f>
        <v>81</v>
      </c>
      <c r="C36" s="329">
        <f>IFERROR(__xludf.DUMMYFUNCTION("""COMPUTED_VALUE"""),149.0)</f>
        <v>149</v>
      </c>
      <c r="D36" s="329">
        <f>IFERROR(__xludf.DUMMYFUNCTION("""COMPUTED_VALUE"""),35601.0)</f>
        <v>35601</v>
      </c>
      <c r="E36" s="329">
        <f>IFERROR(__xludf.DUMMYFUNCTION("""COMPUTED_VALUE"""),2369.0)</f>
        <v>2369</v>
      </c>
      <c r="F36" s="258">
        <f>IFERROR(__xludf.DUMMYFUNCTION("""COMPUTED_VALUE"""),786942.0)</f>
        <v>786942</v>
      </c>
      <c r="G36" s="258">
        <f>IFERROR(__xludf.DUMMYFUNCTION("""COMPUTED_VALUE"""),2450.0)</f>
        <v>2450</v>
      </c>
      <c r="H36" s="258">
        <f>IFERROR(__xludf.DUMMYFUNCTION("""COMPUTED_VALUE"""),822543.0)</f>
        <v>822543</v>
      </c>
      <c r="I36" s="329">
        <f>IFERROR(__xludf.DUMMYFUNCTION("""COMPUTED_VALUE"""),77.0)</f>
        <v>77</v>
      </c>
      <c r="J36" s="329">
        <f>IFERROR(__xludf.DUMMYFUNCTION("""COMPUTED_VALUE"""),130.0)</f>
        <v>130</v>
      </c>
      <c r="K36" s="329">
        <f>IFERROR(__xludf.DUMMYFUNCTION("""COMPUTED_VALUE"""),25546.0)</f>
        <v>25546</v>
      </c>
      <c r="L36" s="329">
        <f>IFERROR(__xludf.DUMMYFUNCTION("""COMPUTED_VALUE"""),875.0)</f>
        <v>875</v>
      </c>
      <c r="M36" s="329">
        <f>IFERROR(__xludf.DUMMYFUNCTION("""COMPUTED_VALUE"""),295319.0)</f>
        <v>295319</v>
      </c>
      <c r="N36" s="329">
        <f>IFERROR(__xludf.DUMMYFUNCTION("""COMPUTED_VALUE"""),320865.0)</f>
        <v>320865</v>
      </c>
      <c r="O36" s="329">
        <f>IFERROR(__xludf.DUMMYFUNCTION("""COMPUTED_VALUE"""),11.0)</f>
        <v>11</v>
      </c>
      <c r="P36" s="329">
        <f>IFERROR(__xludf.DUMMYFUNCTION("""COMPUTED_VALUE"""),2790.0)</f>
        <v>2790</v>
      </c>
      <c r="Q36" s="329">
        <f>IFERROR(__xludf.DUMMYFUNCTION("""COMPUTED_VALUE"""),9.0)</f>
        <v>9</v>
      </c>
      <c r="R36" s="329">
        <f>IFERROR(__xludf.DUMMYFUNCTION("""COMPUTED_VALUE"""),2334.0)</f>
        <v>2334</v>
      </c>
      <c r="S36" s="329">
        <f>IFERROR(__xludf.DUMMYFUNCTION("""COMPUTED_VALUE"""),1.0)</f>
        <v>1</v>
      </c>
      <c r="T36" s="329">
        <f>IFERROR(__xludf.DUMMYFUNCTION("""COMPUTED_VALUE"""),366.0)</f>
        <v>366</v>
      </c>
      <c r="U36" s="329">
        <f>IFERROR(__xludf.DUMMYFUNCTION("""COMPUTED_VALUE"""),90.0)</f>
        <v>90</v>
      </c>
      <c r="V36" s="329">
        <f>IFERROR(__xludf.DUMMYFUNCTION("""COMPUTED_VALUE"""),90.0)</f>
        <v>90</v>
      </c>
      <c r="W36" s="329">
        <f>IFERROR(__xludf.DUMMYFUNCTION("""COMPUTED_VALUE"""),8.0)</f>
        <v>8</v>
      </c>
      <c r="X36" s="329">
        <f>IFERROR(__xludf.DUMMYFUNCTION("""COMPUTED_VALUE"""),5.0)</f>
        <v>5</v>
      </c>
      <c r="Y36" s="329">
        <f>IFERROR(__xludf.DUMMYFUNCTION("""COMPUTED_VALUE"""),2.0)</f>
        <v>2</v>
      </c>
      <c r="Z36" s="329">
        <f>IFERROR(__xludf.DUMMYFUNCTION("""COMPUTED_VALUE"""),1133.0)</f>
        <v>1133</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IFERROR(__xludf.DUMMYFUNCTION("""COMPUTED_VALUE"""),44109.0)</f>
        <v>44109</v>
      </c>
      <c r="B37" s="329">
        <f>IFERROR(__xludf.DUMMYFUNCTION("""COMPUTED_VALUE"""),175.0)</f>
        <v>175</v>
      </c>
      <c r="C37" s="329">
        <f>IFERROR(__xludf.DUMMYFUNCTION("""COMPUTED_VALUE"""),138.0)</f>
        <v>138</v>
      </c>
      <c r="D37" s="329">
        <f>IFERROR(__xludf.DUMMYFUNCTION("""COMPUTED_VALUE"""),35776.0)</f>
        <v>35776</v>
      </c>
      <c r="E37" s="329">
        <f>IFERROR(__xludf.DUMMYFUNCTION("""COMPUTED_VALUE"""),8963.0)</f>
        <v>8963</v>
      </c>
      <c r="F37" s="258">
        <f>IFERROR(__xludf.DUMMYFUNCTION("""COMPUTED_VALUE"""),795905.0)</f>
        <v>795905</v>
      </c>
      <c r="G37" s="258">
        <f>IFERROR(__xludf.DUMMYFUNCTION("""COMPUTED_VALUE"""),9138.0)</f>
        <v>9138</v>
      </c>
      <c r="H37" s="258">
        <f>IFERROR(__xludf.DUMMYFUNCTION("""COMPUTED_VALUE"""),831681.0)</f>
        <v>831681</v>
      </c>
      <c r="I37" s="329">
        <f>IFERROR(__xludf.DUMMYFUNCTION("""COMPUTED_VALUE"""),160.0)</f>
        <v>160</v>
      </c>
      <c r="J37" s="329">
        <f>IFERROR(__xludf.DUMMYFUNCTION("""COMPUTED_VALUE"""),123.0)</f>
        <v>123</v>
      </c>
      <c r="K37" s="329">
        <f>IFERROR(__xludf.DUMMYFUNCTION("""COMPUTED_VALUE"""),25706.0)</f>
        <v>25706</v>
      </c>
      <c r="L37" s="329">
        <f>IFERROR(__xludf.DUMMYFUNCTION("""COMPUTED_VALUE"""),2806.0)</f>
        <v>2806</v>
      </c>
      <c r="M37" s="329">
        <f>IFERROR(__xludf.DUMMYFUNCTION("""COMPUTED_VALUE"""),298125.0)</f>
        <v>298125</v>
      </c>
      <c r="N37" s="329">
        <f>IFERROR(__xludf.DUMMYFUNCTION("""COMPUTED_VALUE"""),323831.0)</f>
        <v>323831</v>
      </c>
      <c r="O37" s="329">
        <f>IFERROR(__xludf.DUMMYFUNCTION("""COMPUTED_VALUE"""),29.0)</f>
        <v>29</v>
      </c>
      <c r="P37" s="329">
        <f>IFERROR(__xludf.DUMMYFUNCTION("""COMPUTED_VALUE"""),2819.0)</f>
        <v>2819</v>
      </c>
      <c r="Q37" s="329">
        <f>IFERROR(__xludf.DUMMYFUNCTION("""COMPUTED_VALUE"""),9.0)</f>
        <v>9</v>
      </c>
      <c r="R37" s="329">
        <f>IFERROR(__xludf.DUMMYFUNCTION("""COMPUTED_VALUE"""),2343.0)</f>
        <v>2343</v>
      </c>
      <c r="S37" s="329">
        <f>IFERROR(__xludf.DUMMYFUNCTION("""COMPUTED_VALUE"""),2.0)</f>
        <v>2</v>
      </c>
      <c r="T37" s="329">
        <f>IFERROR(__xludf.DUMMYFUNCTION("""COMPUTED_VALUE"""),368.0)</f>
        <v>368</v>
      </c>
      <c r="U37" s="329">
        <f>IFERROR(__xludf.DUMMYFUNCTION("""COMPUTED_VALUE"""),108.0)</f>
        <v>108</v>
      </c>
      <c r="V37" s="329">
        <f>IFERROR(__xludf.DUMMYFUNCTION("""COMPUTED_VALUE"""),96.0)</f>
        <v>96</v>
      </c>
      <c r="W37" s="329">
        <f>IFERROR(__xludf.DUMMYFUNCTION("""COMPUTED_VALUE"""),9.0)</f>
        <v>9</v>
      </c>
      <c r="X37" s="329">
        <f>IFERROR(__xludf.DUMMYFUNCTION("""COMPUTED_VALUE"""),6.0)</f>
        <v>6</v>
      </c>
      <c r="Y37" s="329">
        <f>IFERROR(__xludf.DUMMYFUNCTION("""COMPUTED_VALUE"""),4.0)</f>
        <v>4</v>
      </c>
      <c r="Z37" s="329">
        <f>IFERROR(__xludf.DUMMYFUNCTION("""COMPUTED_VALUE"""),1137.0)</f>
        <v>1137</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IFERROR(__xludf.DUMMYFUNCTION("""COMPUTED_VALUE"""),44110.0)</f>
        <v>44110</v>
      </c>
      <c r="B38" s="329">
        <f>IFERROR(__xludf.DUMMYFUNCTION("""COMPUTED_VALUE"""),189.0)</f>
        <v>189</v>
      </c>
      <c r="C38" s="329">
        <f>IFERROR(__xludf.DUMMYFUNCTION("""COMPUTED_VALUE"""),148.0)</f>
        <v>148</v>
      </c>
      <c r="D38" s="329">
        <f>IFERROR(__xludf.DUMMYFUNCTION("""COMPUTED_VALUE"""),35965.0)</f>
        <v>35965</v>
      </c>
      <c r="E38" s="329">
        <f>IFERROR(__xludf.DUMMYFUNCTION("""COMPUTED_VALUE"""),11190.0)</f>
        <v>11190</v>
      </c>
      <c r="F38" s="258">
        <f>IFERROR(__xludf.DUMMYFUNCTION("""COMPUTED_VALUE"""),807095.0)</f>
        <v>807095</v>
      </c>
      <c r="G38" s="258">
        <f>IFERROR(__xludf.DUMMYFUNCTION("""COMPUTED_VALUE"""),11379.0)</f>
        <v>11379</v>
      </c>
      <c r="H38" s="258">
        <f>IFERROR(__xludf.DUMMYFUNCTION("""COMPUTED_VALUE"""),843060.0)</f>
        <v>843060</v>
      </c>
      <c r="I38" s="329">
        <f>IFERROR(__xludf.DUMMYFUNCTION("""COMPUTED_VALUE"""),187.0)</f>
        <v>187</v>
      </c>
      <c r="J38" s="329">
        <f>IFERROR(__xludf.DUMMYFUNCTION("""COMPUTED_VALUE"""),141.0)</f>
        <v>141</v>
      </c>
      <c r="K38" s="329">
        <f>IFERROR(__xludf.DUMMYFUNCTION("""COMPUTED_VALUE"""),25893.0)</f>
        <v>25893</v>
      </c>
      <c r="L38" s="329">
        <f>IFERROR(__xludf.DUMMYFUNCTION("""COMPUTED_VALUE"""),2652.0)</f>
        <v>2652</v>
      </c>
      <c r="M38" s="329">
        <f>IFERROR(__xludf.DUMMYFUNCTION("""COMPUTED_VALUE"""),300777.0)</f>
        <v>300777</v>
      </c>
      <c r="N38" s="329">
        <f>IFERROR(__xludf.DUMMYFUNCTION("""COMPUTED_VALUE"""),326670.0)</f>
        <v>326670</v>
      </c>
      <c r="O38" s="329">
        <f>IFERROR(__xludf.DUMMYFUNCTION("""COMPUTED_VALUE"""),11.0)</f>
        <v>11</v>
      </c>
      <c r="P38" s="329">
        <f>IFERROR(__xludf.DUMMYFUNCTION("""COMPUTED_VALUE"""),2830.0)</f>
        <v>2830</v>
      </c>
      <c r="Q38" s="329">
        <f>IFERROR(__xludf.DUMMYFUNCTION("""COMPUTED_VALUE"""),4.0)</f>
        <v>4</v>
      </c>
      <c r="R38" s="329">
        <f>IFERROR(__xludf.DUMMYFUNCTION("""COMPUTED_VALUE"""),2347.0)</f>
        <v>2347</v>
      </c>
      <c r="S38" s="329">
        <f>IFERROR(__xludf.DUMMYFUNCTION("""COMPUTED_VALUE"""),0.0)</f>
        <v>0</v>
      </c>
      <c r="T38" s="329">
        <f>IFERROR(__xludf.DUMMYFUNCTION("""COMPUTED_VALUE"""),368.0)</f>
        <v>368</v>
      </c>
      <c r="U38" s="329">
        <f>IFERROR(__xludf.DUMMYFUNCTION("""COMPUTED_VALUE"""),115.0)</f>
        <v>115</v>
      </c>
      <c r="V38" s="329">
        <f>IFERROR(__xludf.DUMMYFUNCTION("""COMPUTED_VALUE"""),104.0)</f>
        <v>104</v>
      </c>
      <c r="W38" s="329">
        <f>IFERROR(__xludf.DUMMYFUNCTION("""COMPUTED_VALUE"""),11.0)</f>
        <v>11</v>
      </c>
      <c r="X38" s="329">
        <f>IFERROR(__xludf.DUMMYFUNCTION("""COMPUTED_VALUE"""),7.0)</f>
        <v>7</v>
      </c>
      <c r="Y38" s="329">
        <f>IFERROR(__xludf.DUMMYFUNCTION("""COMPUTED_VALUE"""),0.0)</f>
        <v>0</v>
      </c>
      <c r="Z38" s="329">
        <f>IFERROR(__xludf.DUMMYFUNCTION("""COMPUTED_VALUE"""),1137.0)</f>
        <v>1137</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IFERROR(__xludf.DUMMYFUNCTION("""COMPUTED_VALUE"""),44111.0)</f>
        <v>44111</v>
      </c>
      <c r="B39" s="329">
        <f>IFERROR(__xludf.DUMMYFUNCTION("""COMPUTED_VALUE"""),244.0)</f>
        <v>244</v>
      </c>
      <c r="C39" s="329">
        <f>IFERROR(__xludf.DUMMYFUNCTION("""COMPUTED_VALUE"""),203.0)</f>
        <v>203</v>
      </c>
      <c r="D39" s="329">
        <f>IFERROR(__xludf.DUMMYFUNCTION("""COMPUTED_VALUE"""),36209.0)</f>
        <v>36209</v>
      </c>
      <c r="E39" s="329">
        <f>IFERROR(__xludf.DUMMYFUNCTION("""COMPUTED_VALUE"""),12443.0)</f>
        <v>12443</v>
      </c>
      <c r="F39" s="258">
        <f>IFERROR(__xludf.DUMMYFUNCTION("""COMPUTED_VALUE"""),819538.0)</f>
        <v>819538</v>
      </c>
      <c r="G39" s="258">
        <f>IFERROR(__xludf.DUMMYFUNCTION("""COMPUTED_VALUE"""),12687.0)</f>
        <v>12687</v>
      </c>
      <c r="H39" s="258">
        <f>IFERROR(__xludf.DUMMYFUNCTION("""COMPUTED_VALUE"""),855747.0)</f>
        <v>855747</v>
      </c>
      <c r="I39" s="329">
        <f>IFERROR(__xludf.DUMMYFUNCTION("""COMPUTED_VALUE"""),243.0)</f>
        <v>243</v>
      </c>
      <c r="J39" s="329">
        <f>IFERROR(__xludf.DUMMYFUNCTION("""COMPUTED_VALUE"""),197.0)</f>
        <v>197</v>
      </c>
      <c r="K39" s="329">
        <f>IFERROR(__xludf.DUMMYFUNCTION("""COMPUTED_VALUE"""),26136.0)</f>
        <v>26136</v>
      </c>
      <c r="L39" s="329">
        <f>IFERROR(__xludf.DUMMYFUNCTION("""COMPUTED_VALUE"""),3233.0)</f>
        <v>3233</v>
      </c>
      <c r="M39" s="329">
        <f>IFERROR(__xludf.DUMMYFUNCTION("""COMPUTED_VALUE"""),304010.0)</f>
        <v>304010</v>
      </c>
      <c r="N39" s="329">
        <f>IFERROR(__xludf.DUMMYFUNCTION("""COMPUTED_VALUE"""),330146.0)</f>
        <v>330146</v>
      </c>
      <c r="O39" s="329">
        <f>IFERROR(__xludf.DUMMYFUNCTION("""COMPUTED_VALUE"""),13.0)</f>
        <v>13</v>
      </c>
      <c r="P39" s="329">
        <f>IFERROR(__xludf.DUMMYFUNCTION("""COMPUTED_VALUE"""),2843.0)</f>
        <v>2843</v>
      </c>
      <c r="Q39" s="329">
        <f>IFERROR(__xludf.DUMMYFUNCTION("""COMPUTED_VALUE"""),14.0)</f>
        <v>14</v>
      </c>
      <c r="R39" s="329">
        <f>IFERROR(__xludf.DUMMYFUNCTION("""COMPUTED_VALUE"""),2361.0)</f>
        <v>2361</v>
      </c>
      <c r="S39" s="329">
        <f>IFERROR(__xludf.DUMMYFUNCTION("""COMPUTED_VALUE"""),2.0)</f>
        <v>2</v>
      </c>
      <c r="T39" s="329">
        <f>IFERROR(__xludf.DUMMYFUNCTION("""COMPUTED_VALUE"""),370.0)</f>
        <v>370</v>
      </c>
      <c r="U39" s="329">
        <f>IFERROR(__xludf.DUMMYFUNCTION("""COMPUTED_VALUE"""),112.0)</f>
        <v>112</v>
      </c>
      <c r="V39" s="329">
        <f>IFERROR(__xludf.DUMMYFUNCTION("""COMPUTED_VALUE"""),112.0)</f>
        <v>112</v>
      </c>
      <c r="W39" s="329">
        <f>IFERROR(__xludf.DUMMYFUNCTION("""COMPUTED_VALUE"""),9.0)</f>
        <v>9</v>
      </c>
      <c r="X39" s="329">
        <f>IFERROR(__xludf.DUMMYFUNCTION("""COMPUTED_VALUE"""),7.0)</f>
        <v>7</v>
      </c>
      <c r="Y39" s="329">
        <f>IFERROR(__xludf.DUMMYFUNCTION("""COMPUTED_VALUE"""),2.0)</f>
        <v>2</v>
      </c>
      <c r="Z39" s="329">
        <f>IFERROR(__xludf.DUMMYFUNCTION("""COMPUTED_VALUE"""),1139.0)</f>
        <v>1139</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IFERROR(__xludf.DUMMYFUNCTION("""COMPUTED_VALUE"""),44112.0)</f>
        <v>44112</v>
      </c>
      <c r="B40" s="329">
        <f>IFERROR(__xludf.DUMMYFUNCTION("""COMPUTED_VALUE"""),283.0)</f>
        <v>283</v>
      </c>
      <c r="C40" s="329">
        <f>IFERROR(__xludf.DUMMYFUNCTION("""COMPUTED_VALUE"""),239.0)</f>
        <v>239</v>
      </c>
      <c r="D40" s="329">
        <f>IFERROR(__xludf.DUMMYFUNCTION("""COMPUTED_VALUE"""),36492.0)</f>
        <v>36492</v>
      </c>
      <c r="E40" s="329">
        <f>IFERROR(__xludf.DUMMYFUNCTION("""COMPUTED_VALUE"""),15222.0)</f>
        <v>15222</v>
      </c>
      <c r="F40" s="258">
        <f>IFERROR(__xludf.DUMMYFUNCTION("""COMPUTED_VALUE"""),834760.0)</f>
        <v>834760</v>
      </c>
      <c r="G40" s="258">
        <f>IFERROR(__xludf.DUMMYFUNCTION("""COMPUTED_VALUE"""),15505.0)</f>
        <v>15505</v>
      </c>
      <c r="H40" s="258">
        <f>IFERROR(__xludf.DUMMYFUNCTION("""COMPUTED_VALUE"""),871252.0)</f>
        <v>871252</v>
      </c>
      <c r="I40" s="329">
        <f>IFERROR(__xludf.DUMMYFUNCTION("""COMPUTED_VALUE"""),275.0)</f>
        <v>275</v>
      </c>
      <c r="J40" s="329">
        <f>IFERROR(__xludf.DUMMYFUNCTION("""COMPUTED_VALUE"""),235.0)</f>
        <v>235</v>
      </c>
      <c r="K40" s="329">
        <f>IFERROR(__xludf.DUMMYFUNCTION("""COMPUTED_VALUE"""),26411.0)</f>
        <v>26411</v>
      </c>
      <c r="L40" s="329">
        <f>IFERROR(__xludf.DUMMYFUNCTION("""COMPUTED_VALUE"""),3837.0)</f>
        <v>3837</v>
      </c>
      <c r="M40" s="329">
        <f>IFERROR(__xludf.DUMMYFUNCTION("""COMPUTED_VALUE"""),307847.0)</f>
        <v>307847</v>
      </c>
      <c r="N40" s="329">
        <f>IFERROR(__xludf.DUMMYFUNCTION("""COMPUTED_VALUE"""),334258.0)</f>
        <v>334258</v>
      </c>
      <c r="O40" s="329">
        <f>IFERROR(__xludf.DUMMYFUNCTION("""COMPUTED_VALUE"""),17.0)</f>
        <v>17</v>
      </c>
      <c r="P40" s="329">
        <f>IFERROR(__xludf.DUMMYFUNCTION("""COMPUTED_VALUE"""),2860.0)</f>
        <v>2860</v>
      </c>
      <c r="Q40" s="329">
        <f>IFERROR(__xludf.DUMMYFUNCTION("""COMPUTED_VALUE"""),13.0)</f>
        <v>13</v>
      </c>
      <c r="R40" s="329">
        <f>IFERROR(__xludf.DUMMYFUNCTION("""COMPUTED_VALUE"""),2374.0)</f>
        <v>2374</v>
      </c>
      <c r="S40" s="329">
        <f>IFERROR(__xludf.DUMMYFUNCTION("""COMPUTED_VALUE"""),2.0)</f>
        <v>2</v>
      </c>
      <c r="T40" s="329">
        <f>IFERROR(__xludf.DUMMYFUNCTION("""COMPUTED_VALUE"""),372.0)</f>
        <v>372</v>
      </c>
      <c r="U40" s="329">
        <f>IFERROR(__xludf.DUMMYFUNCTION("""COMPUTED_VALUE"""),114.0)</f>
        <v>114</v>
      </c>
      <c r="V40" s="329">
        <f>IFERROR(__xludf.DUMMYFUNCTION("""COMPUTED_VALUE"""),114.0)</f>
        <v>114</v>
      </c>
      <c r="W40" s="329">
        <f>IFERROR(__xludf.DUMMYFUNCTION("""COMPUTED_VALUE"""),7.0)</f>
        <v>7</v>
      </c>
      <c r="X40" s="329">
        <f>IFERROR(__xludf.DUMMYFUNCTION("""COMPUTED_VALUE"""),5.0)</f>
        <v>5</v>
      </c>
      <c r="Y40" s="329">
        <f>IFERROR(__xludf.DUMMYFUNCTION("""COMPUTED_VALUE"""),4.0)</f>
        <v>4</v>
      </c>
      <c r="Z40" s="329">
        <f>IFERROR(__xludf.DUMMYFUNCTION("""COMPUTED_VALUE"""),1143.0)</f>
        <v>1143</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IFERROR(__xludf.DUMMYFUNCTION("""COMPUTED_VALUE"""),44113.0)</f>
        <v>44113</v>
      </c>
      <c r="B41" s="329">
        <f>IFERROR(__xludf.DUMMYFUNCTION("""COMPUTED_VALUE"""),231.0)</f>
        <v>231</v>
      </c>
      <c r="C41" s="329">
        <f>IFERROR(__xludf.DUMMYFUNCTION("""COMPUTED_VALUE"""),253.0)</f>
        <v>253</v>
      </c>
      <c r="D41" s="329">
        <f>IFERROR(__xludf.DUMMYFUNCTION("""COMPUTED_VALUE"""),36723.0)</f>
        <v>36723</v>
      </c>
      <c r="E41" s="329">
        <f>IFERROR(__xludf.DUMMYFUNCTION("""COMPUTED_VALUE"""),13729.0)</f>
        <v>13729</v>
      </c>
      <c r="F41" s="258">
        <f>IFERROR(__xludf.DUMMYFUNCTION("""COMPUTED_VALUE"""),848489.0)</f>
        <v>848489</v>
      </c>
      <c r="G41" s="258">
        <f>IFERROR(__xludf.DUMMYFUNCTION("""COMPUTED_VALUE"""),13960.0)</f>
        <v>13960</v>
      </c>
      <c r="H41" s="258">
        <f>IFERROR(__xludf.DUMMYFUNCTION("""COMPUTED_VALUE"""),885212.0)</f>
        <v>885212</v>
      </c>
      <c r="I41" s="329">
        <f>IFERROR(__xludf.DUMMYFUNCTION("""COMPUTED_VALUE"""),200.0)</f>
        <v>200</v>
      </c>
      <c r="J41" s="329">
        <f>IFERROR(__xludf.DUMMYFUNCTION("""COMPUTED_VALUE"""),239.0)</f>
        <v>239</v>
      </c>
      <c r="K41" s="329">
        <f>IFERROR(__xludf.DUMMYFUNCTION("""COMPUTED_VALUE"""),26611.0)</f>
        <v>26611</v>
      </c>
      <c r="L41" s="329">
        <f>IFERROR(__xludf.DUMMYFUNCTION("""COMPUTED_VALUE"""),3839.0)</f>
        <v>3839</v>
      </c>
      <c r="M41" s="329">
        <f>IFERROR(__xludf.DUMMYFUNCTION("""COMPUTED_VALUE"""),311686.0)</f>
        <v>311686</v>
      </c>
      <c r="N41" s="329">
        <f>IFERROR(__xludf.DUMMYFUNCTION("""COMPUTED_VALUE"""),338297.0)</f>
        <v>338297</v>
      </c>
      <c r="O41" s="329">
        <f>IFERROR(__xludf.DUMMYFUNCTION("""COMPUTED_VALUE"""),21.0)</f>
        <v>21</v>
      </c>
      <c r="P41" s="329">
        <f>IFERROR(__xludf.DUMMYFUNCTION("""COMPUTED_VALUE"""),2881.0)</f>
        <v>2881</v>
      </c>
      <c r="Q41" s="329">
        <f>IFERROR(__xludf.DUMMYFUNCTION("""COMPUTED_VALUE"""),12.0)</f>
        <v>12</v>
      </c>
      <c r="R41" s="329">
        <f>IFERROR(__xludf.DUMMYFUNCTION("""COMPUTED_VALUE"""),2386.0)</f>
        <v>2386</v>
      </c>
      <c r="S41" s="329">
        <f>IFERROR(__xludf.DUMMYFUNCTION("""COMPUTED_VALUE"""),0.0)</f>
        <v>0</v>
      </c>
      <c r="T41" s="329">
        <f>IFERROR(__xludf.DUMMYFUNCTION("""COMPUTED_VALUE"""),372.0)</f>
        <v>372</v>
      </c>
      <c r="U41" s="329">
        <f>IFERROR(__xludf.DUMMYFUNCTION("""COMPUTED_VALUE"""),123.0)</f>
        <v>123</v>
      </c>
      <c r="V41" s="329">
        <f>IFERROR(__xludf.DUMMYFUNCTION("""COMPUTED_VALUE"""),116.0)</f>
        <v>116</v>
      </c>
      <c r="W41" s="329">
        <f>IFERROR(__xludf.DUMMYFUNCTION("""COMPUTED_VALUE"""),10.0)</f>
        <v>10</v>
      </c>
      <c r="X41" s="329">
        <f>IFERROR(__xludf.DUMMYFUNCTION("""COMPUTED_VALUE"""),7.0)</f>
        <v>7</v>
      </c>
      <c r="Y41" s="329">
        <f>IFERROR(__xludf.DUMMYFUNCTION("""COMPUTED_VALUE"""),3.0)</f>
        <v>3</v>
      </c>
      <c r="Z41" s="329">
        <f>IFERROR(__xludf.DUMMYFUNCTION("""COMPUTED_VALUE"""),1146.0)</f>
        <v>1146</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IFERROR(__xludf.DUMMYFUNCTION("""COMPUTED_VALUE"""),44114.0)</f>
        <v>44114</v>
      </c>
      <c r="B42" s="329">
        <f>IFERROR(__xludf.DUMMYFUNCTION("""COMPUTED_VALUE"""),232.0)</f>
        <v>232</v>
      </c>
      <c r="C42" s="329">
        <f>IFERROR(__xludf.DUMMYFUNCTION("""COMPUTED_VALUE"""),249.0)</f>
        <v>249</v>
      </c>
      <c r="D42" s="329">
        <f>IFERROR(__xludf.DUMMYFUNCTION("""COMPUTED_VALUE"""),36955.0)</f>
        <v>36955</v>
      </c>
      <c r="E42" s="329">
        <f>IFERROR(__xludf.DUMMYFUNCTION("""COMPUTED_VALUE"""),13829.0)</f>
        <v>13829</v>
      </c>
      <c r="F42" s="258">
        <f>IFERROR(__xludf.DUMMYFUNCTION("""COMPUTED_VALUE"""),862318.0)</f>
        <v>862318</v>
      </c>
      <c r="G42" s="258">
        <f>IFERROR(__xludf.DUMMYFUNCTION("""COMPUTED_VALUE"""),14061.0)</f>
        <v>14061</v>
      </c>
      <c r="H42" s="258">
        <f>IFERROR(__xludf.DUMMYFUNCTION("""COMPUTED_VALUE"""),899273.0)</f>
        <v>899273</v>
      </c>
      <c r="I42" s="329">
        <f>IFERROR(__xludf.DUMMYFUNCTION("""COMPUTED_VALUE"""),192.0)</f>
        <v>192</v>
      </c>
      <c r="J42" s="329">
        <f>IFERROR(__xludf.DUMMYFUNCTION("""COMPUTED_VALUE"""),222.0)</f>
        <v>222</v>
      </c>
      <c r="K42" s="329">
        <f>IFERROR(__xludf.DUMMYFUNCTION("""COMPUTED_VALUE"""),26803.0)</f>
        <v>26803</v>
      </c>
      <c r="L42" s="329">
        <f>IFERROR(__xludf.DUMMYFUNCTION("""COMPUTED_VALUE"""),3459.0)</f>
        <v>3459</v>
      </c>
      <c r="M42" s="329">
        <f>IFERROR(__xludf.DUMMYFUNCTION("""COMPUTED_VALUE"""),315145.0)</f>
        <v>315145</v>
      </c>
      <c r="N42" s="329">
        <f>IFERROR(__xludf.DUMMYFUNCTION("""COMPUTED_VALUE"""),341948.0)</f>
        <v>341948</v>
      </c>
      <c r="O42" s="329">
        <f>IFERROR(__xludf.DUMMYFUNCTION("""COMPUTED_VALUE"""),18.0)</f>
        <v>18</v>
      </c>
      <c r="P42" s="329">
        <f>IFERROR(__xludf.DUMMYFUNCTION("""COMPUTED_VALUE"""),2899.0)</f>
        <v>2899</v>
      </c>
      <c r="Q42" s="329">
        <f>IFERROR(__xludf.DUMMYFUNCTION("""COMPUTED_VALUE"""),9.0)</f>
        <v>9</v>
      </c>
      <c r="R42" s="329">
        <f>IFERROR(__xludf.DUMMYFUNCTION("""COMPUTED_VALUE"""),2395.0)</f>
        <v>2395</v>
      </c>
      <c r="S42" s="329">
        <f>IFERROR(__xludf.DUMMYFUNCTION("""COMPUTED_VALUE"""),1.0)</f>
        <v>1</v>
      </c>
      <c r="T42" s="329">
        <f>IFERROR(__xludf.DUMMYFUNCTION("""COMPUTED_VALUE"""),373.0)</f>
        <v>373</v>
      </c>
      <c r="U42" s="329">
        <f>IFERROR(__xludf.DUMMYFUNCTION("""COMPUTED_VALUE"""),131.0)</f>
        <v>131</v>
      </c>
      <c r="V42" s="329">
        <f>IFERROR(__xludf.DUMMYFUNCTION("""COMPUTED_VALUE"""),123.0)</f>
        <v>123</v>
      </c>
      <c r="W42" s="329">
        <f>IFERROR(__xludf.DUMMYFUNCTION("""COMPUTED_VALUE"""),13.0)</f>
        <v>13</v>
      </c>
      <c r="X42" s="329">
        <f>IFERROR(__xludf.DUMMYFUNCTION("""COMPUTED_VALUE"""),7.0)</f>
        <v>7</v>
      </c>
      <c r="Y42" s="329">
        <f>IFERROR(__xludf.DUMMYFUNCTION("""COMPUTED_VALUE"""),2.0)</f>
        <v>2</v>
      </c>
      <c r="Z42" s="329">
        <f>IFERROR(__xludf.DUMMYFUNCTION("""COMPUTED_VALUE"""),1148.0)</f>
        <v>1148</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IFERROR(__xludf.DUMMYFUNCTION("""COMPUTED_VALUE"""),44115.0)</f>
        <v>44115</v>
      </c>
      <c r="B43" s="329">
        <f>IFERROR(__xludf.DUMMYFUNCTION("""COMPUTED_VALUE"""),100.0)</f>
        <v>100</v>
      </c>
      <c r="C43" s="329">
        <f>IFERROR(__xludf.DUMMYFUNCTION("""COMPUTED_VALUE"""),188.0)</f>
        <v>188</v>
      </c>
      <c r="D43" s="329">
        <f>IFERROR(__xludf.DUMMYFUNCTION("""COMPUTED_VALUE"""),37055.0)</f>
        <v>37055</v>
      </c>
      <c r="E43" s="329">
        <f>IFERROR(__xludf.DUMMYFUNCTION("""COMPUTED_VALUE"""),3264.0)</f>
        <v>3264</v>
      </c>
      <c r="F43" s="258">
        <f>IFERROR(__xludf.DUMMYFUNCTION("""COMPUTED_VALUE"""),865582.0)</f>
        <v>865582</v>
      </c>
      <c r="G43" s="258">
        <f>IFERROR(__xludf.DUMMYFUNCTION("""COMPUTED_VALUE"""),3364.0)</f>
        <v>3364</v>
      </c>
      <c r="H43" s="258">
        <f>IFERROR(__xludf.DUMMYFUNCTION("""COMPUTED_VALUE"""),902637.0)</f>
        <v>902637</v>
      </c>
      <c r="I43" s="329">
        <f>IFERROR(__xludf.DUMMYFUNCTION("""COMPUTED_VALUE"""),88.0)</f>
        <v>88</v>
      </c>
      <c r="J43" s="329">
        <f>IFERROR(__xludf.DUMMYFUNCTION("""COMPUTED_VALUE"""),160.0)</f>
        <v>160</v>
      </c>
      <c r="K43" s="329">
        <f>IFERROR(__xludf.DUMMYFUNCTION("""COMPUTED_VALUE"""),26891.0)</f>
        <v>26891</v>
      </c>
      <c r="L43" s="329">
        <f>IFERROR(__xludf.DUMMYFUNCTION("""COMPUTED_VALUE"""),1078.0)</f>
        <v>1078</v>
      </c>
      <c r="M43" s="329">
        <f>IFERROR(__xludf.DUMMYFUNCTION("""COMPUTED_VALUE"""),316223.0)</f>
        <v>316223</v>
      </c>
      <c r="N43" s="329">
        <f>IFERROR(__xludf.DUMMYFUNCTION("""COMPUTED_VALUE"""),343114.0)</f>
        <v>343114</v>
      </c>
      <c r="O43" s="329">
        <f>IFERROR(__xludf.DUMMYFUNCTION("""COMPUTED_VALUE"""),11.0)</f>
        <v>11</v>
      </c>
      <c r="P43" s="329">
        <f>IFERROR(__xludf.DUMMYFUNCTION("""COMPUTED_VALUE"""),2910.0)</f>
        <v>2910</v>
      </c>
      <c r="Q43" s="329">
        <f>IFERROR(__xludf.DUMMYFUNCTION("""COMPUTED_VALUE"""),8.0)</f>
        <v>8</v>
      </c>
      <c r="R43" s="329">
        <f>IFERROR(__xludf.DUMMYFUNCTION("""COMPUTED_VALUE"""),2403.0)</f>
        <v>2403</v>
      </c>
      <c r="S43" s="329">
        <f>IFERROR(__xludf.DUMMYFUNCTION("""COMPUTED_VALUE"""),1.0)</f>
        <v>1</v>
      </c>
      <c r="T43" s="329">
        <f>IFERROR(__xludf.DUMMYFUNCTION("""COMPUTED_VALUE"""),374.0)</f>
        <v>374</v>
      </c>
      <c r="U43" s="329">
        <f>IFERROR(__xludf.DUMMYFUNCTION("""COMPUTED_VALUE"""),133.0)</f>
        <v>133</v>
      </c>
      <c r="V43" s="329">
        <f>IFERROR(__xludf.DUMMYFUNCTION("""COMPUTED_VALUE"""),129.0)</f>
        <v>129</v>
      </c>
      <c r="W43" s="329">
        <f>IFERROR(__xludf.DUMMYFUNCTION("""COMPUTED_VALUE"""),14.0)</f>
        <v>14</v>
      </c>
      <c r="X43" s="329">
        <f>IFERROR(__xludf.DUMMYFUNCTION("""COMPUTED_VALUE"""),5.0)</f>
        <v>5</v>
      </c>
      <c r="Y43" s="329">
        <f>IFERROR(__xludf.DUMMYFUNCTION("""COMPUTED_VALUE"""),6.0)</f>
        <v>6</v>
      </c>
      <c r="Z43" s="329">
        <f>IFERROR(__xludf.DUMMYFUNCTION("""COMPUTED_VALUE"""),1154.0)</f>
        <v>1154</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IFERROR(__xludf.DUMMYFUNCTION("""COMPUTED_VALUE"""),44116.0)</f>
        <v>44116</v>
      </c>
      <c r="B44" s="329">
        <f>IFERROR(__xludf.DUMMYFUNCTION("""COMPUTED_VALUE"""),170.0)</f>
        <v>170</v>
      </c>
      <c r="C44" s="329">
        <f>IFERROR(__xludf.DUMMYFUNCTION("""COMPUTED_VALUE"""),167.0)</f>
        <v>167</v>
      </c>
      <c r="D44" s="329">
        <f>IFERROR(__xludf.DUMMYFUNCTION("""COMPUTED_VALUE"""),37225.0)</f>
        <v>37225</v>
      </c>
      <c r="E44" s="329">
        <f>IFERROR(__xludf.DUMMYFUNCTION("""COMPUTED_VALUE"""),6420.0)</f>
        <v>6420</v>
      </c>
      <c r="F44" s="258">
        <f>IFERROR(__xludf.DUMMYFUNCTION("""COMPUTED_VALUE"""),872002.0)</f>
        <v>872002</v>
      </c>
      <c r="G44" s="258">
        <f>IFERROR(__xludf.DUMMYFUNCTION("""COMPUTED_VALUE"""),6590.0)</f>
        <v>6590</v>
      </c>
      <c r="H44" s="258">
        <f>IFERROR(__xludf.DUMMYFUNCTION("""COMPUTED_VALUE"""),909227.0)</f>
        <v>909227</v>
      </c>
      <c r="I44" s="329">
        <f>IFERROR(__xludf.DUMMYFUNCTION("""COMPUTED_VALUE"""),157.0)</f>
        <v>157</v>
      </c>
      <c r="J44" s="329">
        <f>IFERROR(__xludf.DUMMYFUNCTION("""COMPUTED_VALUE"""),146.0)</f>
        <v>146</v>
      </c>
      <c r="K44" s="329">
        <f>IFERROR(__xludf.DUMMYFUNCTION("""COMPUTED_VALUE"""),27048.0)</f>
        <v>27048</v>
      </c>
      <c r="L44" s="329">
        <f>IFERROR(__xludf.DUMMYFUNCTION("""COMPUTED_VALUE"""),1588.0)</f>
        <v>1588</v>
      </c>
      <c r="M44" s="329">
        <f>IFERROR(__xludf.DUMMYFUNCTION("""COMPUTED_VALUE"""),317811.0)</f>
        <v>317811</v>
      </c>
      <c r="N44" s="329">
        <f>IFERROR(__xludf.DUMMYFUNCTION("""COMPUTED_VALUE"""),344859.0)</f>
        <v>344859</v>
      </c>
      <c r="O44" s="329">
        <f>IFERROR(__xludf.DUMMYFUNCTION("""COMPUTED_VALUE"""),19.0)</f>
        <v>19</v>
      </c>
      <c r="P44" s="329">
        <f>IFERROR(__xludf.DUMMYFUNCTION("""COMPUTED_VALUE"""),2929.0)</f>
        <v>2929</v>
      </c>
      <c r="Q44" s="329">
        <f>IFERROR(__xludf.DUMMYFUNCTION("""COMPUTED_VALUE"""),15.0)</f>
        <v>15</v>
      </c>
      <c r="R44" s="329">
        <f>IFERROR(__xludf.DUMMYFUNCTION("""COMPUTED_VALUE"""),2418.0)</f>
        <v>2418</v>
      </c>
      <c r="S44" s="329">
        <f>IFERROR(__xludf.DUMMYFUNCTION("""COMPUTED_VALUE"""),2.0)</f>
        <v>2</v>
      </c>
      <c r="T44" s="329">
        <f>IFERROR(__xludf.DUMMYFUNCTION("""COMPUTED_VALUE"""),376.0)</f>
        <v>376</v>
      </c>
      <c r="U44" s="329">
        <f>IFERROR(__xludf.DUMMYFUNCTION("""COMPUTED_VALUE"""),135.0)</f>
        <v>135</v>
      </c>
      <c r="V44" s="329">
        <f>IFERROR(__xludf.DUMMYFUNCTION("""COMPUTED_VALUE"""),133.0)</f>
        <v>133</v>
      </c>
      <c r="W44" s="329">
        <f>IFERROR(__xludf.DUMMYFUNCTION("""COMPUTED_VALUE"""),14.0)</f>
        <v>14</v>
      </c>
      <c r="X44" s="329">
        <f>IFERROR(__xludf.DUMMYFUNCTION("""COMPUTED_VALUE"""),5.0)</f>
        <v>5</v>
      </c>
      <c r="Y44" s="329">
        <f>IFERROR(__xludf.DUMMYFUNCTION("""COMPUTED_VALUE"""),5.0)</f>
        <v>5</v>
      </c>
      <c r="Z44" s="329">
        <f>IFERROR(__xludf.DUMMYFUNCTION("""COMPUTED_VALUE"""),1159.0)</f>
        <v>1159</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IFERROR(__xludf.DUMMYFUNCTION("""COMPUTED_VALUE"""),44117.0)</f>
        <v>44117</v>
      </c>
      <c r="B45" s="329">
        <f>IFERROR(__xludf.DUMMYFUNCTION("""COMPUTED_VALUE"""),230.0)</f>
        <v>230</v>
      </c>
      <c r="C45" s="329">
        <f>IFERROR(__xludf.DUMMYFUNCTION("""COMPUTED_VALUE"""),167.0)</f>
        <v>167</v>
      </c>
      <c r="D45" s="329">
        <f>IFERROR(__xludf.DUMMYFUNCTION("""COMPUTED_VALUE"""),37455.0)</f>
        <v>37455</v>
      </c>
      <c r="E45" s="329">
        <f>IFERROR(__xludf.DUMMYFUNCTION("""COMPUTED_VALUE"""),8518.0)</f>
        <v>8518</v>
      </c>
      <c r="F45" s="258">
        <f>IFERROR(__xludf.DUMMYFUNCTION("""COMPUTED_VALUE"""),880520.0)</f>
        <v>880520</v>
      </c>
      <c r="G45" s="258">
        <f>IFERROR(__xludf.DUMMYFUNCTION("""COMPUTED_VALUE"""),8748.0)</f>
        <v>8748</v>
      </c>
      <c r="H45" s="258">
        <f>IFERROR(__xludf.DUMMYFUNCTION("""COMPUTED_VALUE"""),917975.0)</f>
        <v>917975</v>
      </c>
      <c r="I45" s="329">
        <f>IFERROR(__xludf.DUMMYFUNCTION("""COMPUTED_VALUE"""),213.0)</f>
        <v>213</v>
      </c>
      <c r="J45" s="329">
        <f>IFERROR(__xludf.DUMMYFUNCTION("""COMPUTED_VALUE"""),153.0)</f>
        <v>153</v>
      </c>
      <c r="K45" s="329">
        <f>IFERROR(__xludf.DUMMYFUNCTION("""COMPUTED_VALUE"""),27261.0)</f>
        <v>27261</v>
      </c>
      <c r="L45" s="329">
        <f>IFERROR(__xludf.DUMMYFUNCTION("""COMPUTED_VALUE"""),2145.0)</f>
        <v>2145</v>
      </c>
      <c r="M45" s="329">
        <f>IFERROR(__xludf.DUMMYFUNCTION("""COMPUTED_VALUE"""),319956.0)</f>
        <v>319956</v>
      </c>
      <c r="N45" s="329">
        <f>IFERROR(__xludf.DUMMYFUNCTION("""COMPUTED_VALUE"""),347217.0)</f>
        <v>347217</v>
      </c>
      <c r="O45" s="329">
        <f>IFERROR(__xludf.DUMMYFUNCTION("""COMPUTED_VALUE"""),16.0)</f>
        <v>16</v>
      </c>
      <c r="P45" s="329">
        <f>IFERROR(__xludf.DUMMYFUNCTION("""COMPUTED_VALUE"""),2945.0)</f>
        <v>2945</v>
      </c>
      <c r="Q45" s="329">
        <f>IFERROR(__xludf.DUMMYFUNCTION("""COMPUTED_VALUE"""),13.0)</f>
        <v>13</v>
      </c>
      <c r="R45" s="329">
        <f>IFERROR(__xludf.DUMMYFUNCTION("""COMPUTED_VALUE"""),2431.0)</f>
        <v>2431</v>
      </c>
      <c r="S45" s="329">
        <f>IFERROR(__xludf.DUMMYFUNCTION("""COMPUTED_VALUE"""),4.0)</f>
        <v>4</v>
      </c>
      <c r="T45" s="329">
        <f>IFERROR(__xludf.DUMMYFUNCTION("""COMPUTED_VALUE"""),380.0)</f>
        <v>380</v>
      </c>
      <c r="U45" s="329">
        <f>IFERROR(__xludf.DUMMYFUNCTION("""COMPUTED_VALUE"""),134.0)</f>
        <v>134</v>
      </c>
      <c r="V45" s="329">
        <f>IFERROR(__xludf.DUMMYFUNCTION("""COMPUTED_VALUE"""),134.0)</f>
        <v>134</v>
      </c>
      <c r="W45" s="329">
        <f>IFERROR(__xludf.DUMMYFUNCTION("""COMPUTED_VALUE"""),13.0)</f>
        <v>13</v>
      </c>
      <c r="X45" s="329">
        <f>IFERROR(__xludf.DUMMYFUNCTION("""COMPUTED_VALUE"""),5.0)</f>
        <v>5</v>
      </c>
      <c r="Y45" s="329">
        <f>IFERROR(__xludf.DUMMYFUNCTION("""COMPUTED_VALUE"""),7.0)</f>
        <v>7</v>
      </c>
      <c r="Z45" s="329">
        <f>IFERROR(__xludf.DUMMYFUNCTION("""COMPUTED_VALUE"""),1166.0)</f>
        <v>1166</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IFERROR(__xludf.DUMMYFUNCTION("""COMPUTED_VALUE"""),44118.0)</f>
        <v>44118</v>
      </c>
      <c r="B46" s="329">
        <f>IFERROR(__xludf.DUMMYFUNCTION("""COMPUTED_VALUE"""),351.0)</f>
        <v>351</v>
      </c>
      <c r="C46" s="329">
        <f>IFERROR(__xludf.DUMMYFUNCTION("""COMPUTED_VALUE"""),250.0)</f>
        <v>250</v>
      </c>
      <c r="D46" s="329">
        <f>IFERROR(__xludf.DUMMYFUNCTION("""COMPUTED_VALUE"""),37806.0)</f>
        <v>37806</v>
      </c>
      <c r="E46" s="329">
        <f>IFERROR(__xludf.DUMMYFUNCTION("""COMPUTED_VALUE"""),15033.0)</f>
        <v>15033</v>
      </c>
      <c r="F46" s="258">
        <f>IFERROR(__xludf.DUMMYFUNCTION("""COMPUTED_VALUE"""),895553.0)</f>
        <v>895553</v>
      </c>
      <c r="G46" s="258">
        <f>IFERROR(__xludf.DUMMYFUNCTION("""COMPUTED_VALUE"""),15384.0)</f>
        <v>15384</v>
      </c>
      <c r="H46" s="258">
        <f>IFERROR(__xludf.DUMMYFUNCTION("""COMPUTED_VALUE"""),933359.0)</f>
        <v>933359</v>
      </c>
      <c r="I46" s="329">
        <f>IFERROR(__xludf.DUMMYFUNCTION("""COMPUTED_VALUE"""),305.0)</f>
        <v>305</v>
      </c>
      <c r="J46" s="329">
        <f>IFERROR(__xludf.DUMMYFUNCTION("""COMPUTED_VALUE"""),225.0)</f>
        <v>225</v>
      </c>
      <c r="K46" s="329">
        <f>IFERROR(__xludf.DUMMYFUNCTION("""COMPUTED_VALUE"""),27566.0)</f>
        <v>27566</v>
      </c>
      <c r="L46" s="329">
        <f>IFERROR(__xludf.DUMMYFUNCTION("""COMPUTED_VALUE"""),3700.0)</f>
        <v>3700</v>
      </c>
      <c r="M46" s="329">
        <f>IFERROR(__xludf.DUMMYFUNCTION("""COMPUTED_VALUE"""),323656.0)</f>
        <v>323656</v>
      </c>
      <c r="N46" s="329">
        <f>IFERROR(__xludf.DUMMYFUNCTION("""COMPUTED_VALUE"""),351222.0)</f>
        <v>351222</v>
      </c>
      <c r="O46" s="329">
        <f>IFERROR(__xludf.DUMMYFUNCTION("""COMPUTED_VALUE"""),17.0)</f>
        <v>17</v>
      </c>
      <c r="P46" s="329">
        <f>IFERROR(__xludf.DUMMYFUNCTION("""COMPUTED_VALUE"""),2962.0)</f>
        <v>2962</v>
      </c>
      <c r="Q46" s="329">
        <f>IFERROR(__xludf.DUMMYFUNCTION("""COMPUTED_VALUE"""),7.0)</f>
        <v>7</v>
      </c>
      <c r="R46" s="329">
        <f>IFERROR(__xludf.DUMMYFUNCTION("""COMPUTED_VALUE"""),2438.0)</f>
        <v>2438</v>
      </c>
      <c r="S46" s="329">
        <f>IFERROR(__xludf.DUMMYFUNCTION("""COMPUTED_VALUE"""),0.0)</f>
        <v>0</v>
      </c>
      <c r="T46" s="329">
        <f>IFERROR(__xludf.DUMMYFUNCTION("""COMPUTED_VALUE"""),380.0)</f>
        <v>380</v>
      </c>
      <c r="U46" s="329">
        <f>IFERROR(__xludf.DUMMYFUNCTION("""COMPUTED_VALUE"""),144.0)</f>
        <v>144</v>
      </c>
      <c r="V46" s="329">
        <f>IFERROR(__xludf.DUMMYFUNCTION("""COMPUTED_VALUE"""),138.0)</f>
        <v>138</v>
      </c>
      <c r="W46" s="329">
        <f>IFERROR(__xludf.DUMMYFUNCTION("""COMPUTED_VALUE"""),15.0)</f>
        <v>15</v>
      </c>
      <c r="X46" s="329">
        <f>IFERROR(__xludf.DUMMYFUNCTION("""COMPUTED_VALUE"""),5.0)</f>
        <v>5</v>
      </c>
      <c r="Y46" s="329">
        <f>IFERROR(__xludf.DUMMYFUNCTION("""COMPUTED_VALUE"""),2.0)</f>
        <v>2</v>
      </c>
      <c r="Z46" s="329">
        <f>IFERROR(__xludf.DUMMYFUNCTION("""COMPUTED_VALUE"""),1168.0)</f>
        <v>1168</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IFERROR(__xludf.DUMMYFUNCTION("""COMPUTED_VALUE"""),44119.0)</f>
        <v>44119</v>
      </c>
      <c r="B47" s="329">
        <f>IFERROR(__xludf.DUMMYFUNCTION("""COMPUTED_VALUE"""),276.0)</f>
        <v>276</v>
      </c>
      <c r="C47" s="329">
        <f>IFERROR(__xludf.DUMMYFUNCTION("""COMPUTED_VALUE"""),286.0)</f>
        <v>286</v>
      </c>
      <c r="D47" s="329">
        <f>IFERROR(__xludf.DUMMYFUNCTION("""COMPUTED_VALUE"""),38082.0)</f>
        <v>38082</v>
      </c>
      <c r="E47" s="329">
        <f>IFERROR(__xludf.DUMMYFUNCTION("""COMPUTED_VALUE"""),14627.0)</f>
        <v>14627</v>
      </c>
      <c r="F47" s="258">
        <f>IFERROR(__xludf.DUMMYFUNCTION("""COMPUTED_VALUE"""),910180.0)</f>
        <v>910180</v>
      </c>
      <c r="G47" s="258">
        <f>IFERROR(__xludf.DUMMYFUNCTION("""COMPUTED_VALUE"""),14903.0)</f>
        <v>14903</v>
      </c>
      <c r="H47" s="258">
        <f>IFERROR(__xludf.DUMMYFUNCTION("""COMPUTED_VALUE"""),948262.0)</f>
        <v>948262</v>
      </c>
      <c r="I47" s="329">
        <f>IFERROR(__xludf.DUMMYFUNCTION("""COMPUTED_VALUE"""),252.0)</f>
        <v>252</v>
      </c>
      <c r="J47" s="329">
        <f>IFERROR(__xludf.DUMMYFUNCTION("""COMPUTED_VALUE"""),257.0)</f>
        <v>257</v>
      </c>
      <c r="K47" s="329">
        <f>IFERROR(__xludf.DUMMYFUNCTION("""COMPUTED_VALUE"""),27818.0)</f>
        <v>27818</v>
      </c>
      <c r="L47" s="329">
        <f>IFERROR(__xludf.DUMMYFUNCTION("""COMPUTED_VALUE"""),3292.0)</f>
        <v>3292</v>
      </c>
      <c r="M47" s="329">
        <f>IFERROR(__xludf.DUMMYFUNCTION("""COMPUTED_VALUE"""),326948.0)</f>
        <v>326948</v>
      </c>
      <c r="N47" s="329">
        <f>IFERROR(__xludf.DUMMYFUNCTION("""COMPUTED_VALUE"""),354766.0)</f>
        <v>354766</v>
      </c>
      <c r="O47" s="329">
        <f>IFERROR(__xludf.DUMMYFUNCTION("""COMPUTED_VALUE"""),11.0)</f>
        <v>11</v>
      </c>
      <c r="P47" s="329">
        <f>IFERROR(__xludf.DUMMYFUNCTION("""COMPUTED_VALUE"""),2973.0)</f>
        <v>2973</v>
      </c>
      <c r="Q47" s="329">
        <f>IFERROR(__xludf.DUMMYFUNCTION("""COMPUTED_VALUE"""),15.0)</f>
        <v>15</v>
      </c>
      <c r="R47" s="329">
        <f>IFERROR(__xludf.DUMMYFUNCTION("""COMPUTED_VALUE"""),2453.0)</f>
        <v>2453</v>
      </c>
      <c r="S47" s="329">
        <f>IFERROR(__xludf.DUMMYFUNCTION("""COMPUTED_VALUE"""),1.0)</f>
        <v>1</v>
      </c>
      <c r="T47" s="329">
        <f>IFERROR(__xludf.DUMMYFUNCTION("""COMPUTED_VALUE"""),381.0)</f>
        <v>381</v>
      </c>
      <c r="U47" s="329">
        <f>IFERROR(__xludf.DUMMYFUNCTION("""COMPUTED_VALUE"""),139.0)</f>
        <v>139</v>
      </c>
      <c r="V47" s="329">
        <f>IFERROR(__xludf.DUMMYFUNCTION("""COMPUTED_VALUE"""),139.0)</f>
        <v>139</v>
      </c>
      <c r="W47" s="329">
        <f>IFERROR(__xludf.DUMMYFUNCTION("""COMPUTED_VALUE"""),13.0)</f>
        <v>13</v>
      </c>
      <c r="X47" s="329">
        <f>IFERROR(__xludf.DUMMYFUNCTION("""COMPUTED_VALUE"""),5.0)</f>
        <v>5</v>
      </c>
      <c r="Y47" s="329">
        <f>IFERROR(__xludf.DUMMYFUNCTION("""COMPUTED_VALUE"""),2.0)</f>
        <v>2</v>
      </c>
      <c r="Z47" s="329">
        <f>IFERROR(__xludf.DUMMYFUNCTION("""COMPUTED_VALUE"""),1170.0)</f>
        <v>1170</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IFERROR(__xludf.DUMMYFUNCTION("""COMPUTED_VALUE"""),44120.0)</f>
        <v>44120</v>
      </c>
      <c r="B48" s="329">
        <f>IFERROR(__xludf.DUMMYFUNCTION("""COMPUTED_VALUE"""),291.0)</f>
        <v>291</v>
      </c>
      <c r="C48" s="329">
        <f>IFERROR(__xludf.DUMMYFUNCTION("""COMPUTED_VALUE"""),306.0)</f>
        <v>306</v>
      </c>
      <c r="D48" s="329">
        <f>IFERROR(__xludf.DUMMYFUNCTION("""COMPUTED_VALUE"""),38373.0)</f>
        <v>38373</v>
      </c>
      <c r="E48" s="329">
        <f>IFERROR(__xludf.DUMMYFUNCTION("""COMPUTED_VALUE"""),15008.0)</f>
        <v>15008</v>
      </c>
      <c r="F48" s="258">
        <f>IFERROR(__xludf.DUMMYFUNCTION("""COMPUTED_VALUE"""),925188.0)</f>
        <v>925188</v>
      </c>
      <c r="G48" s="258">
        <f>IFERROR(__xludf.DUMMYFUNCTION("""COMPUTED_VALUE"""),15299.0)</f>
        <v>15299</v>
      </c>
      <c r="H48" s="258">
        <f>IFERROR(__xludf.DUMMYFUNCTION("""COMPUTED_VALUE"""),963561.0)</f>
        <v>963561</v>
      </c>
      <c r="I48" s="329">
        <f>IFERROR(__xludf.DUMMYFUNCTION("""COMPUTED_VALUE"""),276.0)</f>
        <v>276</v>
      </c>
      <c r="J48" s="329">
        <f>IFERROR(__xludf.DUMMYFUNCTION("""COMPUTED_VALUE"""),278.0)</f>
        <v>278</v>
      </c>
      <c r="K48" s="329">
        <f>IFERROR(__xludf.DUMMYFUNCTION("""COMPUTED_VALUE"""),28094.0)</f>
        <v>28094</v>
      </c>
      <c r="L48" s="329">
        <f>IFERROR(__xludf.DUMMYFUNCTION("""COMPUTED_VALUE"""),3088.0)</f>
        <v>3088</v>
      </c>
      <c r="M48" s="329">
        <f>IFERROR(__xludf.DUMMYFUNCTION("""COMPUTED_VALUE"""),330036.0)</f>
        <v>330036</v>
      </c>
      <c r="N48" s="329">
        <f>IFERROR(__xludf.DUMMYFUNCTION("""COMPUTED_VALUE"""),358130.0)</f>
        <v>358130</v>
      </c>
      <c r="O48" s="329">
        <f>IFERROR(__xludf.DUMMYFUNCTION("""COMPUTED_VALUE"""),13.0)</f>
        <v>13</v>
      </c>
      <c r="P48" s="329">
        <f>IFERROR(__xludf.DUMMYFUNCTION("""COMPUTED_VALUE"""),2986.0)</f>
        <v>2986</v>
      </c>
      <c r="Q48" s="329">
        <f>IFERROR(__xludf.DUMMYFUNCTION("""COMPUTED_VALUE"""),18.0)</f>
        <v>18</v>
      </c>
      <c r="R48" s="329">
        <f>IFERROR(__xludf.DUMMYFUNCTION("""COMPUTED_VALUE"""),2471.0)</f>
        <v>2471</v>
      </c>
      <c r="S48" s="329">
        <f>IFERROR(__xludf.DUMMYFUNCTION("""COMPUTED_VALUE"""),1.0)</f>
        <v>1</v>
      </c>
      <c r="T48" s="329">
        <f>IFERROR(__xludf.DUMMYFUNCTION("""COMPUTED_VALUE"""),382.0)</f>
        <v>382</v>
      </c>
      <c r="U48" s="329">
        <f>IFERROR(__xludf.DUMMYFUNCTION("""COMPUTED_VALUE"""),133.0)</f>
        <v>133</v>
      </c>
      <c r="V48" s="329">
        <f>IFERROR(__xludf.DUMMYFUNCTION("""COMPUTED_VALUE"""),139.0)</f>
        <v>139</v>
      </c>
      <c r="W48" s="329">
        <f>IFERROR(__xludf.DUMMYFUNCTION("""COMPUTED_VALUE"""),13.0)</f>
        <v>13</v>
      </c>
      <c r="X48" s="329">
        <f>IFERROR(__xludf.DUMMYFUNCTION("""COMPUTED_VALUE"""),4.0)</f>
        <v>4</v>
      </c>
      <c r="Y48" s="329">
        <f>IFERROR(__xludf.DUMMYFUNCTION("""COMPUTED_VALUE"""),2.0)</f>
        <v>2</v>
      </c>
      <c r="Z48" s="329">
        <f>IFERROR(__xludf.DUMMYFUNCTION("""COMPUTED_VALUE"""),1172.0)</f>
        <v>1172</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IFERROR(__xludf.DUMMYFUNCTION("""COMPUTED_VALUE"""),44121.0)</f>
        <v>44121</v>
      </c>
      <c r="B49" s="329">
        <f>IFERROR(__xludf.DUMMYFUNCTION("""COMPUTED_VALUE"""),363.0)</f>
        <v>363</v>
      </c>
      <c r="C49" s="329">
        <f>IFERROR(__xludf.DUMMYFUNCTION("""COMPUTED_VALUE"""),310.0)</f>
        <v>310</v>
      </c>
      <c r="D49" s="329">
        <f>IFERROR(__xludf.DUMMYFUNCTION("""COMPUTED_VALUE"""),38736.0)</f>
        <v>38736</v>
      </c>
      <c r="E49" s="329">
        <f>IFERROR(__xludf.DUMMYFUNCTION("""COMPUTED_VALUE"""),14062.0)</f>
        <v>14062</v>
      </c>
      <c r="F49" s="258">
        <f>IFERROR(__xludf.DUMMYFUNCTION("""COMPUTED_VALUE"""),939250.0)</f>
        <v>939250</v>
      </c>
      <c r="G49" s="258">
        <f>IFERROR(__xludf.DUMMYFUNCTION("""COMPUTED_VALUE"""),14425.0)</f>
        <v>14425</v>
      </c>
      <c r="H49" s="258">
        <f>IFERROR(__xludf.DUMMYFUNCTION("""COMPUTED_VALUE"""),977986.0)</f>
        <v>977986</v>
      </c>
      <c r="I49" s="329">
        <f>IFERROR(__xludf.DUMMYFUNCTION("""COMPUTED_VALUE"""),308.0)</f>
        <v>308</v>
      </c>
      <c r="J49" s="329">
        <f>IFERROR(__xludf.DUMMYFUNCTION("""COMPUTED_VALUE"""),279.0)</f>
        <v>279</v>
      </c>
      <c r="K49" s="329">
        <f>IFERROR(__xludf.DUMMYFUNCTION("""COMPUTED_VALUE"""),28402.0)</f>
        <v>28402</v>
      </c>
      <c r="L49" s="329">
        <f>IFERROR(__xludf.DUMMYFUNCTION("""COMPUTED_VALUE"""),2977.0)</f>
        <v>2977</v>
      </c>
      <c r="M49" s="329">
        <f>IFERROR(__xludf.DUMMYFUNCTION("""COMPUTED_VALUE"""),333013.0)</f>
        <v>333013</v>
      </c>
      <c r="N49" s="329">
        <f>IFERROR(__xludf.DUMMYFUNCTION("""COMPUTED_VALUE"""),361415.0)</f>
        <v>361415</v>
      </c>
      <c r="O49" s="329">
        <f>IFERROR(__xludf.DUMMYFUNCTION("""COMPUTED_VALUE"""),19.0)</f>
        <v>19</v>
      </c>
      <c r="P49" s="329">
        <f>IFERROR(__xludf.DUMMYFUNCTION("""COMPUTED_VALUE"""),3005.0)</f>
        <v>3005</v>
      </c>
      <c r="Q49" s="329">
        <f>IFERROR(__xludf.DUMMYFUNCTION("""COMPUTED_VALUE"""),11.0)</f>
        <v>11</v>
      </c>
      <c r="R49" s="329">
        <f>IFERROR(__xludf.DUMMYFUNCTION("""COMPUTED_VALUE"""),2482.0)</f>
        <v>2482</v>
      </c>
      <c r="S49" s="329">
        <f>IFERROR(__xludf.DUMMYFUNCTION("""COMPUTED_VALUE"""),1.0)</f>
        <v>1</v>
      </c>
      <c r="T49" s="329">
        <f>IFERROR(__xludf.DUMMYFUNCTION("""COMPUTED_VALUE"""),383.0)</f>
        <v>383</v>
      </c>
      <c r="U49" s="329">
        <f>IFERROR(__xludf.DUMMYFUNCTION("""COMPUTED_VALUE"""),140.0)</f>
        <v>140</v>
      </c>
      <c r="V49" s="329">
        <f>IFERROR(__xludf.DUMMYFUNCTION("""COMPUTED_VALUE"""),137.0)</f>
        <v>137</v>
      </c>
      <c r="W49" s="329">
        <f>IFERROR(__xludf.DUMMYFUNCTION("""COMPUTED_VALUE"""),17.0)</f>
        <v>17</v>
      </c>
      <c r="X49" s="329">
        <f>IFERROR(__xludf.DUMMYFUNCTION("""COMPUTED_VALUE"""),4.0)</f>
        <v>4</v>
      </c>
      <c r="Y49" s="329">
        <f>IFERROR(__xludf.DUMMYFUNCTION("""COMPUTED_VALUE"""),2.0)</f>
        <v>2</v>
      </c>
      <c r="Z49" s="329">
        <f>IFERROR(__xludf.DUMMYFUNCTION("""COMPUTED_VALUE"""),1174.0)</f>
        <v>1174</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IFERROR(__xludf.DUMMYFUNCTION("""COMPUTED_VALUE"""),44122.0)</f>
        <v>44122</v>
      </c>
      <c r="B50" s="329">
        <f>IFERROR(__xludf.DUMMYFUNCTION("""COMPUTED_VALUE"""),155.0)</f>
        <v>155</v>
      </c>
      <c r="C50" s="329">
        <f>IFERROR(__xludf.DUMMYFUNCTION("""COMPUTED_VALUE"""),270.0)</f>
        <v>270</v>
      </c>
      <c r="D50" s="329">
        <f>IFERROR(__xludf.DUMMYFUNCTION("""COMPUTED_VALUE"""),38891.0)</f>
        <v>38891</v>
      </c>
      <c r="E50" s="329">
        <f>IFERROR(__xludf.DUMMYFUNCTION("""COMPUTED_VALUE"""),4039.0)</f>
        <v>4039</v>
      </c>
      <c r="F50" s="258">
        <f>IFERROR(__xludf.DUMMYFUNCTION("""COMPUTED_VALUE"""),943289.0)</f>
        <v>943289</v>
      </c>
      <c r="G50" s="258">
        <f>IFERROR(__xludf.DUMMYFUNCTION("""COMPUTED_VALUE"""),4194.0)</f>
        <v>4194</v>
      </c>
      <c r="H50" s="258">
        <f>IFERROR(__xludf.DUMMYFUNCTION("""COMPUTED_VALUE"""),982180.0)</f>
        <v>982180</v>
      </c>
      <c r="I50" s="329">
        <f>IFERROR(__xludf.DUMMYFUNCTION("""COMPUTED_VALUE"""),125.0)</f>
        <v>125</v>
      </c>
      <c r="J50" s="329">
        <f>IFERROR(__xludf.DUMMYFUNCTION("""COMPUTED_VALUE"""),236.0)</f>
        <v>236</v>
      </c>
      <c r="K50" s="329">
        <f>IFERROR(__xludf.DUMMYFUNCTION("""COMPUTED_VALUE"""),28527.0)</f>
        <v>28527</v>
      </c>
      <c r="L50" s="329">
        <f>IFERROR(__xludf.DUMMYFUNCTION("""COMPUTED_VALUE"""),1202.0)</f>
        <v>1202</v>
      </c>
      <c r="M50" s="329">
        <f>IFERROR(__xludf.DUMMYFUNCTION("""COMPUTED_VALUE"""),334215.0)</f>
        <v>334215</v>
      </c>
      <c r="N50" s="329">
        <f>IFERROR(__xludf.DUMMYFUNCTION("""COMPUTED_VALUE"""),362742.0)</f>
        <v>362742</v>
      </c>
      <c r="O50" s="329">
        <f>IFERROR(__xludf.DUMMYFUNCTION("""COMPUTED_VALUE"""),18.0)</f>
        <v>18</v>
      </c>
      <c r="P50" s="329">
        <f>IFERROR(__xludf.DUMMYFUNCTION("""COMPUTED_VALUE"""),3023.0)</f>
        <v>3023</v>
      </c>
      <c r="Q50" s="329">
        <f>IFERROR(__xludf.DUMMYFUNCTION("""COMPUTED_VALUE"""),11.0)</f>
        <v>11</v>
      </c>
      <c r="R50" s="329">
        <f>IFERROR(__xludf.DUMMYFUNCTION("""COMPUTED_VALUE"""),2493.0)</f>
        <v>2493</v>
      </c>
      <c r="S50" s="329">
        <f>IFERROR(__xludf.DUMMYFUNCTION("""COMPUTED_VALUE"""),0.0)</f>
        <v>0</v>
      </c>
      <c r="T50" s="329">
        <f>IFERROR(__xludf.DUMMYFUNCTION("""COMPUTED_VALUE"""),383.0)</f>
        <v>383</v>
      </c>
      <c r="U50" s="329">
        <f>IFERROR(__xludf.DUMMYFUNCTION("""COMPUTED_VALUE"""),147.0)</f>
        <v>147</v>
      </c>
      <c r="V50" s="329">
        <f>IFERROR(__xludf.DUMMYFUNCTION("""COMPUTED_VALUE"""),140.0)</f>
        <v>140</v>
      </c>
      <c r="W50" s="329">
        <f>IFERROR(__xludf.DUMMYFUNCTION("""COMPUTED_VALUE"""),17.0)</f>
        <v>17</v>
      </c>
      <c r="X50" s="329">
        <f>IFERROR(__xludf.DUMMYFUNCTION("""COMPUTED_VALUE"""),6.0)</f>
        <v>6</v>
      </c>
      <c r="Y50" s="329">
        <f>IFERROR(__xludf.DUMMYFUNCTION("""COMPUTED_VALUE"""),2.0)</f>
        <v>2</v>
      </c>
      <c r="Z50" s="329">
        <f>IFERROR(__xludf.DUMMYFUNCTION("""COMPUTED_VALUE"""),1176.0)</f>
        <v>1176</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IFERROR(__xludf.DUMMYFUNCTION("""COMPUTED_VALUE"""),44123.0)</f>
        <v>44123</v>
      </c>
      <c r="B51" s="329">
        <f>IFERROR(__xludf.DUMMYFUNCTION("""COMPUTED_VALUE"""),388.0)</f>
        <v>388</v>
      </c>
      <c r="C51" s="329">
        <f>IFERROR(__xludf.DUMMYFUNCTION("""COMPUTED_VALUE"""),302.0)</f>
        <v>302</v>
      </c>
      <c r="D51" s="329">
        <f>IFERROR(__xludf.DUMMYFUNCTION("""COMPUTED_VALUE"""),39279.0)</f>
        <v>39279</v>
      </c>
      <c r="E51" s="329">
        <f>IFERROR(__xludf.DUMMYFUNCTION("""COMPUTED_VALUE"""),8493.0)</f>
        <v>8493</v>
      </c>
      <c r="F51" s="258">
        <f>IFERROR(__xludf.DUMMYFUNCTION("""COMPUTED_VALUE"""),951782.0)</f>
        <v>951782</v>
      </c>
      <c r="G51" s="258">
        <f>IFERROR(__xludf.DUMMYFUNCTION("""COMPUTED_VALUE"""),8881.0)</f>
        <v>8881</v>
      </c>
      <c r="H51" s="258">
        <f>IFERROR(__xludf.DUMMYFUNCTION("""COMPUTED_VALUE"""),991061.0)</f>
        <v>991061</v>
      </c>
      <c r="I51" s="329">
        <f>IFERROR(__xludf.DUMMYFUNCTION("""COMPUTED_VALUE"""),318.0)</f>
        <v>318</v>
      </c>
      <c r="J51" s="329">
        <f>IFERROR(__xludf.DUMMYFUNCTION("""COMPUTED_VALUE"""),250.0)</f>
        <v>250</v>
      </c>
      <c r="K51" s="329">
        <f>IFERROR(__xludf.DUMMYFUNCTION("""COMPUTED_VALUE"""),28845.0)</f>
        <v>28845</v>
      </c>
      <c r="L51" s="329">
        <f>IFERROR(__xludf.DUMMYFUNCTION("""COMPUTED_VALUE"""),2386.0)</f>
        <v>2386</v>
      </c>
      <c r="M51" s="329">
        <f>IFERROR(__xludf.DUMMYFUNCTION("""COMPUTED_VALUE"""),336601.0)</f>
        <v>336601</v>
      </c>
      <c r="N51" s="329">
        <f>IFERROR(__xludf.DUMMYFUNCTION("""COMPUTED_VALUE"""),365446.0)</f>
        <v>365446</v>
      </c>
      <c r="O51" s="329">
        <f>IFERROR(__xludf.DUMMYFUNCTION("""COMPUTED_VALUE"""),20.0)</f>
        <v>20</v>
      </c>
      <c r="P51" s="329">
        <f>IFERROR(__xludf.DUMMYFUNCTION("""COMPUTED_VALUE"""),3043.0)</f>
        <v>3043</v>
      </c>
      <c r="Q51" s="329">
        <f>IFERROR(__xludf.DUMMYFUNCTION("""COMPUTED_VALUE"""),21.0)</f>
        <v>21</v>
      </c>
      <c r="R51" s="329">
        <f>IFERROR(__xludf.DUMMYFUNCTION("""COMPUTED_VALUE"""),2514.0)</f>
        <v>2514</v>
      </c>
      <c r="S51" s="329">
        <f>IFERROR(__xludf.DUMMYFUNCTION("""COMPUTED_VALUE"""),2.0)</f>
        <v>2</v>
      </c>
      <c r="T51" s="329">
        <f>IFERROR(__xludf.DUMMYFUNCTION("""COMPUTED_VALUE"""),385.0)</f>
        <v>385</v>
      </c>
      <c r="U51" s="329">
        <f>IFERROR(__xludf.DUMMYFUNCTION("""COMPUTED_VALUE"""),144.0)</f>
        <v>144</v>
      </c>
      <c r="V51" s="329">
        <f>IFERROR(__xludf.DUMMYFUNCTION("""COMPUTED_VALUE"""),144.0)</f>
        <v>144</v>
      </c>
      <c r="W51" s="329">
        <f>IFERROR(__xludf.DUMMYFUNCTION("""COMPUTED_VALUE"""),15.0)</f>
        <v>15</v>
      </c>
      <c r="X51" s="329">
        <f>IFERROR(__xludf.DUMMYFUNCTION("""COMPUTED_VALUE"""),6.0)</f>
        <v>6</v>
      </c>
      <c r="Y51" s="329">
        <f>IFERROR(__xludf.DUMMYFUNCTION("""COMPUTED_VALUE"""),1.0)</f>
        <v>1</v>
      </c>
      <c r="Z51" s="329">
        <f>IFERROR(__xludf.DUMMYFUNCTION("""COMPUTED_VALUE"""),1177.0)</f>
        <v>1177</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IFERROR(__xludf.DUMMYFUNCTION("""COMPUTED_VALUE"""),44124.0)</f>
        <v>44124</v>
      </c>
      <c r="B52" s="329">
        <f>IFERROR(__xludf.DUMMYFUNCTION("""COMPUTED_VALUE"""),440.0)</f>
        <v>440</v>
      </c>
      <c r="C52" s="329">
        <f>IFERROR(__xludf.DUMMYFUNCTION("""COMPUTED_VALUE"""),328.0)</f>
        <v>328</v>
      </c>
      <c r="D52" s="329">
        <f>IFERROR(__xludf.DUMMYFUNCTION("""COMPUTED_VALUE"""),39719.0)</f>
        <v>39719</v>
      </c>
      <c r="E52" s="329">
        <f>IFERROR(__xludf.DUMMYFUNCTION("""COMPUTED_VALUE"""),13246.0)</f>
        <v>13246</v>
      </c>
      <c r="F52" s="258">
        <f>IFERROR(__xludf.DUMMYFUNCTION("""COMPUTED_VALUE"""),965028.0)</f>
        <v>965028</v>
      </c>
      <c r="G52" s="258">
        <f>IFERROR(__xludf.DUMMYFUNCTION("""COMPUTED_VALUE"""),13686.0)</f>
        <v>13686</v>
      </c>
      <c r="H52" s="258">
        <f>IFERROR(__xludf.DUMMYFUNCTION("""COMPUTED_VALUE"""),1004747.0)</f>
        <v>1004747</v>
      </c>
      <c r="I52" s="329">
        <f>IFERROR(__xludf.DUMMYFUNCTION("""COMPUTED_VALUE"""),383.0)</f>
        <v>383</v>
      </c>
      <c r="J52" s="329">
        <f>IFERROR(__xludf.DUMMYFUNCTION("""COMPUTED_VALUE"""),275.0)</f>
        <v>275</v>
      </c>
      <c r="K52" s="329">
        <f>IFERROR(__xludf.DUMMYFUNCTION("""COMPUTED_VALUE"""),29228.0)</f>
        <v>29228</v>
      </c>
      <c r="L52" s="329">
        <f>IFERROR(__xludf.DUMMYFUNCTION("""COMPUTED_VALUE"""),2779.0)</f>
        <v>2779</v>
      </c>
      <c r="M52" s="329">
        <f>IFERROR(__xludf.DUMMYFUNCTION("""COMPUTED_VALUE"""),339380.0)</f>
        <v>339380</v>
      </c>
      <c r="N52" s="329">
        <f>IFERROR(__xludf.DUMMYFUNCTION("""COMPUTED_VALUE"""),368608.0)</f>
        <v>368608</v>
      </c>
      <c r="O52" s="329">
        <f>IFERROR(__xludf.DUMMYFUNCTION("""COMPUTED_VALUE"""),22.0)</f>
        <v>22</v>
      </c>
      <c r="P52" s="329">
        <f>IFERROR(__xludf.DUMMYFUNCTION("""COMPUTED_VALUE"""),3065.0)</f>
        <v>3065</v>
      </c>
      <c r="Q52" s="329">
        <f>IFERROR(__xludf.DUMMYFUNCTION("""COMPUTED_VALUE"""),16.0)</f>
        <v>16</v>
      </c>
      <c r="R52" s="329">
        <f>IFERROR(__xludf.DUMMYFUNCTION("""COMPUTED_VALUE"""),2530.0)</f>
        <v>2530</v>
      </c>
      <c r="S52" s="329">
        <f>IFERROR(__xludf.DUMMYFUNCTION("""COMPUTED_VALUE"""),0.0)</f>
        <v>0</v>
      </c>
      <c r="T52" s="329">
        <f>IFERROR(__xludf.DUMMYFUNCTION("""COMPUTED_VALUE"""),385.0)</f>
        <v>385</v>
      </c>
      <c r="U52" s="329">
        <f>IFERROR(__xludf.DUMMYFUNCTION("""COMPUTED_VALUE"""),150.0)</f>
        <v>150</v>
      </c>
      <c r="V52" s="329">
        <f>IFERROR(__xludf.DUMMYFUNCTION("""COMPUTED_VALUE"""),147.0)</f>
        <v>147</v>
      </c>
      <c r="W52" s="329">
        <f>IFERROR(__xludf.DUMMYFUNCTION("""COMPUTED_VALUE"""),14.0)</f>
        <v>14</v>
      </c>
      <c r="X52" s="329">
        <f>IFERROR(__xludf.DUMMYFUNCTION("""COMPUTED_VALUE"""),8.0)</f>
        <v>8</v>
      </c>
      <c r="Y52" s="329">
        <f>IFERROR(__xludf.DUMMYFUNCTION("""COMPUTED_VALUE"""),4.0)</f>
        <v>4</v>
      </c>
      <c r="Z52" s="329">
        <f>IFERROR(__xludf.DUMMYFUNCTION("""COMPUTED_VALUE"""),1181.0)</f>
        <v>1181</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IFERROR(__xludf.DUMMYFUNCTION("""COMPUTED_VALUE"""),44125.0)</f>
        <v>44125</v>
      </c>
      <c r="B53" s="329">
        <f>IFERROR(__xludf.DUMMYFUNCTION("""COMPUTED_VALUE"""),552.0)</f>
        <v>552</v>
      </c>
      <c r="C53" s="329">
        <f>IFERROR(__xludf.DUMMYFUNCTION("""COMPUTED_VALUE"""),460.0)</f>
        <v>460</v>
      </c>
      <c r="D53" s="329">
        <f>IFERROR(__xludf.DUMMYFUNCTION("""COMPUTED_VALUE"""),40271.0)</f>
        <v>40271</v>
      </c>
      <c r="E53" s="329">
        <f>IFERROR(__xludf.DUMMYFUNCTION("""COMPUTED_VALUE"""),17462.0)</f>
        <v>17462</v>
      </c>
      <c r="F53" s="258">
        <f>IFERROR(__xludf.DUMMYFUNCTION("""COMPUTED_VALUE"""),982490.0)</f>
        <v>982490</v>
      </c>
      <c r="G53" s="258">
        <f>IFERROR(__xludf.DUMMYFUNCTION("""COMPUTED_VALUE"""),18014.0)</f>
        <v>18014</v>
      </c>
      <c r="H53" s="258">
        <f>IFERROR(__xludf.DUMMYFUNCTION("""COMPUTED_VALUE"""),1022761.0)</f>
        <v>1022761</v>
      </c>
      <c r="I53" s="329">
        <f>IFERROR(__xludf.DUMMYFUNCTION("""COMPUTED_VALUE"""),470.0)</f>
        <v>470</v>
      </c>
      <c r="J53" s="329">
        <f>IFERROR(__xludf.DUMMYFUNCTION("""COMPUTED_VALUE"""),390.0)</f>
        <v>390</v>
      </c>
      <c r="K53" s="329">
        <f>IFERROR(__xludf.DUMMYFUNCTION("""COMPUTED_VALUE"""),29698.0)</f>
        <v>29698</v>
      </c>
      <c r="L53" s="329">
        <f>IFERROR(__xludf.DUMMYFUNCTION("""COMPUTED_VALUE"""),3209.0)</f>
        <v>3209</v>
      </c>
      <c r="M53" s="329">
        <f>IFERROR(__xludf.DUMMYFUNCTION("""COMPUTED_VALUE"""),342589.0)</f>
        <v>342589</v>
      </c>
      <c r="N53" s="329">
        <f>IFERROR(__xludf.DUMMYFUNCTION("""COMPUTED_VALUE"""),372287.0)</f>
        <v>372287</v>
      </c>
      <c r="O53" s="329">
        <f>IFERROR(__xludf.DUMMYFUNCTION("""COMPUTED_VALUE"""),23.0)</f>
        <v>23</v>
      </c>
      <c r="P53" s="329">
        <f>IFERROR(__xludf.DUMMYFUNCTION("""COMPUTED_VALUE"""),3088.0)</f>
        <v>3088</v>
      </c>
      <c r="Q53" s="329">
        <f>IFERROR(__xludf.DUMMYFUNCTION("""COMPUTED_VALUE"""),8.0)</f>
        <v>8</v>
      </c>
      <c r="R53" s="329">
        <f>IFERROR(__xludf.DUMMYFUNCTION("""COMPUTED_VALUE"""),2538.0)</f>
        <v>2538</v>
      </c>
      <c r="S53" s="329">
        <f>IFERROR(__xludf.DUMMYFUNCTION("""COMPUTED_VALUE"""),2.0)</f>
        <v>2</v>
      </c>
      <c r="T53" s="329">
        <f>IFERROR(__xludf.DUMMYFUNCTION("""COMPUTED_VALUE"""),387.0)</f>
        <v>387</v>
      </c>
      <c r="U53" s="329">
        <f>IFERROR(__xludf.DUMMYFUNCTION("""COMPUTED_VALUE"""),163.0)</f>
        <v>163</v>
      </c>
      <c r="V53" s="329">
        <f>IFERROR(__xludf.DUMMYFUNCTION("""COMPUTED_VALUE"""),152.0)</f>
        <v>152</v>
      </c>
      <c r="W53" s="329">
        <f>IFERROR(__xludf.DUMMYFUNCTION("""COMPUTED_VALUE"""),15.0)</f>
        <v>15</v>
      </c>
      <c r="X53" s="329">
        <f>IFERROR(__xludf.DUMMYFUNCTION("""COMPUTED_VALUE"""),9.0)</f>
        <v>9</v>
      </c>
      <c r="Y53" s="329">
        <f>IFERROR(__xludf.DUMMYFUNCTION("""COMPUTED_VALUE"""),3.0)</f>
        <v>3</v>
      </c>
      <c r="Z53" s="329">
        <f>IFERROR(__xludf.DUMMYFUNCTION("""COMPUTED_VALUE"""),1184.0)</f>
        <v>1184</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IFERROR(__xludf.DUMMYFUNCTION("""COMPUTED_VALUE"""),44126.0)</f>
        <v>44126</v>
      </c>
      <c r="B54" s="329">
        <f>IFERROR(__xludf.DUMMYFUNCTION("""COMPUTED_VALUE"""),542.0)</f>
        <v>542</v>
      </c>
      <c r="C54" s="329">
        <f>IFERROR(__xludf.DUMMYFUNCTION("""COMPUTED_VALUE"""),511.0)</f>
        <v>511</v>
      </c>
      <c r="D54" s="329">
        <f>IFERROR(__xludf.DUMMYFUNCTION("""COMPUTED_VALUE"""),40813.0)</f>
        <v>40813</v>
      </c>
      <c r="E54" s="329">
        <f>IFERROR(__xludf.DUMMYFUNCTION("""COMPUTED_VALUE"""),15867.0)</f>
        <v>15867</v>
      </c>
      <c r="F54" s="258">
        <f>IFERROR(__xludf.DUMMYFUNCTION("""COMPUTED_VALUE"""),998357.0)</f>
        <v>998357</v>
      </c>
      <c r="G54" s="258">
        <f>IFERROR(__xludf.DUMMYFUNCTION("""COMPUTED_VALUE"""),16409.0)</f>
        <v>16409</v>
      </c>
      <c r="H54" s="258">
        <f>IFERROR(__xludf.DUMMYFUNCTION("""COMPUTED_VALUE"""),1039170.0)</f>
        <v>1039170</v>
      </c>
      <c r="I54" s="329">
        <f>IFERROR(__xludf.DUMMYFUNCTION("""COMPUTED_VALUE"""),485.0)</f>
        <v>485</v>
      </c>
      <c r="J54" s="329">
        <f>IFERROR(__xludf.DUMMYFUNCTION("""COMPUTED_VALUE"""),446.0)</f>
        <v>446</v>
      </c>
      <c r="K54" s="329">
        <f>IFERROR(__xludf.DUMMYFUNCTION("""COMPUTED_VALUE"""),30183.0)</f>
        <v>30183</v>
      </c>
      <c r="L54" s="329">
        <f>IFERROR(__xludf.DUMMYFUNCTION("""COMPUTED_VALUE"""),2944.0)</f>
        <v>2944</v>
      </c>
      <c r="M54" s="329">
        <f>IFERROR(__xludf.DUMMYFUNCTION("""COMPUTED_VALUE"""),345533.0)</f>
        <v>345533</v>
      </c>
      <c r="N54" s="329">
        <f>IFERROR(__xludf.DUMMYFUNCTION("""COMPUTED_VALUE"""),375716.0)</f>
        <v>375716</v>
      </c>
      <c r="O54" s="329">
        <f>IFERROR(__xludf.DUMMYFUNCTION("""COMPUTED_VALUE"""),24.0)</f>
        <v>24</v>
      </c>
      <c r="P54" s="329">
        <f>IFERROR(__xludf.DUMMYFUNCTION("""COMPUTED_VALUE"""),3112.0)</f>
        <v>3112</v>
      </c>
      <c r="Q54" s="329">
        <f>IFERROR(__xludf.DUMMYFUNCTION("""COMPUTED_VALUE"""),20.0)</f>
        <v>20</v>
      </c>
      <c r="R54" s="329">
        <f>IFERROR(__xludf.DUMMYFUNCTION("""COMPUTED_VALUE"""),2558.0)</f>
        <v>2558</v>
      </c>
      <c r="S54" s="329">
        <f>IFERROR(__xludf.DUMMYFUNCTION("""COMPUTED_VALUE"""),3.0)</f>
        <v>3</v>
      </c>
      <c r="T54" s="329">
        <f>IFERROR(__xludf.DUMMYFUNCTION("""COMPUTED_VALUE"""),390.0)</f>
        <v>390</v>
      </c>
      <c r="U54" s="329">
        <f>IFERROR(__xludf.DUMMYFUNCTION("""COMPUTED_VALUE"""),164.0)</f>
        <v>164</v>
      </c>
      <c r="V54" s="329">
        <f>IFERROR(__xludf.DUMMYFUNCTION("""COMPUTED_VALUE"""),159.0)</f>
        <v>159</v>
      </c>
      <c r="W54" s="329">
        <f>IFERROR(__xludf.DUMMYFUNCTION("""COMPUTED_VALUE"""),14.0)</f>
        <v>14</v>
      </c>
      <c r="X54" s="329">
        <f>IFERROR(__xludf.DUMMYFUNCTION("""COMPUTED_VALUE"""),9.0)</f>
        <v>9</v>
      </c>
      <c r="Y54" s="329">
        <f>IFERROR(__xludf.DUMMYFUNCTION("""COMPUTED_VALUE"""),3.0)</f>
        <v>3</v>
      </c>
      <c r="Z54" s="329">
        <f>IFERROR(__xludf.DUMMYFUNCTION("""COMPUTED_VALUE"""),1187.0)</f>
        <v>1187</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IFERROR(__xludf.DUMMYFUNCTION("""COMPUTED_VALUE"""),44127.0)</f>
        <v>44127</v>
      </c>
      <c r="B55" s="329">
        <f>IFERROR(__xludf.DUMMYFUNCTION("""COMPUTED_VALUE"""),517.0)</f>
        <v>517</v>
      </c>
      <c r="C55" s="329">
        <f>IFERROR(__xludf.DUMMYFUNCTION("""COMPUTED_VALUE"""),537.0)</f>
        <v>537</v>
      </c>
      <c r="D55" s="329">
        <f>IFERROR(__xludf.DUMMYFUNCTION("""COMPUTED_VALUE"""),41330.0)</f>
        <v>41330</v>
      </c>
      <c r="E55" s="329">
        <f>IFERROR(__xludf.DUMMYFUNCTION("""COMPUTED_VALUE"""),16638.0)</f>
        <v>16638</v>
      </c>
      <c r="F55" s="258">
        <f>IFERROR(__xludf.DUMMYFUNCTION("""COMPUTED_VALUE"""),1014995.0)</f>
        <v>1014995</v>
      </c>
      <c r="G55" s="258">
        <f>IFERROR(__xludf.DUMMYFUNCTION("""COMPUTED_VALUE"""),17155.0)</f>
        <v>17155</v>
      </c>
      <c r="H55" s="258">
        <f>IFERROR(__xludf.DUMMYFUNCTION("""COMPUTED_VALUE"""),1056325.0)</f>
        <v>1056325</v>
      </c>
      <c r="I55" s="329">
        <f>IFERROR(__xludf.DUMMYFUNCTION("""COMPUTED_VALUE"""),460.0)</f>
        <v>460</v>
      </c>
      <c r="J55" s="329">
        <f>IFERROR(__xludf.DUMMYFUNCTION("""COMPUTED_VALUE"""),472.0)</f>
        <v>472</v>
      </c>
      <c r="K55" s="329">
        <f>IFERROR(__xludf.DUMMYFUNCTION("""COMPUTED_VALUE"""),30643.0)</f>
        <v>30643</v>
      </c>
      <c r="L55" s="329">
        <f>IFERROR(__xludf.DUMMYFUNCTION("""COMPUTED_VALUE"""),2623.0)</f>
        <v>2623</v>
      </c>
      <c r="M55" s="329">
        <f>IFERROR(__xludf.DUMMYFUNCTION("""COMPUTED_VALUE"""),348156.0)</f>
        <v>348156</v>
      </c>
      <c r="N55" s="329">
        <f>IFERROR(__xludf.DUMMYFUNCTION("""COMPUTED_VALUE"""),378799.0)</f>
        <v>378799</v>
      </c>
      <c r="O55" s="329">
        <f>IFERROR(__xludf.DUMMYFUNCTION("""COMPUTED_VALUE"""),22.0)</f>
        <v>22</v>
      </c>
      <c r="P55" s="329">
        <f>IFERROR(__xludf.DUMMYFUNCTION("""COMPUTED_VALUE"""),3134.0)</f>
        <v>3134</v>
      </c>
      <c r="Q55" s="329">
        <f>IFERROR(__xludf.DUMMYFUNCTION("""COMPUTED_VALUE"""),22.0)</f>
        <v>22</v>
      </c>
      <c r="R55" s="329">
        <f>IFERROR(__xludf.DUMMYFUNCTION("""COMPUTED_VALUE"""),2580.0)</f>
        <v>2580</v>
      </c>
      <c r="S55" s="329">
        <f>IFERROR(__xludf.DUMMYFUNCTION("""COMPUTED_VALUE"""),1.0)</f>
        <v>1</v>
      </c>
      <c r="T55" s="329">
        <f>IFERROR(__xludf.DUMMYFUNCTION("""COMPUTED_VALUE"""),391.0)</f>
        <v>391</v>
      </c>
      <c r="U55" s="329">
        <f>IFERROR(__xludf.DUMMYFUNCTION("""COMPUTED_VALUE"""),163.0)</f>
        <v>163</v>
      </c>
      <c r="V55" s="329">
        <f>IFERROR(__xludf.DUMMYFUNCTION("""COMPUTED_VALUE"""),163.0)</f>
        <v>163</v>
      </c>
      <c r="W55" s="329">
        <f>IFERROR(__xludf.DUMMYFUNCTION("""COMPUTED_VALUE"""),15.0)</f>
        <v>15</v>
      </c>
      <c r="X55" s="329">
        <f>IFERROR(__xludf.DUMMYFUNCTION("""COMPUTED_VALUE"""),9.0)</f>
        <v>9</v>
      </c>
      <c r="Y55" s="329">
        <f>IFERROR(__xludf.DUMMYFUNCTION("""COMPUTED_VALUE"""),3.0)</f>
        <v>3</v>
      </c>
      <c r="Z55" s="329">
        <f>IFERROR(__xludf.DUMMYFUNCTION("""COMPUTED_VALUE"""),1190.0)</f>
        <v>1190</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IFERROR(__xludf.DUMMYFUNCTION("""COMPUTED_VALUE"""),44128.0)</f>
        <v>44128</v>
      </c>
      <c r="B56" s="329">
        <f>IFERROR(__xludf.DUMMYFUNCTION("""COMPUTED_VALUE"""),361.0)</f>
        <v>361</v>
      </c>
      <c r="C56" s="329">
        <f>IFERROR(__xludf.DUMMYFUNCTION("""COMPUTED_VALUE"""),473.0)</f>
        <v>473</v>
      </c>
      <c r="D56" s="329">
        <f>IFERROR(__xludf.DUMMYFUNCTION("""COMPUTED_VALUE"""),41691.0)</f>
        <v>41691</v>
      </c>
      <c r="E56" s="329">
        <f>IFERROR(__xludf.DUMMYFUNCTION("""COMPUTED_VALUE"""),10254.0)</f>
        <v>10254</v>
      </c>
      <c r="F56" s="258">
        <f>IFERROR(__xludf.DUMMYFUNCTION("""COMPUTED_VALUE"""),1025249.0)</f>
        <v>1025249</v>
      </c>
      <c r="G56" s="258">
        <f>IFERROR(__xludf.DUMMYFUNCTION("""COMPUTED_VALUE"""),10615.0)</f>
        <v>10615</v>
      </c>
      <c r="H56" s="258">
        <f>IFERROR(__xludf.DUMMYFUNCTION("""COMPUTED_VALUE"""),1066940.0)</f>
        <v>1066940</v>
      </c>
      <c r="I56" s="329">
        <f>IFERROR(__xludf.DUMMYFUNCTION("""COMPUTED_VALUE"""),336.0)</f>
        <v>336</v>
      </c>
      <c r="J56" s="329">
        <f>IFERROR(__xludf.DUMMYFUNCTION("""COMPUTED_VALUE"""),427.0)</f>
        <v>427</v>
      </c>
      <c r="K56" s="329">
        <f>IFERROR(__xludf.DUMMYFUNCTION("""COMPUTED_VALUE"""),30979.0)</f>
        <v>30979</v>
      </c>
      <c r="L56" s="329">
        <f>IFERROR(__xludf.DUMMYFUNCTION("""COMPUTED_VALUE"""),2085.0)</f>
        <v>2085</v>
      </c>
      <c r="M56" s="329">
        <f>IFERROR(__xludf.DUMMYFUNCTION("""COMPUTED_VALUE"""),350241.0)</f>
        <v>350241</v>
      </c>
      <c r="N56" s="329">
        <f>IFERROR(__xludf.DUMMYFUNCTION("""COMPUTED_VALUE"""),381220.0)</f>
        <v>381220</v>
      </c>
      <c r="O56" s="329">
        <f>IFERROR(__xludf.DUMMYFUNCTION("""COMPUTED_VALUE"""),17.0)</f>
        <v>17</v>
      </c>
      <c r="P56" s="329">
        <f>IFERROR(__xludf.DUMMYFUNCTION("""COMPUTED_VALUE"""),3151.0)</f>
        <v>3151</v>
      </c>
      <c r="Q56" s="329">
        <f>IFERROR(__xludf.DUMMYFUNCTION("""COMPUTED_VALUE"""),11.0)</f>
        <v>11</v>
      </c>
      <c r="R56" s="329">
        <f>IFERROR(__xludf.DUMMYFUNCTION("""COMPUTED_VALUE"""),2591.0)</f>
        <v>2591</v>
      </c>
      <c r="S56" s="329">
        <f>IFERROR(__xludf.DUMMYFUNCTION("""COMPUTED_VALUE"""),0.0)</f>
        <v>0</v>
      </c>
      <c r="T56" s="329">
        <f>IFERROR(__xludf.DUMMYFUNCTION("""COMPUTED_VALUE"""),391.0)</f>
        <v>391</v>
      </c>
      <c r="U56" s="329">
        <f>IFERROR(__xludf.DUMMYFUNCTION("""COMPUTED_VALUE"""),169.0)</f>
        <v>169</v>
      </c>
      <c r="V56" s="329">
        <f>IFERROR(__xludf.DUMMYFUNCTION("""COMPUTED_VALUE"""),165.0)</f>
        <v>165</v>
      </c>
      <c r="W56" s="329">
        <f>IFERROR(__xludf.DUMMYFUNCTION("""COMPUTED_VALUE"""),14.0)</f>
        <v>14</v>
      </c>
      <c r="X56" s="329">
        <f>IFERROR(__xludf.DUMMYFUNCTION("""COMPUTED_VALUE"""),8.0)</f>
        <v>8</v>
      </c>
      <c r="Y56" s="329">
        <f>IFERROR(__xludf.DUMMYFUNCTION("""COMPUTED_VALUE"""),1.0)</f>
        <v>1</v>
      </c>
      <c r="Z56" s="329">
        <f>IFERROR(__xludf.DUMMYFUNCTION("""COMPUTED_VALUE"""),1191.0)</f>
        <v>1191</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IFERROR(__xludf.DUMMYFUNCTION("""COMPUTED_VALUE"""),44129.0)</f>
        <v>44129</v>
      </c>
      <c r="B57" s="329">
        <f>IFERROR(__xludf.DUMMYFUNCTION("""COMPUTED_VALUE"""),236.0)</f>
        <v>236</v>
      </c>
      <c r="C57" s="329">
        <f>IFERROR(__xludf.DUMMYFUNCTION("""COMPUTED_VALUE"""),371.0)</f>
        <v>371</v>
      </c>
      <c r="D57" s="329">
        <f>IFERROR(__xludf.DUMMYFUNCTION("""COMPUTED_VALUE"""),41927.0)</f>
        <v>41927</v>
      </c>
      <c r="E57" s="329">
        <f>IFERROR(__xludf.DUMMYFUNCTION("""COMPUTED_VALUE"""),4765.0)</f>
        <v>4765</v>
      </c>
      <c r="F57" s="258">
        <f>IFERROR(__xludf.DUMMYFUNCTION("""COMPUTED_VALUE"""),1030014.0)</f>
        <v>1030014</v>
      </c>
      <c r="G57" s="258">
        <f>IFERROR(__xludf.DUMMYFUNCTION("""COMPUTED_VALUE"""),5001.0)</f>
        <v>5001</v>
      </c>
      <c r="H57" s="258">
        <f>IFERROR(__xludf.DUMMYFUNCTION("""COMPUTED_VALUE"""),1071941.0)</f>
        <v>1071941</v>
      </c>
      <c r="I57" s="329">
        <f>IFERROR(__xludf.DUMMYFUNCTION("""COMPUTED_VALUE"""),211.0)</f>
        <v>211</v>
      </c>
      <c r="J57" s="329">
        <f>IFERROR(__xludf.DUMMYFUNCTION("""COMPUTED_VALUE"""),336.0)</f>
        <v>336</v>
      </c>
      <c r="K57" s="329">
        <f>IFERROR(__xludf.DUMMYFUNCTION("""COMPUTED_VALUE"""),31190.0)</f>
        <v>31190</v>
      </c>
      <c r="L57" s="329">
        <f>IFERROR(__xludf.DUMMYFUNCTION("""COMPUTED_VALUE"""),1339.0)</f>
        <v>1339</v>
      </c>
      <c r="M57" s="329">
        <f>IFERROR(__xludf.DUMMYFUNCTION("""COMPUTED_VALUE"""),351580.0)</f>
        <v>351580</v>
      </c>
      <c r="N57" s="329">
        <f>IFERROR(__xludf.DUMMYFUNCTION("""COMPUTED_VALUE"""),382770.0)</f>
        <v>382770</v>
      </c>
      <c r="O57" s="329">
        <f>IFERROR(__xludf.DUMMYFUNCTION("""COMPUTED_VALUE"""),16.0)</f>
        <v>16</v>
      </c>
      <c r="P57" s="329">
        <f>IFERROR(__xludf.DUMMYFUNCTION("""COMPUTED_VALUE"""),3167.0)</f>
        <v>3167</v>
      </c>
      <c r="Q57" s="329">
        <f>IFERROR(__xludf.DUMMYFUNCTION("""COMPUTED_VALUE"""),15.0)</f>
        <v>15</v>
      </c>
      <c r="R57" s="329">
        <f>IFERROR(__xludf.DUMMYFUNCTION("""COMPUTED_VALUE"""),2606.0)</f>
        <v>2606</v>
      </c>
      <c r="S57" s="329">
        <f>IFERROR(__xludf.DUMMYFUNCTION("""COMPUTED_VALUE"""),1.0)</f>
        <v>1</v>
      </c>
      <c r="T57" s="329">
        <f>IFERROR(__xludf.DUMMYFUNCTION("""COMPUTED_VALUE"""),392.0)</f>
        <v>392</v>
      </c>
      <c r="U57" s="329">
        <f>IFERROR(__xludf.DUMMYFUNCTION("""COMPUTED_VALUE"""),169.0)</f>
        <v>169</v>
      </c>
      <c r="V57" s="329">
        <f>IFERROR(__xludf.DUMMYFUNCTION("""COMPUTED_VALUE"""),167.0)</f>
        <v>167</v>
      </c>
      <c r="W57" s="329">
        <f>IFERROR(__xludf.DUMMYFUNCTION("""COMPUTED_VALUE"""),15.0)</f>
        <v>15</v>
      </c>
      <c r="X57" s="329">
        <f>IFERROR(__xludf.DUMMYFUNCTION("""COMPUTED_VALUE"""),8.0)</f>
        <v>8</v>
      </c>
      <c r="Y57" s="329">
        <f>IFERROR(__xludf.DUMMYFUNCTION("""COMPUTED_VALUE"""),2.0)</f>
        <v>2</v>
      </c>
      <c r="Z57" s="329">
        <f>IFERROR(__xludf.DUMMYFUNCTION("""COMPUTED_VALUE"""),1193.0)</f>
        <v>1193</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IFERROR(__xludf.DUMMYFUNCTION("""COMPUTED_VALUE"""),44130.0)</f>
        <v>44130</v>
      </c>
      <c r="B58" s="329">
        <f>IFERROR(__xludf.DUMMYFUNCTION("""COMPUTED_VALUE"""),456.0)</f>
        <v>456</v>
      </c>
      <c r="C58" s="329">
        <f>IFERROR(__xludf.DUMMYFUNCTION("""COMPUTED_VALUE"""),351.0)</f>
        <v>351</v>
      </c>
      <c r="D58" s="329">
        <f>IFERROR(__xludf.DUMMYFUNCTION("""COMPUTED_VALUE"""),42383.0)</f>
        <v>42383</v>
      </c>
      <c r="E58" s="329">
        <f>IFERROR(__xludf.DUMMYFUNCTION("""COMPUTED_VALUE"""),9173.0)</f>
        <v>9173</v>
      </c>
      <c r="F58" s="258">
        <f>IFERROR(__xludf.DUMMYFUNCTION("""COMPUTED_VALUE"""),1039187.0)</f>
        <v>1039187</v>
      </c>
      <c r="G58" s="258">
        <f>IFERROR(__xludf.DUMMYFUNCTION("""COMPUTED_VALUE"""),9629.0)</f>
        <v>9629</v>
      </c>
      <c r="H58" s="258">
        <f>IFERROR(__xludf.DUMMYFUNCTION("""COMPUTED_VALUE"""),1081570.0)</f>
        <v>1081570</v>
      </c>
      <c r="I58" s="329">
        <f>IFERROR(__xludf.DUMMYFUNCTION("""COMPUTED_VALUE"""),401.0)</f>
        <v>401</v>
      </c>
      <c r="J58" s="329">
        <f>IFERROR(__xludf.DUMMYFUNCTION("""COMPUTED_VALUE"""),316.0)</f>
        <v>316</v>
      </c>
      <c r="K58" s="329">
        <f>IFERROR(__xludf.DUMMYFUNCTION("""COMPUTED_VALUE"""),31591.0)</f>
        <v>31591</v>
      </c>
      <c r="L58" s="329">
        <f>IFERROR(__xludf.DUMMYFUNCTION("""COMPUTED_VALUE"""),2752.0)</f>
        <v>2752</v>
      </c>
      <c r="M58" s="329">
        <f>IFERROR(__xludf.DUMMYFUNCTION("""COMPUTED_VALUE"""),354332.0)</f>
        <v>354332</v>
      </c>
      <c r="N58" s="329">
        <f>IFERROR(__xludf.DUMMYFUNCTION("""COMPUTED_VALUE"""),385923.0)</f>
        <v>385923</v>
      </c>
      <c r="O58" s="329">
        <f>IFERROR(__xludf.DUMMYFUNCTION("""COMPUTED_VALUE"""),28.0)</f>
        <v>28</v>
      </c>
      <c r="P58" s="329">
        <f>IFERROR(__xludf.DUMMYFUNCTION("""COMPUTED_VALUE"""),3195.0)</f>
        <v>3195</v>
      </c>
      <c r="Q58" s="329">
        <f>IFERROR(__xludf.DUMMYFUNCTION("""COMPUTED_VALUE"""),15.0)</f>
        <v>15</v>
      </c>
      <c r="R58" s="329">
        <f>IFERROR(__xludf.DUMMYFUNCTION("""COMPUTED_VALUE"""),2621.0)</f>
        <v>2621</v>
      </c>
      <c r="S58" s="329">
        <f>IFERROR(__xludf.DUMMYFUNCTION("""COMPUTED_VALUE"""),2.0)</f>
        <v>2</v>
      </c>
      <c r="T58" s="329">
        <f>IFERROR(__xludf.DUMMYFUNCTION("""COMPUTED_VALUE"""),394.0)</f>
        <v>394</v>
      </c>
      <c r="U58" s="329">
        <f>IFERROR(__xludf.DUMMYFUNCTION("""COMPUTED_VALUE"""),180.0)</f>
        <v>180</v>
      </c>
      <c r="V58" s="329">
        <f>IFERROR(__xludf.DUMMYFUNCTION("""COMPUTED_VALUE"""),173.0)</f>
        <v>173</v>
      </c>
      <c r="W58" s="329">
        <f>IFERROR(__xludf.DUMMYFUNCTION("""COMPUTED_VALUE"""),18.0)</f>
        <v>18</v>
      </c>
      <c r="X58" s="329">
        <f>IFERROR(__xludf.DUMMYFUNCTION("""COMPUTED_VALUE"""),8.0)</f>
        <v>8</v>
      </c>
      <c r="Y58" s="329">
        <f>IFERROR(__xludf.DUMMYFUNCTION("""COMPUTED_VALUE"""),3.0)</f>
        <v>3</v>
      </c>
      <c r="Z58" s="329">
        <f>IFERROR(__xludf.DUMMYFUNCTION("""COMPUTED_VALUE"""),1196.0)</f>
        <v>1196</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IFERROR(__xludf.DUMMYFUNCTION("""COMPUTED_VALUE"""),44131.0)</f>
        <v>44131</v>
      </c>
      <c r="B59" s="329">
        <f>IFERROR(__xludf.DUMMYFUNCTION("""COMPUTED_VALUE"""),522.0)</f>
        <v>522</v>
      </c>
      <c r="C59" s="329">
        <f>IFERROR(__xludf.DUMMYFUNCTION("""COMPUTED_VALUE"""),405.0)</f>
        <v>405</v>
      </c>
      <c r="D59" s="329">
        <f>IFERROR(__xludf.DUMMYFUNCTION("""COMPUTED_VALUE"""),42905.0)</f>
        <v>42905</v>
      </c>
      <c r="E59" s="329">
        <f>IFERROR(__xludf.DUMMYFUNCTION("""COMPUTED_VALUE"""),13996.0)</f>
        <v>13996</v>
      </c>
      <c r="F59" s="258">
        <f>IFERROR(__xludf.DUMMYFUNCTION("""COMPUTED_VALUE"""),1053183.0)</f>
        <v>1053183</v>
      </c>
      <c r="G59" s="258">
        <f>IFERROR(__xludf.DUMMYFUNCTION("""COMPUTED_VALUE"""),14518.0)</f>
        <v>14518</v>
      </c>
      <c r="H59" s="258">
        <f>IFERROR(__xludf.DUMMYFUNCTION("""COMPUTED_VALUE"""),1096088.0)</f>
        <v>1096088</v>
      </c>
      <c r="I59" s="329">
        <f>IFERROR(__xludf.DUMMYFUNCTION("""COMPUTED_VALUE"""),454.0)</f>
        <v>454</v>
      </c>
      <c r="J59" s="329">
        <f>IFERROR(__xludf.DUMMYFUNCTION("""COMPUTED_VALUE"""),355.0)</f>
        <v>355</v>
      </c>
      <c r="K59" s="329">
        <f>IFERROR(__xludf.DUMMYFUNCTION("""COMPUTED_VALUE"""),32045.0)</f>
        <v>32045</v>
      </c>
      <c r="L59" s="329">
        <f>IFERROR(__xludf.DUMMYFUNCTION("""COMPUTED_VALUE"""),2220.0)</f>
        <v>2220</v>
      </c>
      <c r="M59" s="329">
        <f>IFERROR(__xludf.DUMMYFUNCTION("""COMPUTED_VALUE"""),356552.0)</f>
        <v>356552</v>
      </c>
      <c r="N59" s="329">
        <f>IFERROR(__xludf.DUMMYFUNCTION("""COMPUTED_VALUE"""),388597.0)</f>
        <v>388597</v>
      </c>
      <c r="O59" s="329">
        <f>IFERROR(__xludf.DUMMYFUNCTION("""COMPUTED_VALUE"""),28.0)</f>
        <v>28</v>
      </c>
      <c r="P59" s="329">
        <f>IFERROR(__xludf.DUMMYFUNCTION("""COMPUTED_VALUE"""),3223.0)</f>
        <v>3223</v>
      </c>
      <c r="Q59" s="329">
        <f>IFERROR(__xludf.DUMMYFUNCTION("""COMPUTED_VALUE"""),14.0)</f>
        <v>14</v>
      </c>
      <c r="R59" s="329">
        <f>IFERROR(__xludf.DUMMYFUNCTION("""COMPUTED_VALUE"""),2635.0)</f>
        <v>2635</v>
      </c>
      <c r="S59" s="329">
        <f>IFERROR(__xludf.DUMMYFUNCTION("""COMPUTED_VALUE"""),2.0)</f>
        <v>2</v>
      </c>
      <c r="T59" s="329">
        <f>IFERROR(__xludf.DUMMYFUNCTION("""COMPUTED_VALUE"""),396.0)</f>
        <v>396</v>
      </c>
      <c r="U59" s="329">
        <f>IFERROR(__xludf.DUMMYFUNCTION("""COMPUTED_VALUE"""),192.0)</f>
        <v>192</v>
      </c>
      <c r="V59" s="329">
        <f>IFERROR(__xludf.DUMMYFUNCTION("""COMPUTED_VALUE"""),180.0)</f>
        <v>180</v>
      </c>
      <c r="W59" s="329">
        <f>IFERROR(__xludf.DUMMYFUNCTION("""COMPUTED_VALUE"""),18.0)</f>
        <v>18</v>
      </c>
      <c r="X59" s="329">
        <f>IFERROR(__xludf.DUMMYFUNCTION("""COMPUTED_VALUE"""),9.0)</f>
        <v>9</v>
      </c>
      <c r="Y59" s="329">
        <f>IFERROR(__xludf.DUMMYFUNCTION("""COMPUTED_VALUE"""),5.0)</f>
        <v>5</v>
      </c>
      <c r="Z59" s="329">
        <f>IFERROR(__xludf.DUMMYFUNCTION("""COMPUTED_VALUE"""),1201.0)</f>
        <v>1201</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IFERROR(__xludf.DUMMYFUNCTION("""COMPUTED_VALUE"""),44132.0)</f>
        <v>44132</v>
      </c>
      <c r="B60" s="329">
        <f>IFERROR(__xludf.DUMMYFUNCTION("""COMPUTED_VALUE"""),469.0)</f>
        <v>469</v>
      </c>
      <c r="C60" s="329">
        <f>IFERROR(__xludf.DUMMYFUNCTION("""COMPUTED_VALUE"""),482.0)</f>
        <v>482</v>
      </c>
      <c r="D60" s="329">
        <f>IFERROR(__xludf.DUMMYFUNCTION("""COMPUTED_VALUE"""),43374.0)</f>
        <v>43374</v>
      </c>
      <c r="E60" s="329">
        <f>IFERROR(__xludf.DUMMYFUNCTION("""COMPUTED_VALUE"""),15228.0)</f>
        <v>15228</v>
      </c>
      <c r="F60" s="258">
        <f>IFERROR(__xludf.DUMMYFUNCTION("""COMPUTED_VALUE"""),1068411.0)</f>
        <v>1068411</v>
      </c>
      <c r="G60" s="258">
        <f>IFERROR(__xludf.DUMMYFUNCTION("""COMPUTED_VALUE"""),15697.0)</f>
        <v>15697</v>
      </c>
      <c r="H60" s="258">
        <f>IFERROR(__xludf.DUMMYFUNCTION("""COMPUTED_VALUE"""),1111785.0)</f>
        <v>1111785</v>
      </c>
      <c r="I60" s="329">
        <f>IFERROR(__xludf.DUMMYFUNCTION("""COMPUTED_VALUE"""),410.0)</f>
        <v>410</v>
      </c>
      <c r="J60" s="329">
        <f>IFERROR(__xludf.DUMMYFUNCTION("""COMPUTED_VALUE"""),422.0)</f>
        <v>422</v>
      </c>
      <c r="K60" s="329">
        <f>IFERROR(__xludf.DUMMYFUNCTION("""COMPUTED_VALUE"""),32455.0)</f>
        <v>32455</v>
      </c>
      <c r="L60" s="329">
        <f>IFERROR(__xludf.DUMMYFUNCTION("""COMPUTED_VALUE"""),2493.0)</f>
        <v>2493</v>
      </c>
      <c r="M60" s="329">
        <f>IFERROR(__xludf.DUMMYFUNCTION("""COMPUTED_VALUE"""),359045.0)</f>
        <v>359045</v>
      </c>
      <c r="N60" s="329">
        <f>IFERROR(__xludf.DUMMYFUNCTION("""COMPUTED_VALUE"""),391500.0)</f>
        <v>391500</v>
      </c>
      <c r="O60" s="329">
        <f>IFERROR(__xludf.DUMMYFUNCTION("""COMPUTED_VALUE"""),24.0)</f>
        <v>24</v>
      </c>
      <c r="P60" s="329">
        <f>IFERROR(__xludf.DUMMYFUNCTION("""COMPUTED_VALUE"""),3247.0)</f>
        <v>3247</v>
      </c>
      <c r="Q60" s="329">
        <f>IFERROR(__xludf.DUMMYFUNCTION("""COMPUTED_VALUE"""),25.0)</f>
        <v>25</v>
      </c>
      <c r="R60" s="329">
        <f>IFERROR(__xludf.DUMMYFUNCTION("""COMPUTED_VALUE"""),2660.0)</f>
        <v>2660</v>
      </c>
      <c r="S60" s="329">
        <f>IFERROR(__xludf.DUMMYFUNCTION("""COMPUTED_VALUE"""),1.0)</f>
        <v>1</v>
      </c>
      <c r="T60" s="329">
        <f>IFERROR(__xludf.DUMMYFUNCTION("""COMPUTED_VALUE"""),397.0)</f>
        <v>397</v>
      </c>
      <c r="U60" s="329">
        <f>IFERROR(__xludf.DUMMYFUNCTION("""COMPUTED_VALUE"""),190.0)</f>
        <v>190</v>
      </c>
      <c r="V60" s="329">
        <f>IFERROR(__xludf.DUMMYFUNCTION("""COMPUTED_VALUE"""),187.0)</f>
        <v>187</v>
      </c>
      <c r="W60" s="329">
        <f>IFERROR(__xludf.DUMMYFUNCTION("""COMPUTED_VALUE"""),17.0)</f>
        <v>17</v>
      </c>
      <c r="X60" s="329">
        <f>IFERROR(__xludf.DUMMYFUNCTION("""COMPUTED_VALUE"""),9.0)</f>
        <v>9</v>
      </c>
      <c r="Y60" s="329">
        <f>IFERROR(__xludf.DUMMYFUNCTION("""COMPUTED_VALUE"""),3.0)</f>
        <v>3</v>
      </c>
      <c r="Z60" s="329">
        <f>IFERROR(__xludf.DUMMYFUNCTION("""COMPUTED_VALUE"""),1204.0)</f>
        <v>1204</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IFERROR(__xludf.DUMMYFUNCTION("""COMPUTED_VALUE"""),44133.0)</f>
        <v>44133</v>
      </c>
      <c r="B61" s="329">
        <f>IFERROR(__xludf.DUMMYFUNCTION("""COMPUTED_VALUE"""),612.0)</f>
        <v>612</v>
      </c>
      <c r="C61" s="329">
        <f>IFERROR(__xludf.DUMMYFUNCTION("""COMPUTED_VALUE"""),534.0)</f>
        <v>534</v>
      </c>
      <c r="D61" s="329">
        <f>IFERROR(__xludf.DUMMYFUNCTION("""COMPUTED_VALUE"""),43986.0)</f>
        <v>43986</v>
      </c>
      <c r="E61" s="329">
        <f>IFERROR(__xludf.DUMMYFUNCTION("""COMPUTED_VALUE"""),16262.0)</f>
        <v>16262</v>
      </c>
      <c r="F61" s="258">
        <f>IFERROR(__xludf.DUMMYFUNCTION("""COMPUTED_VALUE"""),1084673.0)</f>
        <v>1084673</v>
      </c>
      <c r="G61" s="258">
        <f>IFERROR(__xludf.DUMMYFUNCTION("""COMPUTED_VALUE"""),16874.0)</f>
        <v>16874</v>
      </c>
      <c r="H61" s="258">
        <f>IFERROR(__xludf.DUMMYFUNCTION("""COMPUTED_VALUE"""),1128659.0)</f>
        <v>1128659</v>
      </c>
      <c r="I61" s="329">
        <f>IFERROR(__xludf.DUMMYFUNCTION("""COMPUTED_VALUE"""),528.0)</f>
        <v>528</v>
      </c>
      <c r="J61" s="329">
        <f>IFERROR(__xludf.DUMMYFUNCTION("""COMPUTED_VALUE"""),464.0)</f>
        <v>464</v>
      </c>
      <c r="K61" s="329">
        <f>IFERROR(__xludf.DUMMYFUNCTION("""COMPUTED_VALUE"""),32983.0)</f>
        <v>32983</v>
      </c>
      <c r="L61" s="329">
        <f>IFERROR(__xludf.DUMMYFUNCTION("""COMPUTED_VALUE"""),2922.0)</f>
        <v>2922</v>
      </c>
      <c r="M61" s="329">
        <f>IFERROR(__xludf.DUMMYFUNCTION("""COMPUTED_VALUE"""),361967.0)</f>
        <v>361967</v>
      </c>
      <c r="N61" s="329">
        <f>IFERROR(__xludf.DUMMYFUNCTION("""COMPUTED_VALUE"""),394950.0)</f>
        <v>394950</v>
      </c>
      <c r="O61" s="329">
        <f>IFERROR(__xludf.DUMMYFUNCTION("""COMPUTED_VALUE"""),20.0)</f>
        <v>20</v>
      </c>
      <c r="P61" s="329">
        <f>IFERROR(__xludf.DUMMYFUNCTION("""COMPUTED_VALUE"""),3267.0)</f>
        <v>3267</v>
      </c>
      <c r="Q61" s="329">
        <f>IFERROR(__xludf.DUMMYFUNCTION("""COMPUTED_VALUE"""),22.0)</f>
        <v>22</v>
      </c>
      <c r="R61" s="329">
        <f>IFERROR(__xludf.DUMMYFUNCTION("""COMPUTED_VALUE"""),2682.0)</f>
        <v>2682</v>
      </c>
      <c r="S61" s="329">
        <f>IFERROR(__xludf.DUMMYFUNCTION("""COMPUTED_VALUE"""),3.0)</f>
        <v>3</v>
      </c>
      <c r="T61" s="329">
        <f>IFERROR(__xludf.DUMMYFUNCTION("""COMPUTED_VALUE"""),400.0)</f>
        <v>400</v>
      </c>
      <c r="U61" s="329">
        <f>IFERROR(__xludf.DUMMYFUNCTION("""COMPUTED_VALUE"""),185.0)</f>
        <v>185</v>
      </c>
      <c r="V61" s="329">
        <f>IFERROR(__xludf.DUMMYFUNCTION("""COMPUTED_VALUE"""),189.0)</f>
        <v>189</v>
      </c>
      <c r="W61" s="329">
        <f>IFERROR(__xludf.DUMMYFUNCTION("""COMPUTED_VALUE"""),19.0)</f>
        <v>19</v>
      </c>
      <c r="X61" s="329">
        <f>IFERROR(__xludf.DUMMYFUNCTION("""COMPUTED_VALUE"""),11.0)</f>
        <v>11</v>
      </c>
      <c r="Y61" s="329">
        <f>IFERROR(__xludf.DUMMYFUNCTION("""COMPUTED_VALUE"""),4.0)</f>
        <v>4</v>
      </c>
      <c r="Z61" s="329">
        <f>IFERROR(__xludf.DUMMYFUNCTION("""COMPUTED_VALUE"""),1208.0)</f>
        <v>1208</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IFERROR(__xludf.DUMMYFUNCTION("""COMPUTED_VALUE"""),44134.0)</f>
        <v>44134</v>
      </c>
      <c r="B62" s="329">
        <f>IFERROR(__xludf.DUMMYFUNCTION("""COMPUTED_VALUE"""),565.0)</f>
        <v>565</v>
      </c>
      <c r="C62" s="329">
        <f>IFERROR(__xludf.DUMMYFUNCTION("""COMPUTED_VALUE"""),549.0)</f>
        <v>549</v>
      </c>
      <c r="D62" s="329">
        <f>IFERROR(__xludf.DUMMYFUNCTION("""COMPUTED_VALUE"""),44551.0)</f>
        <v>44551</v>
      </c>
      <c r="E62" s="329">
        <f>IFERROR(__xludf.DUMMYFUNCTION("""COMPUTED_VALUE"""),14866.0)</f>
        <v>14866</v>
      </c>
      <c r="F62" s="258">
        <f>IFERROR(__xludf.DUMMYFUNCTION("""COMPUTED_VALUE"""),1099539.0)</f>
        <v>1099539</v>
      </c>
      <c r="G62" s="258">
        <f>IFERROR(__xludf.DUMMYFUNCTION("""COMPUTED_VALUE"""),15431.0)</f>
        <v>15431</v>
      </c>
      <c r="H62" s="258">
        <f>IFERROR(__xludf.DUMMYFUNCTION("""COMPUTED_VALUE"""),1144090.0)</f>
        <v>1144090</v>
      </c>
      <c r="I62" s="329">
        <f>IFERROR(__xludf.DUMMYFUNCTION("""COMPUTED_VALUE"""),471.0)</f>
        <v>471</v>
      </c>
      <c r="J62" s="329">
        <f>IFERROR(__xludf.DUMMYFUNCTION("""COMPUTED_VALUE"""),470.0)</f>
        <v>470</v>
      </c>
      <c r="K62" s="329">
        <f>IFERROR(__xludf.DUMMYFUNCTION("""COMPUTED_VALUE"""),33454.0)</f>
        <v>33454</v>
      </c>
      <c r="L62" s="329">
        <f>IFERROR(__xludf.DUMMYFUNCTION("""COMPUTED_VALUE"""),2738.0)</f>
        <v>2738</v>
      </c>
      <c r="M62" s="329">
        <f>IFERROR(__xludf.DUMMYFUNCTION("""COMPUTED_VALUE"""),364705.0)</f>
        <v>364705</v>
      </c>
      <c r="N62" s="329">
        <f>IFERROR(__xludf.DUMMYFUNCTION("""COMPUTED_VALUE"""),398159.0)</f>
        <v>398159</v>
      </c>
      <c r="O62" s="329">
        <f>IFERROR(__xludf.DUMMYFUNCTION("""COMPUTED_VALUE"""),22.0)</f>
        <v>22</v>
      </c>
      <c r="P62" s="329">
        <f>IFERROR(__xludf.DUMMYFUNCTION("""COMPUTED_VALUE"""),3289.0)</f>
        <v>3289</v>
      </c>
      <c r="Q62" s="329">
        <f>IFERROR(__xludf.DUMMYFUNCTION("""COMPUTED_VALUE"""),21.0)</f>
        <v>21</v>
      </c>
      <c r="R62" s="329">
        <f>IFERROR(__xludf.DUMMYFUNCTION("""COMPUTED_VALUE"""),2703.0)</f>
        <v>2703</v>
      </c>
      <c r="S62" s="329">
        <f>IFERROR(__xludf.DUMMYFUNCTION("""COMPUTED_VALUE"""),5.0)</f>
        <v>5</v>
      </c>
      <c r="T62" s="329">
        <f>IFERROR(__xludf.DUMMYFUNCTION("""COMPUTED_VALUE"""),405.0)</f>
        <v>405</v>
      </c>
      <c r="U62" s="329">
        <f>IFERROR(__xludf.DUMMYFUNCTION("""COMPUTED_VALUE"""),181.0)</f>
        <v>181</v>
      </c>
      <c r="V62" s="329">
        <f>IFERROR(__xludf.DUMMYFUNCTION("""COMPUTED_VALUE"""),185.0)</f>
        <v>185</v>
      </c>
      <c r="W62" s="329">
        <f>IFERROR(__xludf.DUMMYFUNCTION("""COMPUTED_VALUE"""),19.0)</f>
        <v>19</v>
      </c>
      <c r="X62" s="329">
        <f>IFERROR(__xludf.DUMMYFUNCTION("""COMPUTED_VALUE"""),9.0)</f>
        <v>9</v>
      </c>
      <c r="Y62" s="329">
        <f>IFERROR(__xludf.DUMMYFUNCTION("""COMPUTED_VALUE"""),5.0)</f>
        <v>5</v>
      </c>
      <c r="Z62" s="329">
        <f>IFERROR(__xludf.DUMMYFUNCTION("""COMPUTED_VALUE"""),1213.0)</f>
        <v>1213</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IFERROR(__xludf.DUMMYFUNCTION("""COMPUTED_VALUE"""),44135.0)</f>
        <v>44135</v>
      </c>
      <c r="B63" s="329">
        <f>IFERROR(__xludf.DUMMYFUNCTION("""COMPUTED_VALUE"""),602.0)</f>
        <v>602</v>
      </c>
      <c r="C63" s="329">
        <f>IFERROR(__xludf.DUMMYFUNCTION("""COMPUTED_VALUE"""),593.0)</f>
        <v>593</v>
      </c>
      <c r="D63" s="329">
        <f>IFERROR(__xludf.DUMMYFUNCTION("""COMPUTED_VALUE"""),45153.0)</f>
        <v>45153</v>
      </c>
      <c r="E63" s="329">
        <f>IFERROR(__xludf.DUMMYFUNCTION("""COMPUTED_VALUE"""),11821.0)</f>
        <v>11821</v>
      </c>
      <c r="F63" s="258">
        <f>IFERROR(__xludf.DUMMYFUNCTION("""COMPUTED_VALUE"""),1111360.0)</f>
        <v>1111360</v>
      </c>
      <c r="G63" s="258">
        <f>IFERROR(__xludf.DUMMYFUNCTION("""COMPUTED_VALUE"""),12423.0)</f>
        <v>12423</v>
      </c>
      <c r="H63" s="258">
        <f>IFERROR(__xludf.DUMMYFUNCTION("""COMPUTED_VALUE"""),1156513.0)</f>
        <v>1156513</v>
      </c>
      <c r="I63" s="329">
        <f>IFERROR(__xludf.DUMMYFUNCTION("""COMPUTED_VALUE"""),486.0)</f>
        <v>486</v>
      </c>
      <c r="J63" s="329">
        <f>IFERROR(__xludf.DUMMYFUNCTION("""COMPUTED_VALUE"""),495.0)</f>
        <v>495</v>
      </c>
      <c r="K63" s="329">
        <f>IFERROR(__xludf.DUMMYFUNCTION("""COMPUTED_VALUE"""),33940.0)</f>
        <v>33940</v>
      </c>
      <c r="L63" s="329">
        <f>IFERROR(__xludf.DUMMYFUNCTION("""COMPUTED_VALUE"""),2252.0)</f>
        <v>2252</v>
      </c>
      <c r="M63" s="329">
        <f>IFERROR(__xludf.DUMMYFUNCTION("""COMPUTED_VALUE"""),366957.0)</f>
        <v>366957</v>
      </c>
      <c r="N63" s="329">
        <f>IFERROR(__xludf.DUMMYFUNCTION("""COMPUTED_VALUE"""),400897.0)</f>
        <v>400897</v>
      </c>
      <c r="O63" s="329">
        <f>IFERROR(__xludf.DUMMYFUNCTION("""COMPUTED_VALUE"""),32.0)</f>
        <v>32</v>
      </c>
      <c r="P63" s="329">
        <f>IFERROR(__xludf.DUMMYFUNCTION("""COMPUTED_VALUE"""),3321.0)</f>
        <v>3321</v>
      </c>
      <c r="Q63" s="329">
        <f>IFERROR(__xludf.DUMMYFUNCTION("""COMPUTED_VALUE"""),13.0)</f>
        <v>13</v>
      </c>
      <c r="R63" s="329">
        <f>IFERROR(__xludf.DUMMYFUNCTION("""COMPUTED_VALUE"""),2716.0)</f>
        <v>2716</v>
      </c>
      <c r="S63" s="329">
        <f>IFERROR(__xludf.DUMMYFUNCTION("""COMPUTED_VALUE"""),1.0)</f>
        <v>1</v>
      </c>
      <c r="T63" s="329">
        <f>IFERROR(__xludf.DUMMYFUNCTION("""COMPUTED_VALUE"""),406.0)</f>
        <v>406</v>
      </c>
      <c r="U63" s="329">
        <f>IFERROR(__xludf.DUMMYFUNCTION("""COMPUTED_VALUE"""),199.0)</f>
        <v>199</v>
      </c>
      <c r="V63" s="329">
        <f>IFERROR(__xludf.DUMMYFUNCTION("""COMPUTED_VALUE"""),188.0)</f>
        <v>188</v>
      </c>
      <c r="W63" s="329">
        <f>IFERROR(__xludf.DUMMYFUNCTION("""COMPUTED_VALUE"""),24.0)</f>
        <v>24</v>
      </c>
      <c r="X63" s="329">
        <f>IFERROR(__xludf.DUMMYFUNCTION("""COMPUTED_VALUE"""),11.0)</f>
        <v>11</v>
      </c>
      <c r="Y63" s="329">
        <f>IFERROR(__xludf.DUMMYFUNCTION("""COMPUTED_VALUE"""),3.0)</f>
        <v>3</v>
      </c>
      <c r="Z63" s="329">
        <f>IFERROR(__xludf.DUMMYFUNCTION("""COMPUTED_VALUE"""),1216.0)</f>
        <v>1216</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IFERROR(__xludf.DUMMYFUNCTION("""COMPUTED_VALUE"""),44136.0)</f>
        <v>44136</v>
      </c>
      <c r="B64" s="329">
        <f>IFERROR(__xludf.DUMMYFUNCTION("""COMPUTED_VALUE"""),330.0)</f>
        <v>330</v>
      </c>
      <c r="C64" s="329">
        <f>IFERROR(__xludf.DUMMYFUNCTION("""COMPUTED_VALUE"""),499.0)</f>
        <v>499</v>
      </c>
      <c r="D64" s="329">
        <f>IFERROR(__xludf.DUMMYFUNCTION("""COMPUTED_VALUE"""),45483.0)</f>
        <v>45483</v>
      </c>
      <c r="E64" s="329">
        <f>IFERROR(__xludf.DUMMYFUNCTION("""COMPUTED_VALUE"""),5092.0)</f>
        <v>5092</v>
      </c>
      <c r="F64" s="258">
        <f>IFERROR(__xludf.DUMMYFUNCTION("""COMPUTED_VALUE"""),1116452.0)</f>
        <v>1116452</v>
      </c>
      <c r="G64" s="258">
        <f>IFERROR(__xludf.DUMMYFUNCTION("""COMPUTED_VALUE"""),5422.0)</f>
        <v>5422</v>
      </c>
      <c r="H64" s="258">
        <f>IFERROR(__xludf.DUMMYFUNCTION("""COMPUTED_VALUE"""),1161935.0)</f>
        <v>1161935</v>
      </c>
      <c r="I64" s="329">
        <f>IFERROR(__xludf.DUMMYFUNCTION("""COMPUTED_VALUE"""),275.0)</f>
        <v>275</v>
      </c>
      <c r="J64" s="329">
        <f>IFERROR(__xludf.DUMMYFUNCTION("""COMPUTED_VALUE"""),411.0)</f>
        <v>411</v>
      </c>
      <c r="K64" s="329">
        <f>IFERROR(__xludf.DUMMYFUNCTION("""COMPUTED_VALUE"""),34215.0)</f>
        <v>34215</v>
      </c>
      <c r="L64" s="329">
        <f>IFERROR(__xludf.DUMMYFUNCTION("""COMPUTED_VALUE"""),1164.0)</f>
        <v>1164</v>
      </c>
      <c r="M64" s="329">
        <f>IFERROR(__xludf.DUMMYFUNCTION("""COMPUTED_VALUE"""),368121.0)</f>
        <v>368121</v>
      </c>
      <c r="N64" s="329">
        <f>IFERROR(__xludf.DUMMYFUNCTION("""COMPUTED_VALUE"""),402336.0)</f>
        <v>402336</v>
      </c>
      <c r="O64" s="329">
        <f>IFERROR(__xludf.DUMMYFUNCTION("""COMPUTED_VALUE"""),22.0)</f>
        <v>22</v>
      </c>
      <c r="P64" s="329">
        <f>IFERROR(__xludf.DUMMYFUNCTION("""COMPUTED_VALUE"""),3343.0)</f>
        <v>3343</v>
      </c>
      <c r="Q64" s="329">
        <f>IFERROR(__xludf.DUMMYFUNCTION("""COMPUTED_VALUE"""),15.0)</f>
        <v>15</v>
      </c>
      <c r="R64" s="329">
        <f>IFERROR(__xludf.DUMMYFUNCTION("""COMPUTED_VALUE"""),2731.0)</f>
        <v>2731</v>
      </c>
      <c r="S64" s="329">
        <f>IFERROR(__xludf.DUMMYFUNCTION("""COMPUTED_VALUE"""),1.0)</f>
        <v>1</v>
      </c>
      <c r="T64" s="329">
        <f>IFERROR(__xludf.DUMMYFUNCTION("""COMPUTED_VALUE"""),407.0)</f>
        <v>407</v>
      </c>
      <c r="U64" s="329">
        <f>IFERROR(__xludf.DUMMYFUNCTION("""COMPUTED_VALUE"""),205.0)</f>
        <v>205</v>
      </c>
      <c r="V64" s="329">
        <f>IFERROR(__xludf.DUMMYFUNCTION("""COMPUTED_VALUE"""),195.0)</f>
        <v>195</v>
      </c>
      <c r="W64" s="329">
        <f>IFERROR(__xludf.DUMMYFUNCTION("""COMPUTED_VALUE"""),28.0)</f>
        <v>28</v>
      </c>
      <c r="X64" s="329">
        <f>IFERROR(__xludf.DUMMYFUNCTION("""COMPUTED_VALUE"""),14.0)</f>
        <v>14</v>
      </c>
      <c r="Y64" s="329">
        <f>IFERROR(__xludf.DUMMYFUNCTION("""COMPUTED_VALUE"""),4.0)</f>
        <v>4</v>
      </c>
      <c r="Z64" s="329">
        <f>IFERROR(__xludf.DUMMYFUNCTION("""COMPUTED_VALUE"""),1220.0)</f>
        <v>1220</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IFERROR(__xludf.DUMMYFUNCTION("""COMPUTED_VALUE"""),44137.0)</f>
        <v>44137</v>
      </c>
      <c r="B65" s="329">
        <f>IFERROR(__xludf.DUMMYFUNCTION("""COMPUTED_VALUE"""),525.0)</f>
        <v>525</v>
      </c>
      <c r="C65" s="329">
        <f>IFERROR(__xludf.DUMMYFUNCTION("""COMPUTED_VALUE"""),486.0)</f>
        <v>486</v>
      </c>
      <c r="D65" s="329">
        <f>IFERROR(__xludf.DUMMYFUNCTION("""COMPUTED_VALUE"""),46008.0)</f>
        <v>46008</v>
      </c>
      <c r="E65" s="329">
        <f>IFERROR(__xludf.DUMMYFUNCTION("""COMPUTED_VALUE"""),9935.0)</f>
        <v>9935</v>
      </c>
      <c r="F65" s="258">
        <f>IFERROR(__xludf.DUMMYFUNCTION("""COMPUTED_VALUE"""),1126387.0)</f>
        <v>1126387</v>
      </c>
      <c r="G65" s="258">
        <f>IFERROR(__xludf.DUMMYFUNCTION("""COMPUTED_VALUE"""),10460.0)</f>
        <v>10460</v>
      </c>
      <c r="H65" s="258">
        <f>IFERROR(__xludf.DUMMYFUNCTION("""COMPUTED_VALUE"""),1172395.0)</f>
        <v>1172395</v>
      </c>
      <c r="I65" s="329">
        <f>IFERROR(__xludf.DUMMYFUNCTION("""COMPUTED_VALUE"""),456.0)</f>
        <v>456</v>
      </c>
      <c r="J65" s="329">
        <f>IFERROR(__xludf.DUMMYFUNCTION("""COMPUTED_VALUE"""),406.0)</f>
        <v>406</v>
      </c>
      <c r="K65" s="329">
        <f>IFERROR(__xludf.DUMMYFUNCTION("""COMPUTED_VALUE"""),34671.0)</f>
        <v>34671</v>
      </c>
      <c r="L65" s="329">
        <f>IFERROR(__xludf.DUMMYFUNCTION("""COMPUTED_VALUE"""),2742.0)</f>
        <v>2742</v>
      </c>
      <c r="M65" s="329">
        <f>IFERROR(__xludf.DUMMYFUNCTION("""COMPUTED_VALUE"""),370863.0)</f>
        <v>370863</v>
      </c>
      <c r="N65" s="329">
        <f>IFERROR(__xludf.DUMMYFUNCTION("""COMPUTED_VALUE"""),405534.0)</f>
        <v>405534</v>
      </c>
      <c r="O65" s="329">
        <f>IFERROR(__xludf.DUMMYFUNCTION("""COMPUTED_VALUE"""),38.0)</f>
        <v>38</v>
      </c>
      <c r="P65" s="329">
        <f>IFERROR(__xludf.DUMMYFUNCTION("""COMPUTED_VALUE"""),3381.0)</f>
        <v>3381</v>
      </c>
      <c r="Q65" s="329">
        <f>IFERROR(__xludf.DUMMYFUNCTION("""COMPUTED_VALUE"""),27.0)</f>
        <v>27</v>
      </c>
      <c r="R65" s="329">
        <f>IFERROR(__xludf.DUMMYFUNCTION("""COMPUTED_VALUE"""),2758.0)</f>
        <v>2758</v>
      </c>
      <c r="S65" s="329">
        <f>IFERROR(__xludf.DUMMYFUNCTION("""COMPUTED_VALUE"""),3.0)</f>
        <v>3</v>
      </c>
      <c r="T65" s="329">
        <f>IFERROR(__xludf.DUMMYFUNCTION("""COMPUTED_VALUE"""),410.0)</f>
        <v>410</v>
      </c>
      <c r="U65" s="329">
        <f>IFERROR(__xludf.DUMMYFUNCTION("""COMPUTED_VALUE"""),213.0)</f>
        <v>213</v>
      </c>
      <c r="V65" s="329">
        <f>IFERROR(__xludf.DUMMYFUNCTION("""COMPUTED_VALUE"""),206.0)</f>
        <v>206</v>
      </c>
      <c r="W65" s="329">
        <f>IFERROR(__xludf.DUMMYFUNCTION("""COMPUTED_VALUE"""),26.0)</f>
        <v>26</v>
      </c>
      <c r="X65" s="329">
        <f>IFERROR(__xludf.DUMMYFUNCTION("""COMPUTED_VALUE"""),14.0)</f>
        <v>14</v>
      </c>
      <c r="Y65" s="329">
        <f>IFERROR(__xludf.DUMMYFUNCTION("""COMPUTED_VALUE"""),6.0)</f>
        <v>6</v>
      </c>
      <c r="Z65" s="329">
        <f>IFERROR(__xludf.DUMMYFUNCTION("""COMPUTED_VALUE"""),1226.0)</f>
        <v>1226</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IFERROR(__xludf.DUMMYFUNCTION("""COMPUTED_VALUE"""),44138.0)</f>
        <v>44138</v>
      </c>
      <c r="B66" s="329">
        <f>IFERROR(__xludf.DUMMYFUNCTION("""COMPUTED_VALUE"""),601.0)</f>
        <v>601</v>
      </c>
      <c r="C66" s="329">
        <f>IFERROR(__xludf.DUMMYFUNCTION("""COMPUTED_VALUE"""),485.0)</f>
        <v>485</v>
      </c>
      <c r="D66" s="329">
        <f>IFERROR(__xludf.DUMMYFUNCTION("""COMPUTED_VALUE"""),46609.0)</f>
        <v>46609</v>
      </c>
      <c r="E66" s="329">
        <f>IFERROR(__xludf.DUMMYFUNCTION("""COMPUTED_VALUE"""),13041.0)</f>
        <v>13041</v>
      </c>
      <c r="F66" s="258">
        <f>IFERROR(__xludf.DUMMYFUNCTION("""COMPUTED_VALUE"""),1139428.0)</f>
        <v>1139428</v>
      </c>
      <c r="G66" s="258">
        <f>IFERROR(__xludf.DUMMYFUNCTION("""COMPUTED_VALUE"""),13642.0)</f>
        <v>13642</v>
      </c>
      <c r="H66" s="258">
        <f>IFERROR(__xludf.DUMMYFUNCTION("""COMPUTED_VALUE"""),1186037.0)</f>
        <v>1186037</v>
      </c>
      <c r="I66" s="329">
        <f>IFERROR(__xludf.DUMMYFUNCTION("""COMPUTED_VALUE"""),529.0)</f>
        <v>529</v>
      </c>
      <c r="J66" s="329">
        <f>IFERROR(__xludf.DUMMYFUNCTION("""COMPUTED_VALUE"""),420.0)</f>
        <v>420</v>
      </c>
      <c r="K66" s="329">
        <f>IFERROR(__xludf.DUMMYFUNCTION("""COMPUTED_VALUE"""),35200.0)</f>
        <v>35200</v>
      </c>
      <c r="L66" s="329">
        <f>IFERROR(__xludf.DUMMYFUNCTION("""COMPUTED_VALUE"""),2317.0)</f>
        <v>2317</v>
      </c>
      <c r="M66" s="329">
        <f>IFERROR(__xludf.DUMMYFUNCTION("""COMPUTED_VALUE"""),373180.0)</f>
        <v>373180</v>
      </c>
      <c r="N66" s="329">
        <f>IFERROR(__xludf.DUMMYFUNCTION("""COMPUTED_VALUE"""),408380.0)</f>
        <v>408380</v>
      </c>
      <c r="O66" s="329">
        <f>IFERROR(__xludf.DUMMYFUNCTION("""COMPUTED_VALUE"""),33.0)</f>
        <v>33</v>
      </c>
      <c r="P66" s="329">
        <f>IFERROR(__xludf.DUMMYFUNCTION("""COMPUTED_VALUE"""),3414.0)</f>
        <v>3414</v>
      </c>
      <c r="Q66" s="329">
        <f>IFERROR(__xludf.DUMMYFUNCTION("""COMPUTED_VALUE"""),25.0)</f>
        <v>25</v>
      </c>
      <c r="R66" s="329">
        <f>IFERROR(__xludf.DUMMYFUNCTION("""COMPUTED_VALUE"""),2783.0)</f>
        <v>2783</v>
      </c>
      <c r="S66" s="329">
        <f>IFERROR(__xludf.DUMMYFUNCTION("""COMPUTED_VALUE"""),1.0)</f>
        <v>1</v>
      </c>
      <c r="T66" s="329">
        <f>IFERROR(__xludf.DUMMYFUNCTION("""COMPUTED_VALUE"""),411.0)</f>
        <v>411</v>
      </c>
      <c r="U66" s="329">
        <f>IFERROR(__xludf.DUMMYFUNCTION("""COMPUTED_VALUE"""),220.0)</f>
        <v>220</v>
      </c>
      <c r="V66" s="329">
        <f>IFERROR(__xludf.DUMMYFUNCTION("""COMPUTED_VALUE"""),213.0)</f>
        <v>213</v>
      </c>
      <c r="W66" s="329">
        <f>IFERROR(__xludf.DUMMYFUNCTION("""COMPUTED_VALUE"""),26.0)</f>
        <v>26</v>
      </c>
      <c r="X66" s="329">
        <f>IFERROR(__xludf.DUMMYFUNCTION("""COMPUTED_VALUE"""),14.0)</f>
        <v>14</v>
      </c>
      <c r="Y66" s="329">
        <f>IFERROR(__xludf.DUMMYFUNCTION("""COMPUTED_VALUE"""),1.0)</f>
        <v>1</v>
      </c>
      <c r="Z66" s="329">
        <f>IFERROR(__xludf.DUMMYFUNCTION("""COMPUTED_VALUE"""),1227.0)</f>
        <v>1227</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IFERROR(__xludf.DUMMYFUNCTION("""COMPUTED_VALUE"""),44139.0)</f>
        <v>44139</v>
      </c>
      <c r="B67" s="329">
        <f>IFERROR(__xludf.DUMMYFUNCTION("""COMPUTED_VALUE"""),689.0)</f>
        <v>689</v>
      </c>
      <c r="C67" s="329">
        <f>IFERROR(__xludf.DUMMYFUNCTION("""COMPUTED_VALUE"""),605.0)</f>
        <v>605</v>
      </c>
      <c r="D67" s="329">
        <f>IFERROR(__xludf.DUMMYFUNCTION("""COMPUTED_VALUE"""),47298.0)</f>
        <v>47298</v>
      </c>
      <c r="E67" s="329">
        <f>IFERROR(__xludf.DUMMYFUNCTION("""COMPUTED_VALUE"""),16106.0)</f>
        <v>16106</v>
      </c>
      <c r="F67" s="258">
        <f>IFERROR(__xludf.DUMMYFUNCTION("""COMPUTED_VALUE"""),1155534.0)</f>
        <v>1155534</v>
      </c>
      <c r="G67" s="258">
        <f>IFERROR(__xludf.DUMMYFUNCTION("""COMPUTED_VALUE"""),16795.0)</f>
        <v>16795</v>
      </c>
      <c r="H67" s="258">
        <f>IFERROR(__xludf.DUMMYFUNCTION("""COMPUTED_VALUE"""),1202832.0)</f>
        <v>1202832</v>
      </c>
      <c r="I67" s="329">
        <f>IFERROR(__xludf.DUMMYFUNCTION("""COMPUTED_VALUE"""),639.0)</f>
        <v>639</v>
      </c>
      <c r="J67" s="329">
        <f>IFERROR(__xludf.DUMMYFUNCTION("""COMPUTED_VALUE"""),541.0)</f>
        <v>541</v>
      </c>
      <c r="K67" s="329">
        <f>IFERROR(__xludf.DUMMYFUNCTION("""COMPUTED_VALUE"""),35839.0)</f>
        <v>35839</v>
      </c>
      <c r="L67" s="329">
        <f>IFERROR(__xludf.DUMMYFUNCTION("""COMPUTED_VALUE"""),2716.0)</f>
        <v>2716</v>
      </c>
      <c r="M67" s="329">
        <f>IFERROR(__xludf.DUMMYFUNCTION("""COMPUTED_VALUE"""),375896.0)</f>
        <v>375896</v>
      </c>
      <c r="N67" s="329">
        <f>IFERROR(__xludf.DUMMYFUNCTION("""COMPUTED_VALUE"""),411735.0)</f>
        <v>411735</v>
      </c>
      <c r="O67" s="329">
        <f>IFERROR(__xludf.DUMMYFUNCTION("""COMPUTED_VALUE"""),32.0)</f>
        <v>32</v>
      </c>
      <c r="P67" s="329">
        <f>IFERROR(__xludf.DUMMYFUNCTION("""COMPUTED_VALUE"""),3446.0)</f>
        <v>3446</v>
      </c>
      <c r="Q67" s="329">
        <f>IFERROR(__xludf.DUMMYFUNCTION("""COMPUTED_VALUE"""),25.0)</f>
        <v>25</v>
      </c>
      <c r="R67" s="329">
        <f>IFERROR(__xludf.DUMMYFUNCTION("""COMPUTED_VALUE"""),2808.0)</f>
        <v>2808</v>
      </c>
      <c r="S67" s="329">
        <f>IFERROR(__xludf.DUMMYFUNCTION("""COMPUTED_VALUE"""),2.0)</f>
        <v>2</v>
      </c>
      <c r="T67" s="329">
        <f>IFERROR(__xludf.DUMMYFUNCTION("""COMPUTED_VALUE"""),413.0)</f>
        <v>413</v>
      </c>
      <c r="U67" s="329">
        <f>IFERROR(__xludf.DUMMYFUNCTION("""COMPUTED_VALUE"""),225.0)</f>
        <v>225</v>
      </c>
      <c r="V67" s="329">
        <f>IFERROR(__xludf.DUMMYFUNCTION("""COMPUTED_VALUE"""),219.0)</f>
        <v>219</v>
      </c>
      <c r="W67" s="329">
        <f>IFERROR(__xludf.DUMMYFUNCTION("""COMPUTED_VALUE"""),27.0)</f>
        <v>27</v>
      </c>
      <c r="X67" s="329">
        <f>IFERROR(__xludf.DUMMYFUNCTION("""COMPUTED_VALUE"""),13.0)</f>
        <v>13</v>
      </c>
      <c r="Y67" s="329">
        <f>IFERROR(__xludf.DUMMYFUNCTION("""COMPUTED_VALUE"""),4.0)</f>
        <v>4</v>
      </c>
      <c r="Z67" s="329">
        <f>IFERROR(__xludf.DUMMYFUNCTION("""COMPUTED_VALUE"""),1231.0)</f>
        <v>1231</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IFERROR(__xludf.DUMMYFUNCTION("""COMPUTED_VALUE"""),44140.0)</f>
        <v>44140</v>
      </c>
      <c r="B68" s="329">
        <f>IFERROR(__xludf.DUMMYFUNCTION("""COMPUTED_VALUE"""),768.0)</f>
        <v>768</v>
      </c>
      <c r="C68" s="329">
        <f>IFERROR(__xludf.DUMMYFUNCTION("""COMPUTED_VALUE"""),686.0)</f>
        <v>686</v>
      </c>
      <c r="D68" s="329">
        <f>IFERROR(__xludf.DUMMYFUNCTION("""COMPUTED_VALUE"""),48066.0)</f>
        <v>48066</v>
      </c>
      <c r="E68" s="329">
        <f>IFERROR(__xludf.DUMMYFUNCTION("""COMPUTED_VALUE"""),16597.0)</f>
        <v>16597</v>
      </c>
      <c r="F68" s="258">
        <f>IFERROR(__xludf.DUMMYFUNCTION("""COMPUTED_VALUE"""),1172131.0)</f>
        <v>1172131</v>
      </c>
      <c r="G68" s="258">
        <f>IFERROR(__xludf.DUMMYFUNCTION("""COMPUTED_VALUE"""),17365.0)</f>
        <v>17365</v>
      </c>
      <c r="H68" s="258">
        <f>IFERROR(__xludf.DUMMYFUNCTION("""COMPUTED_VALUE"""),1220197.0)</f>
        <v>1220197</v>
      </c>
      <c r="I68" s="329">
        <f>IFERROR(__xludf.DUMMYFUNCTION("""COMPUTED_VALUE"""),682.0)</f>
        <v>682</v>
      </c>
      <c r="J68" s="329">
        <f>IFERROR(__xludf.DUMMYFUNCTION("""COMPUTED_VALUE"""),617.0)</f>
        <v>617</v>
      </c>
      <c r="K68" s="329">
        <f>IFERROR(__xludf.DUMMYFUNCTION("""COMPUTED_VALUE"""),36521.0)</f>
        <v>36521</v>
      </c>
      <c r="L68" s="329">
        <f>IFERROR(__xludf.DUMMYFUNCTION("""COMPUTED_VALUE"""),2637.0)</f>
        <v>2637</v>
      </c>
      <c r="M68" s="329">
        <f>IFERROR(__xludf.DUMMYFUNCTION("""COMPUTED_VALUE"""),378533.0)</f>
        <v>378533</v>
      </c>
      <c r="N68" s="329">
        <f>IFERROR(__xludf.DUMMYFUNCTION("""COMPUTED_VALUE"""),415054.0)</f>
        <v>415054</v>
      </c>
      <c r="O68" s="329">
        <f>IFERROR(__xludf.DUMMYFUNCTION("""COMPUTED_VALUE"""),46.0)</f>
        <v>46</v>
      </c>
      <c r="P68" s="329">
        <f>IFERROR(__xludf.DUMMYFUNCTION("""COMPUTED_VALUE"""),3492.0)</f>
        <v>3492</v>
      </c>
      <c r="Q68" s="329">
        <f>IFERROR(__xludf.DUMMYFUNCTION("""COMPUTED_VALUE"""),35.0)</f>
        <v>35</v>
      </c>
      <c r="R68" s="329">
        <f>IFERROR(__xludf.DUMMYFUNCTION("""COMPUTED_VALUE"""),2843.0)</f>
        <v>2843</v>
      </c>
      <c r="S68" s="329">
        <f>IFERROR(__xludf.DUMMYFUNCTION("""COMPUTED_VALUE"""),1.0)</f>
        <v>1</v>
      </c>
      <c r="T68" s="329">
        <f>IFERROR(__xludf.DUMMYFUNCTION("""COMPUTED_VALUE"""),414.0)</f>
        <v>414</v>
      </c>
      <c r="U68" s="329">
        <f>IFERROR(__xludf.DUMMYFUNCTION("""COMPUTED_VALUE"""),235.0)</f>
        <v>235</v>
      </c>
      <c r="V68" s="329">
        <f>IFERROR(__xludf.DUMMYFUNCTION("""COMPUTED_VALUE"""),227.0)</f>
        <v>227</v>
      </c>
      <c r="W68" s="329">
        <f>IFERROR(__xludf.DUMMYFUNCTION("""COMPUTED_VALUE"""),26.0)</f>
        <v>26</v>
      </c>
      <c r="X68" s="329">
        <f>IFERROR(__xludf.DUMMYFUNCTION("""COMPUTED_VALUE"""),15.0)</f>
        <v>15</v>
      </c>
      <c r="Y68" s="329">
        <f>IFERROR(__xludf.DUMMYFUNCTION("""COMPUTED_VALUE"""),4.0)</f>
        <v>4</v>
      </c>
      <c r="Z68" s="329">
        <f>IFERROR(__xludf.DUMMYFUNCTION("""COMPUTED_VALUE"""),1235.0)</f>
        <v>1235</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IFERROR(__xludf.DUMMYFUNCTION("""COMPUTED_VALUE"""),44141.0)</f>
        <v>44141</v>
      </c>
      <c r="B69" s="329">
        <f>IFERROR(__xludf.DUMMYFUNCTION("""COMPUTED_VALUE"""),774.0)</f>
        <v>774</v>
      </c>
      <c r="C69" s="329">
        <f>IFERROR(__xludf.DUMMYFUNCTION("""COMPUTED_VALUE"""),744.0)</f>
        <v>744</v>
      </c>
      <c r="D69" s="329">
        <f>IFERROR(__xludf.DUMMYFUNCTION("""COMPUTED_VALUE"""),48840.0)</f>
        <v>48840</v>
      </c>
      <c r="E69" s="329">
        <f>IFERROR(__xludf.DUMMYFUNCTION("""COMPUTED_VALUE"""),16029.0)</f>
        <v>16029</v>
      </c>
      <c r="F69" s="258">
        <f>IFERROR(__xludf.DUMMYFUNCTION("""COMPUTED_VALUE"""),1188160.0)</f>
        <v>1188160</v>
      </c>
      <c r="G69" s="258">
        <f>IFERROR(__xludf.DUMMYFUNCTION("""COMPUTED_VALUE"""),16803.0)</f>
        <v>16803</v>
      </c>
      <c r="H69" s="258">
        <f>IFERROR(__xludf.DUMMYFUNCTION("""COMPUTED_VALUE"""),1237000.0)</f>
        <v>1237000</v>
      </c>
      <c r="I69" s="329">
        <f>IFERROR(__xludf.DUMMYFUNCTION("""COMPUTED_VALUE"""),692.0)</f>
        <v>692</v>
      </c>
      <c r="J69" s="329">
        <f>IFERROR(__xludf.DUMMYFUNCTION("""COMPUTED_VALUE"""),671.0)</f>
        <v>671</v>
      </c>
      <c r="K69" s="329">
        <f>IFERROR(__xludf.DUMMYFUNCTION("""COMPUTED_VALUE"""),37213.0)</f>
        <v>37213</v>
      </c>
      <c r="L69" s="329">
        <f>IFERROR(__xludf.DUMMYFUNCTION("""COMPUTED_VALUE"""),2824.0)</f>
        <v>2824</v>
      </c>
      <c r="M69" s="329">
        <f>IFERROR(__xludf.DUMMYFUNCTION("""COMPUTED_VALUE"""),381357.0)</f>
        <v>381357</v>
      </c>
      <c r="N69" s="329">
        <f>IFERROR(__xludf.DUMMYFUNCTION("""COMPUTED_VALUE"""),418570.0)</f>
        <v>418570</v>
      </c>
      <c r="O69" s="329">
        <f>IFERROR(__xludf.DUMMYFUNCTION("""COMPUTED_VALUE"""),43.0)</f>
        <v>43</v>
      </c>
      <c r="P69" s="329">
        <f>IFERROR(__xludf.DUMMYFUNCTION("""COMPUTED_VALUE"""),3535.0)</f>
        <v>3535</v>
      </c>
      <c r="Q69" s="329">
        <f>IFERROR(__xludf.DUMMYFUNCTION("""COMPUTED_VALUE"""),31.0)</f>
        <v>31</v>
      </c>
      <c r="R69" s="329">
        <f>IFERROR(__xludf.DUMMYFUNCTION("""COMPUTED_VALUE"""),2874.0)</f>
        <v>2874</v>
      </c>
      <c r="S69" s="329">
        <f>IFERROR(__xludf.DUMMYFUNCTION("""COMPUTED_VALUE"""),1.0)</f>
        <v>1</v>
      </c>
      <c r="T69" s="329">
        <f>IFERROR(__xludf.DUMMYFUNCTION("""COMPUTED_VALUE"""),415.0)</f>
        <v>415</v>
      </c>
      <c r="U69" s="329">
        <f>IFERROR(__xludf.DUMMYFUNCTION("""COMPUTED_VALUE"""),246.0)</f>
        <v>246</v>
      </c>
      <c r="V69" s="329">
        <f>IFERROR(__xludf.DUMMYFUNCTION("""COMPUTED_VALUE"""),235.0)</f>
        <v>235</v>
      </c>
      <c r="W69" s="329">
        <f>IFERROR(__xludf.DUMMYFUNCTION("""COMPUTED_VALUE"""),30.0)</f>
        <v>30</v>
      </c>
      <c r="X69" s="329">
        <f>IFERROR(__xludf.DUMMYFUNCTION("""COMPUTED_VALUE"""),18.0)</f>
        <v>18</v>
      </c>
      <c r="Y69" s="329">
        <f>IFERROR(__xludf.DUMMYFUNCTION("""COMPUTED_VALUE"""),5.0)</f>
        <v>5</v>
      </c>
      <c r="Z69" s="329">
        <f>IFERROR(__xludf.DUMMYFUNCTION("""COMPUTED_VALUE"""),1240.0)</f>
        <v>1240</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IFERROR(__xludf.DUMMYFUNCTION("""COMPUTED_VALUE"""),44142.0)</f>
        <v>44142</v>
      </c>
      <c r="B70" s="329">
        <f>IFERROR(__xludf.DUMMYFUNCTION("""COMPUTED_VALUE"""),603.0)</f>
        <v>603</v>
      </c>
      <c r="C70" s="329">
        <f>IFERROR(__xludf.DUMMYFUNCTION("""COMPUTED_VALUE"""),715.0)</f>
        <v>715</v>
      </c>
      <c r="D70" s="329">
        <f>IFERROR(__xludf.DUMMYFUNCTION("""COMPUTED_VALUE"""),49443.0)</f>
        <v>49443</v>
      </c>
      <c r="E70" s="329">
        <f>IFERROR(__xludf.DUMMYFUNCTION("""COMPUTED_VALUE"""),13652.0)</f>
        <v>13652</v>
      </c>
      <c r="F70" s="258">
        <f>IFERROR(__xludf.DUMMYFUNCTION("""COMPUTED_VALUE"""),1201812.0)</f>
        <v>1201812</v>
      </c>
      <c r="G70" s="258">
        <f>IFERROR(__xludf.DUMMYFUNCTION("""COMPUTED_VALUE"""),14255.0)</f>
        <v>14255</v>
      </c>
      <c r="H70" s="258">
        <f>IFERROR(__xludf.DUMMYFUNCTION("""COMPUTED_VALUE"""),1251255.0)</f>
        <v>1251255</v>
      </c>
      <c r="I70" s="329">
        <f>IFERROR(__xludf.DUMMYFUNCTION("""COMPUTED_VALUE"""),575.0)</f>
        <v>575</v>
      </c>
      <c r="J70" s="329">
        <f>IFERROR(__xludf.DUMMYFUNCTION("""COMPUTED_VALUE"""),650.0)</f>
        <v>650</v>
      </c>
      <c r="K70" s="329">
        <f>IFERROR(__xludf.DUMMYFUNCTION("""COMPUTED_VALUE"""),37788.0)</f>
        <v>37788</v>
      </c>
      <c r="L70" s="329">
        <f>IFERROR(__xludf.DUMMYFUNCTION("""COMPUTED_VALUE"""),2289.0)</f>
        <v>2289</v>
      </c>
      <c r="M70" s="329">
        <f>IFERROR(__xludf.DUMMYFUNCTION("""COMPUTED_VALUE"""),383646.0)</f>
        <v>383646</v>
      </c>
      <c r="N70" s="329">
        <f>IFERROR(__xludf.DUMMYFUNCTION("""COMPUTED_VALUE"""),421434.0)</f>
        <v>421434</v>
      </c>
      <c r="O70" s="329">
        <f>IFERROR(__xludf.DUMMYFUNCTION("""COMPUTED_VALUE"""),34.0)</f>
        <v>34</v>
      </c>
      <c r="P70" s="329">
        <f>IFERROR(__xludf.DUMMYFUNCTION("""COMPUTED_VALUE"""),3569.0)</f>
        <v>3569</v>
      </c>
      <c r="Q70" s="329">
        <f>IFERROR(__xludf.DUMMYFUNCTION("""COMPUTED_VALUE"""),25.0)</f>
        <v>25</v>
      </c>
      <c r="R70" s="329">
        <f>IFERROR(__xludf.DUMMYFUNCTION("""COMPUTED_VALUE"""),2899.0)</f>
        <v>2899</v>
      </c>
      <c r="S70" s="329">
        <f>IFERROR(__xludf.DUMMYFUNCTION("""COMPUTED_VALUE"""),1.0)</f>
        <v>1</v>
      </c>
      <c r="T70" s="329">
        <f>IFERROR(__xludf.DUMMYFUNCTION("""COMPUTED_VALUE"""),416.0)</f>
        <v>416</v>
      </c>
      <c r="U70" s="329">
        <f>IFERROR(__xludf.DUMMYFUNCTION("""COMPUTED_VALUE"""),254.0)</f>
        <v>254</v>
      </c>
      <c r="V70" s="329">
        <f>IFERROR(__xludf.DUMMYFUNCTION("""COMPUTED_VALUE"""),245.0)</f>
        <v>245</v>
      </c>
      <c r="W70" s="329">
        <f>IFERROR(__xludf.DUMMYFUNCTION("""COMPUTED_VALUE"""),33.0)</f>
        <v>33</v>
      </c>
      <c r="X70" s="329">
        <f>IFERROR(__xludf.DUMMYFUNCTION("""COMPUTED_VALUE"""),19.0)</f>
        <v>19</v>
      </c>
      <c r="Y70" s="329">
        <f>IFERROR(__xludf.DUMMYFUNCTION("""COMPUTED_VALUE"""),1.0)</f>
        <v>1</v>
      </c>
      <c r="Z70" s="329">
        <f>IFERROR(__xludf.DUMMYFUNCTION("""COMPUTED_VALUE"""),1241.0)</f>
        <v>1241</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IFERROR(__xludf.DUMMYFUNCTION("""COMPUTED_VALUE"""),44143.0)</f>
        <v>44143</v>
      </c>
      <c r="B71" s="329">
        <f>IFERROR(__xludf.DUMMYFUNCTION("""COMPUTED_VALUE"""),337.0)</f>
        <v>337</v>
      </c>
      <c r="C71" s="329">
        <f>IFERROR(__xludf.DUMMYFUNCTION("""COMPUTED_VALUE"""),571.0)</f>
        <v>571</v>
      </c>
      <c r="D71" s="329">
        <f>IFERROR(__xludf.DUMMYFUNCTION("""COMPUTED_VALUE"""),49780.0)</f>
        <v>49780</v>
      </c>
      <c r="E71" s="329">
        <f>IFERROR(__xludf.DUMMYFUNCTION("""COMPUTED_VALUE"""),4168.0)</f>
        <v>4168</v>
      </c>
      <c r="F71" s="258">
        <f>IFERROR(__xludf.DUMMYFUNCTION("""COMPUTED_VALUE"""),1205980.0)</f>
        <v>1205980</v>
      </c>
      <c r="G71" s="258">
        <f>IFERROR(__xludf.DUMMYFUNCTION("""COMPUTED_VALUE"""),4505.0)</f>
        <v>4505</v>
      </c>
      <c r="H71" s="258">
        <f>IFERROR(__xludf.DUMMYFUNCTION("""COMPUTED_VALUE"""),1255760.0)</f>
        <v>1255760</v>
      </c>
      <c r="I71" s="329">
        <f>IFERROR(__xludf.DUMMYFUNCTION("""COMPUTED_VALUE"""),326.0)</f>
        <v>326</v>
      </c>
      <c r="J71" s="329">
        <f>IFERROR(__xludf.DUMMYFUNCTION("""COMPUTED_VALUE"""),531.0)</f>
        <v>531</v>
      </c>
      <c r="K71" s="329">
        <f>IFERROR(__xludf.DUMMYFUNCTION("""COMPUTED_VALUE"""),38114.0)</f>
        <v>38114</v>
      </c>
      <c r="L71" s="329">
        <f>IFERROR(__xludf.DUMMYFUNCTION("""COMPUTED_VALUE"""),1197.0)</f>
        <v>1197</v>
      </c>
      <c r="M71" s="329">
        <f>IFERROR(__xludf.DUMMYFUNCTION("""COMPUTED_VALUE"""),384843.0)</f>
        <v>384843</v>
      </c>
      <c r="N71" s="329">
        <f>IFERROR(__xludf.DUMMYFUNCTION("""COMPUTED_VALUE"""),422957.0)</f>
        <v>422957</v>
      </c>
      <c r="O71" s="329">
        <f>IFERROR(__xludf.DUMMYFUNCTION("""COMPUTED_VALUE"""),33.0)</f>
        <v>33</v>
      </c>
      <c r="P71" s="329">
        <f>IFERROR(__xludf.DUMMYFUNCTION("""COMPUTED_VALUE"""),3602.0)</f>
        <v>3602</v>
      </c>
      <c r="Q71" s="329">
        <f>IFERROR(__xludf.DUMMYFUNCTION("""COMPUTED_VALUE"""),26.0)</f>
        <v>26</v>
      </c>
      <c r="R71" s="329">
        <f>IFERROR(__xludf.DUMMYFUNCTION("""COMPUTED_VALUE"""),2925.0)</f>
        <v>2925</v>
      </c>
      <c r="S71" s="329">
        <f>IFERROR(__xludf.DUMMYFUNCTION("""COMPUTED_VALUE"""),1.0)</f>
        <v>1</v>
      </c>
      <c r="T71" s="329">
        <f>IFERROR(__xludf.DUMMYFUNCTION("""COMPUTED_VALUE"""),417.0)</f>
        <v>417</v>
      </c>
      <c r="U71" s="329">
        <f>IFERROR(__xludf.DUMMYFUNCTION("""COMPUTED_VALUE"""),260.0)</f>
        <v>260</v>
      </c>
      <c r="V71" s="329">
        <f>IFERROR(__xludf.DUMMYFUNCTION("""COMPUTED_VALUE"""),253.0)</f>
        <v>253</v>
      </c>
      <c r="W71" s="329">
        <f>IFERROR(__xludf.DUMMYFUNCTION("""COMPUTED_VALUE"""),32.0)</f>
        <v>32</v>
      </c>
      <c r="X71" s="329">
        <f>IFERROR(__xludf.DUMMYFUNCTION("""COMPUTED_VALUE"""),20.0)</f>
        <v>20</v>
      </c>
      <c r="Y71" s="329">
        <f>IFERROR(__xludf.DUMMYFUNCTION("""COMPUTED_VALUE"""),6.0)</f>
        <v>6</v>
      </c>
      <c r="Z71" s="329">
        <f>IFERROR(__xludf.DUMMYFUNCTION("""COMPUTED_VALUE"""),1247.0)</f>
        <v>1247</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IFERROR(__xludf.DUMMYFUNCTION("""COMPUTED_VALUE"""),44144.0)</f>
        <v>44144</v>
      </c>
      <c r="B72" s="329">
        <f>IFERROR(__xludf.DUMMYFUNCTION("""COMPUTED_VALUE"""),809.0)</f>
        <v>809</v>
      </c>
      <c r="C72" s="329">
        <f>IFERROR(__xludf.DUMMYFUNCTION("""COMPUTED_VALUE"""),583.0)</f>
        <v>583</v>
      </c>
      <c r="D72" s="329">
        <f>IFERROR(__xludf.DUMMYFUNCTION("""COMPUTED_VALUE"""),50589.0)</f>
        <v>50589</v>
      </c>
      <c r="E72" s="329">
        <f>IFERROR(__xludf.DUMMYFUNCTION("""COMPUTED_VALUE"""),9063.0)</f>
        <v>9063</v>
      </c>
      <c r="F72" s="258">
        <f>IFERROR(__xludf.DUMMYFUNCTION("""COMPUTED_VALUE"""),1215043.0)</f>
        <v>1215043</v>
      </c>
      <c r="G72" s="258">
        <f>IFERROR(__xludf.DUMMYFUNCTION("""COMPUTED_VALUE"""),9872.0)</f>
        <v>9872</v>
      </c>
      <c r="H72" s="258">
        <f>IFERROR(__xludf.DUMMYFUNCTION("""COMPUTED_VALUE"""),1265632.0)</f>
        <v>1265632</v>
      </c>
      <c r="I72" s="329">
        <f>IFERROR(__xludf.DUMMYFUNCTION("""COMPUTED_VALUE"""),763.0)</f>
        <v>763</v>
      </c>
      <c r="J72" s="329">
        <f>IFERROR(__xludf.DUMMYFUNCTION("""COMPUTED_VALUE"""),555.0)</f>
        <v>555</v>
      </c>
      <c r="K72" s="329">
        <f>IFERROR(__xludf.DUMMYFUNCTION("""COMPUTED_VALUE"""),38877.0)</f>
        <v>38877</v>
      </c>
      <c r="L72" s="329">
        <f>IFERROR(__xludf.DUMMYFUNCTION("""COMPUTED_VALUE"""),2159.0)</f>
        <v>2159</v>
      </c>
      <c r="M72" s="329">
        <f>IFERROR(__xludf.DUMMYFUNCTION("""COMPUTED_VALUE"""),387002.0)</f>
        <v>387002</v>
      </c>
      <c r="N72" s="329">
        <f>IFERROR(__xludf.DUMMYFUNCTION("""COMPUTED_VALUE"""),425879.0)</f>
        <v>425879</v>
      </c>
      <c r="O72" s="329">
        <f>IFERROR(__xludf.DUMMYFUNCTION("""COMPUTED_VALUE"""),39.0)</f>
        <v>39</v>
      </c>
      <c r="P72" s="329">
        <f>IFERROR(__xludf.DUMMYFUNCTION("""COMPUTED_VALUE"""),3641.0)</f>
        <v>3641</v>
      </c>
      <c r="Q72" s="329">
        <f>IFERROR(__xludf.DUMMYFUNCTION("""COMPUTED_VALUE"""),33.0)</f>
        <v>33</v>
      </c>
      <c r="R72" s="329">
        <f>IFERROR(__xludf.DUMMYFUNCTION("""COMPUTED_VALUE"""),2958.0)</f>
        <v>2958</v>
      </c>
      <c r="S72" s="329">
        <f>IFERROR(__xludf.DUMMYFUNCTION("""COMPUTED_VALUE"""),2.0)</f>
        <v>2</v>
      </c>
      <c r="T72" s="329">
        <f>IFERROR(__xludf.DUMMYFUNCTION("""COMPUTED_VALUE"""),419.0)</f>
        <v>419</v>
      </c>
      <c r="U72" s="329">
        <f>IFERROR(__xludf.DUMMYFUNCTION("""COMPUTED_VALUE"""),264.0)</f>
        <v>264</v>
      </c>
      <c r="V72" s="329">
        <f>IFERROR(__xludf.DUMMYFUNCTION("""COMPUTED_VALUE"""),259.0)</f>
        <v>259</v>
      </c>
      <c r="W72" s="329">
        <f>IFERROR(__xludf.DUMMYFUNCTION("""COMPUTED_VALUE"""),30.0)</f>
        <v>30</v>
      </c>
      <c r="X72" s="329">
        <f>IFERROR(__xludf.DUMMYFUNCTION("""COMPUTED_VALUE"""),19.0)</f>
        <v>19</v>
      </c>
      <c r="Y72" s="329">
        <f>IFERROR(__xludf.DUMMYFUNCTION("""COMPUTED_VALUE"""),4.0)</f>
        <v>4</v>
      </c>
      <c r="Z72" s="329">
        <f>IFERROR(__xludf.DUMMYFUNCTION("""COMPUTED_VALUE"""),1251.0)</f>
        <v>1251</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IFERROR(__xludf.DUMMYFUNCTION("""COMPUTED_VALUE"""),44145.0)</f>
        <v>44145</v>
      </c>
      <c r="B73" s="329">
        <f>IFERROR(__xludf.DUMMYFUNCTION("""COMPUTED_VALUE"""),1058.0)</f>
        <v>1058</v>
      </c>
      <c r="C73" s="329">
        <f>IFERROR(__xludf.DUMMYFUNCTION("""COMPUTED_VALUE"""),735.0)</f>
        <v>735</v>
      </c>
      <c r="D73" s="329">
        <f>IFERROR(__xludf.DUMMYFUNCTION("""COMPUTED_VALUE"""),51647.0)</f>
        <v>51647</v>
      </c>
      <c r="E73" s="329">
        <f>IFERROR(__xludf.DUMMYFUNCTION("""COMPUTED_VALUE"""),12983.0)</f>
        <v>12983</v>
      </c>
      <c r="F73" s="258">
        <f>IFERROR(__xludf.DUMMYFUNCTION("""COMPUTED_VALUE"""),1228026.0)</f>
        <v>1228026</v>
      </c>
      <c r="G73" s="258">
        <f>IFERROR(__xludf.DUMMYFUNCTION("""COMPUTED_VALUE"""),14041.0)</f>
        <v>14041</v>
      </c>
      <c r="H73" s="258">
        <f>IFERROR(__xludf.DUMMYFUNCTION("""COMPUTED_VALUE"""),1279673.0)</f>
        <v>1279673</v>
      </c>
      <c r="I73" s="329">
        <f>IFERROR(__xludf.DUMMYFUNCTION("""COMPUTED_VALUE"""),980.0)</f>
        <v>980</v>
      </c>
      <c r="J73" s="329">
        <f>IFERROR(__xludf.DUMMYFUNCTION("""COMPUTED_VALUE"""),690.0)</f>
        <v>690</v>
      </c>
      <c r="K73" s="329">
        <f>IFERROR(__xludf.DUMMYFUNCTION("""COMPUTED_VALUE"""),39857.0)</f>
        <v>39857</v>
      </c>
      <c r="L73" s="329">
        <f>IFERROR(__xludf.DUMMYFUNCTION("""COMPUTED_VALUE"""),2675.0)</f>
        <v>2675</v>
      </c>
      <c r="M73" s="329">
        <f>IFERROR(__xludf.DUMMYFUNCTION("""COMPUTED_VALUE"""),389677.0)</f>
        <v>389677</v>
      </c>
      <c r="N73" s="329">
        <f>IFERROR(__xludf.DUMMYFUNCTION("""COMPUTED_VALUE"""),429534.0)</f>
        <v>429534</v>
      </c>
      <c r="O73" s="329">
        <f>IFERROR(__xludf.DUMMYFUNCTION("""COMPUTED_VALUE"""),44.0)</f>
        <v>44</v>
      </c>
      <c r="P73" s="329">
        <f>IFERROR(__xludf.DUMMYFUNCTION("""COMPUTED_VALUE"""),3685.0)</f>
        <v>3685</v>
      </c>
      <c r="Q73" s="329">
        <f>IFERROR(__xludf.DUMMYFUNCTION("""COMPUTED_VALUE"""),35.0)</f>
        <v>35</v>
      </c>
      <c r="R73" s="329">
        <f>IFERROR(__xludf.DUMMYFUNCTION("""COMPUTED_VALUE"""),2993.0)</f>
        <v>2993</v>
      </c>
      <c r="S73" s="329">
        <f>IFERROR(__xludf.DUMMYFUNCTION("""COMPUTED_VALUE"""),0.0)</f>
        <v>0</v>
      </c>
      <c r="T73" s="329">
        <f>IFERROR(__xludf.DUMMYFUNCTION("""COMPUTED_VALUE"""),419.0)</f>
        <v>419</v>
      </c>
      <c r="U73" s="329">
        <f>IFERROR(__xludf.DUMMYFUNCTION("""COMPUTED_VALUE"""),273.0)</f>
        <v>273</v>
      </c>
      <c r="V73" s="329">
        <f>IFERROR(__xludf.DUMMYFUNCTION("""COMPUTED_VALUE"""),266.0)</f>
        <v>266</v>
      </c>
      <c r="W73" s="329">
        <f>IFERROR(__xludf.DUMMYFUNCTION("""COMPUTED_VALUE"""),33.0)</f>
        <v>33</v>
      </c>
      <c r="X73" s="329">
        <f>IFERROR(__xludf.DUMMYFUNCTION("""COMPUTED_VALUE"""),19.0)</f>
        <v>19</v>
      </c>
      <c r="Y73" s="329">
        <f>IFERROR(__xludf.DUMMYFUNCTION("""COMPUTED_VALUE"""),6.0)</f>
        <v>6</v>
      </c>
      <c r="Z73" s="329">
        <f>IFERROR(__xludf.DUMMYFUNCTION("""COMPUTED_VALUE"""),1257.0)</f>
        <v>1257</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IFERROR(__xludf.DUMMYFUNCTION("""COMPUTED_VALUE"""),44146.0)</f>
        <v>44146</v>
      </c>
      <c r="B74" s="329">
        <f>IFERROR(__xludf.DUMMYFUNCTION("""COMPUTED_VALUE"""),1096.0)</f>
        <v>1096</v>
      </c>
      <c r="C74" s="329">
        <f>IFERROR(__xludf.DUMMYFUNCTION("""COMPUTED_VALUE"""),988.0)</f>
        <v>988</v>
      </c>
      <c r="D74" s="329">
        <f>IFERROR(__xludf.DUMMYFUNCTION("""COMPUTED_VALUE"""),52743.0)</f>
        <v>52743</v>
      </c>
      <c r="E74" s="329">
        <f>IFERROR(__xludf.DUMMYFUNCTION("""COMPUTED_VALUE"""),19821.0)</f>
        <v>19821</v>
      </c>
      <c r="F74" s="258">
        <f>IFERROR(__xludf.DUMMYFUNCTION("""COMPUTED_VALUE"""),1247847.0)</f>
        <v>1247847</v>
      </c>
      <c r="G74" s="258">
        <f>IFERROR(__xludf.DUMMYFUNCTION("""COMPUTED_VALUE"""),20917.0)</f>
        <v>20917</v>
      </c>
      <c r="H74" s="258">
        <f>IFERROR(__xludf.DUMMYFUNCTION("""COMPUTED_VALUE"""),1300590.0)</f>
        <v>1300590</v>
      </c>
      <c r="I74" s="329">
        <f>IFERROR(__xludf.DUMMYFUNCTION("""COMPUTED_VALUE"""),1004.0)</f>
        <v>1004</v>
      </c>
      <c r="J74" s="329">
        <f>IFERROR(__xludf.DUMMYFUNCTION("""COMPUTED_VALUE"""),916.0)</f>
        <v>916</v>
      </c>
      <c r="K74" s="329">
        <f>IFERROR(__xludf.DUMMYFUNCTION("""COMPUTED_VALUE"""),40861.0)</f>
        <v>40861</v>
      </c>
      <c r="L74" s="329">
        <f>IFERROR(__xludf.DUMMYFUNCTION("""COMPUTED_VALUE"""),2483.0)</f>
        <v>2483</v>
      </c>
      <c r="M74" s="329">
        <f>IFERROR(__xludf.DUMMYFUNCTION("""COMPUTED_VALUE"""),392160.0)</f>
        <v>392160</v>
      </c>
      <c r="N74" s="329">
        <f>IFERROR(__xludf.DUMMYFUNCTION("""COMPUTED_VALUE"""),433021.0)</f>
        <v>433021</v>
      </c>
      <c r="O74" s="329">
        <f>IFERROR(__xludf.DUMMYFUNCTION("""COMPUTED_VALUE"""),41.0)</f>
        <v>41</v>
      </c>
      <c r="P74" s="329">
        <f>IFERROR(__xludf.DUMMYFUNCTION("""COMPUTED_VALUE"""),3726.0)</f>
        <v>3726</v>
      </c>
      <c r="Q74" s="329">
        <f>IFERROR(__xludf.DUMMYFUNCTION("""COMPUTED_VALUE"""),24.0)</f>
        <v>24</v>
      </c>
      <c r="R74" s="329">
        <f>IFERROR(__xludf.DUMMYFUNCTION("""COMPUTED_VALUE"""),3017.0)</f>
        <v>3017</v>
      </c>
      <c r="S74" s="329">
        <f>IFERROR(__xludf.DUMMYFUNCTION("""COMPUTED_VALUE"""),5.0)</f>
        <v>5</v>
      </c>
      <c r="T74" s="329">
        <f>IFERROR(__xludf.DUMMYFUNCTION("""COMPUTED_VALUE"""),424.0)</f>
        <v>424</v>
      </c>
      <c r="U74" s="329">
        <f>IFERROR(__xludf.DUMMYFUNCTION("""COMPUTED_VALUE"""),285.0)</f>
        <v>285</v>
      </c>
      <c r="V74" s="329">
        <f>IFERROR(__xludf.DUMMYFUNCTION("""COMPUTED_VALUE"""),274.0)</f>
        <v>274</v>
      </c>
      <c r="W74" s="329">
        <f>IFERROR(__xludf.DUMMYFUNCTION("""COMPUTED_VALUE"""),32.0)</f>
        <v>32</v>
      </c>
      <c r="X74" s="329">
        <f>IFERROR(__xludf.DUMMYFUNCTION("""COMPUTED_VALUE"""),16.0)</f>
        <v>16</v>
      </c>
      <c r="Y74" s="329">
        <f>IFERROR(__xludf.DUMMYFUNCTION("""COMPUTED_VALUE"""),9.0)</f>
        <v>9</v>
      </c>
      <c r="Z74" s="329">
        <f>IFERROR(__xludf.DUMMYFUNCTION("""COMPUTED_VALUE"""),1266.0)</f>
        <v>1266</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IFERROR(__xludf.DUMMYFUNCTION("""COMPUTED_VALUE"""),44147.0)</f>
        <v>44147</v>
      </c>
      <c r="B75" s="329">
        <f>IFERROR(__xludf.DUMMYFUNCTION("""COMPUTED_VALUE"""),898.0)</f>
        <v>898</v>
      </c>
      <c r="C75" s="329">
        <f>IFERROR(__xludf.DUMMYFUNCTION("""COMPUTED_VALUE"""),1017.0)</f>
        <v>1017</v>
      </c>
      <c r="D75" s="329">
        <f>IFERROR(__xludf.DUMMYFUNCTION("""COMPUTED_VALUE"""),53641.0)</f>
        <v>53641</v>
      </c>
      <c r="E75" s="329">
        <f>IFERROR(__xludf.DUMMYFUNCTION("""COMPUTED_VALUE"""),13917.0)</f>
        <v>13917</v>
      </c>
      <c r="F75" s="258">
        <f>IFERROR(__xludf.DUMMYFUNCTION("""COMPUTED_VALUE"""),1261764.0)</f>
        <v>1261764</v>
      </c>
      <c r="G75" s="258">
        <f>IFERROR(__xludf.DUMMYFUNCTION("""COMPUTED_VALUE"""),14815.0)</f>
        <v>14815</v>
      </c>
      <c r="H75" s="258">
        <f>IFERROR(__xludf.DUMMYFUNCTION("""COMPUTED_VALUE"""),1315405.0)</f>
        <v>1315405</v>
      </c>
      <c r="I75" s="329">
        <f>IFERROR(__xludf.DUMMYFUNCTION("""COMPUTED_VALUE"""),812.0)</f>
        <v>812</v>
      </c>
      <c r="J75" s="329">
        <f>IFERROR(__xludf.DUMMYFUNCTION("""COMPUTED_VALUE"""),932.0)</f>
        <v>932</v>
      </c>
      <c r="K75" s="329">
        <f>IFERROR(__xludf.DUMMYFUNCTION("""COMPUTED_VALUE"""),41673.0)</f>
        <v>41673</v>
      </c>
      <c r="L75" s="329">
        <f>IFERROR(__xludf.DUMMYFUNCTION("""COMPUTED_VALUE"""),2057.0)</f>
        <v>2057</v>
      </c>
      <c r="M75" s="329">
        <f>IFERROR(__xludf.DUMMYFUNCTION("""COMPUTED_VALUE"""),394217.0)</f>
        <v>394217</v>
      </c>
      <c r="N75" s="329">
        <f>IFERROR(__xludf.DUMMYFUNCTION("""COMPUTED_VALUE"""),435890.0)</f>
        <v>435890</v>
      </c>
      <c r="O75" s="329">
        <f>IFERROR(__xludf.DUMMYFUNCTION("""COMPUTED_VALUE"""),39.0)</f>
        <v>39</v>
      </c>
      <c r="P75" s="329">
        <f>IFERROR(__xludf.DUMMYFUNCTION("""COMPUTED_VALUE"""),3765.0)</f>
        <v>3765</v>
      </c>
      <c r="Q75" s="329">
        <f>IFERROR(__xludf.DUMMYFUNCTION("""COMPUTED_VALUE"""),31.0)</f>
        <v>31</v>
      </c>
      <c r="R75" s="329">
        <f>IFERROR(__xludf.DUMMYFUNCTION("""COMPUTED_VALUE"""),3048.0)</f>
        <v>3048</v>
      </c>
      <c r="S75" s="329">
        <f>IFERROR(__xludf.DUMMYFUNCTION("""COMPUTED_VALUE"""),3.0)</f>
        <v>3</v>
      </c>
      <c r="T75" s="329">
        <f>IFERROR(__xludf.DUMMYFUNCTION("""COMPUTED_VALUE"""),427.0)</f>
        <v>427</v>
      </c>
      <c r="U75" s="329">
        <f>IFERROR(__xludf.DUMMYFUNCTION("""COMPUTED_VALUE"""),290.0)</f>
        <v>290</v>
      </c>
      <c r="V75" s="329">
        <f>IFERROR(__xludf.DUMMYFUNCTION("""COMPUTED_VALUE"""),283.0)</f>
        <v>283</v>
      </c>
      <c r="W75" s="329">
        <f>IFERROR(__xludf.DUMMYFUNCTION("""COMPUTED_VALUE"""),30.0)</f>
        <v>30</v>
      </c>
      <c r="X75" s="329">
        <f>IFERROR(__xludf.DUMMYFUNCTION("""COMPUTED_VALUE"""),16.0)</f>
        <v>16</v>
      </c>
      <c r="Y75" s="329">
        <f>IFERROR(__xludf.DUMMYFUNCTION("""COMPUTED_VALUE"""),5.0)</f>
        <v>5</v>
      </c>
      <c r="Z75" s="329">
        <f>IFERROR(__xludf.DUMMYFUNCTION("""COMPUTED_VALUE"""),1271.0)</f>
        <v>1271</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IFERROR(__xludf.DUMMYFUNCTION("""COMPUTED_VALUE"""),44148.0)</f>
        <v>44148</v>
      </c>
      <c r="B76" s="329">
        <f>IFERROR(__xludf.DUMMYFUNCTION("""COMPUTED_VALUE"""),1190.0)</f>
        <v>1190</v>
      </c>
      <c r="C76" s="329">
        <f>IFERROR(__xludf.DUMMYFUNCTION("""COMPUTED_VALUE"""),1061.0)</f>
        <v>1061</v>
      </c>
      <c r="D76" s="329">
        <f>IFERROR(__xludf.DUMMYFUNCTION("""COMPUTED_VALUE"""),54831.0)</f>
        <v>54831</v>
      </c>
      <c r="E76" s="329">
        <f>IFERROR(__xludf.DUMMYFUNCTION("""COMPUTED_VALUE"""),16393.0)</f>
        <v>16393</v>
      </c>
      <c r="F76" s="258">
        <f>IFERROR(__xludf.DUMMYFUNCTION("""COMPUTED_VALUE"""),1278157.0)</f>
        <v>1278157</v>
      </c>
      <c r="G76" s="258">
        <f>IFERROR(__xludf.DUMMYFUNCTION("""COMPUTED_VALUE"""),17583.0)</f>
        <v>17583</v>
      </c>
      <c r="H76" s="258">
        <f>IFERROR(__xludf.DUMMYFUNCTION("""COMPUTED_VALUE"""),1332988.0)</f>
        <v>1332988</v>
      </c>
      <c r="I76" s="329">
        <f>IFERROR(__xludf.DUMMYFUNCTION("""COMPUTED_VALUE"""),1113.0)</f>
        <v>1113</v>
      </c>
      <c r="J76" s="329">
        <f>IFERROR(__xludf.DUMMYFUNCTION("""COMPUTED_VALUE"""),976.0)</f>
        <v>976</v>
      </c>
      <c r="K76" s="329">
        <f>IFERROR(__xludf.DUMMYFUNCTION("""COMPUTED_VALUE"""),42786.0)</f>
        <v>42786</v>
      </c>
      <c r="L76" s="329">
        <f>IFERROR(__xludf.DUMMYFUNCTION("""COMPUTED_VALUE"""),2878.0)</f>
        <v>2878</v>
      </c>
      <c r="M76" s="329">
        <f>IFERROR(__xludf.DUMMYFUNCTION("""COMPUTED_VALUE"""),397095.0)</f>
        <v>397095</v>
      </c>
      <c r="N76" s="329">
        <f>IFERROR(__xludf.DUMMYFUNCTION("""COMPUTED_VALUE"""),439881.0)</f>
        <v>439881</v>
      </c>
      <c r="O76" s="329">
        <f>IFERROR(__xludf.DUMMYFUNCTION("""COMPUTED_VALUE"""),41.0)</f>
        <v>41</v>
      </c>
      <c r="P76" s="329">
        <f>IFERROR(__xludf.DUMMYFUNCTION("""COMPUTED_VALUE"""),3806.0)</f>
        <v>3806</v>
      </c>
      <c r="Q76" s="329">
        <f>IFERROR(__xludf.DUMMYFUNCTION("""COMPUTED_VALUE"""),31.0)</f>
        <v>31</v>
      </c>
      <c r="R76" s="329">
        <f>IFERROR(__xludf.DUMMYFUNCTION("""COMPUTED_VALUE"""),3079.0)</f>
        <v>3079</v>
      </c>
      <c r="S76" s="329">
        <f>IFERROR(__xludf.DUMMYFUNCTION("""COMPUTED_VALUE"""),0.0)</f>
        <v>0</v>
      </c>
      <c r="T76" s="329">
        <f>IFERROR(__xludf.DUMMYFUNCTION("""COMPUTED_VALUE"""),427.0)</f>
        <v>427</v>
      </c>
      <c r="U76" s="329">
        <f>IFERROR(__xludf.DUMMYFUNCTION("""COMPUTED_VALUE"""),300.0)</f>
        <v>300</v>
      </c>
      <c r="V76" s="329">
        <f>IFERROR(__xludf.DUMMYFUNCTION("""COMPUTED_VALUE"""),292.0)</f>
        <v>292</v>
      </c>
      <c r="W76" s="329">
        <f>IFERROR(__xludf.DUMMYFUNCTION("""COMPUTED_VALUE"""),29.0)</f>
        <v>29</v>
      </c>
      <c r="X76" s="329">
        <f>IFERROR(__xludf.DUMMYFUNCTION("""COMPUTED_VALUE"""),16.0)</f>
        <v>16</v>
      </c>
      <c r="Y76" s="329">
        <f>IFERROR(__xludf.DUMMYFUNCTION("""COMPUTED_VALUE"""),2.0)</f>
        <v>2</v>
      </c>
      <c r="Z76" s="329">
        <f>IFERROR(__xludf.DUMMYFUNCTION("""COMPUTED_VALUE"""),1273.0)</f>
        <v>1273</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IFERROR(__xludf.DUMMYFUNCTION("""COMPUTED_VALUE"""),44149.0)</f>
        <v>44149</v>
      </c>
      <c r="B77" s="329">
        <f>IFERROR(__xludf.DUMMYFUNCTION("""COMPUTED_VALUE"""),802.0)</f>
        <v>802</v>
      </c>
      <c r="C77" s="329">
        <f>IFERROR(__xludf.DUMMYFUNCTION("""COMPUTED_VALUE"""),963.0)</f>
        <v>963</v>
      </c>
      <c r="D77" s="329">
        <f>IFERROR(__xludf.DUMMYFUNCTION("""COMPUTED_VALUE"""),55633.0)</f>
        <v>55633</v>
      </c>
      <c r="E77" s="329">
        <f>IFERROR(__xludf.DUMMYFUNCTION("""COMPUTED_VALUE"""),13527.0)</f>
        <v>13527</v>
      </c>
      <c r="F77" s="258">
        <f>IFERROR(__xludf.DUMMYFUNCTION("""COMPUTED_VALUE"""),1291684.0)</f>
        <v>1291684</v>
      </c>
      <c r="G77" s="258">
        <f>IFERROR(__xludf.DUMMYFUNCTION("""COMPUTED_VALUE"""),14329.0)</f>
        <v>14329</v>
      </c>
      <c r="H77" s="258">
        <f>IFERROR(__xludf.DUMMYFUNCTION("""COMPUTED_VALUE"""),1347317.0)</f>
        <v>1347317</v>
      </c>
      <c r="I77" s="329">
        <f>IFERROR(__xludf.DUMMYFUNCTION("""COMPUTED_VALUE"""),738.0)</f>
        <v>738</v>
      </c>
      <c r="J77" s="329">
        <f>IFERROR(__xludf.DUMMYFUNCTION("""COMPUTED_VALUE"""),888.0)</f>
        <v>888</v>
      </c>
      <c r="K77" s="329">
        <f>IFERROR(__xludf.DUMMYFUNCTION("""COMPUTED_VALUE"""),43524.0)</f>
        <v>43524</v>
      </c>
      <c r="L77" s="329">
        <f>IFERROR(__xludf.DUMMYFUNCTION("""COMPUTED_VALUE"""),2306.0)</f>
        <v>2306</v>
      </c>
      <c r="M77" s="329">
        <f>IFERROR(__xludf.DUMMYFUNCTION("""COMPUTED_VALUE"""),399401.0)</f>
        <v>399401</v>
      </c>
      <c r="N77" s="329">
        <f>IFERROR(__xludf.DUMMYFUNCTION("""COMPUTED_VALUE"""),442925.0)</f>
        <v>442925</v>
      </c>
      <c r="O77" s="329">
        <f>IFERROR(__xludf.DUMMYFUNCTION("""COMPUTED_VALUE"""),41.0)</f>
        <v>41</v>
      </c>
      <c r="P77" s="329">
        <f>IFERROR(__xludf.DUMMYFUNCTION("""COMPUTED_VALUE"""),3847.0)</f>
        <v>3847</v>
      </c>
      <c r="Q77" s="329">
        <f>IFERROR(__xludf.DUMMYFUNCTION("""COMPUTED_VALUE"""),25.0)</f>
        <v>25</v>
      </c>
      <c r="R77" s="329">
        <f>IFERROR(__xludf.DUMMYFUNCTION("""COMPUTED_VALUE"""),3104.0)</f>
        <v>3104</v>
      </c>
      <c r="S77" s="329">
        <f>IFERROR(__xludf.DUMMYFUNCTION("""COMPUTED_VALUE"""),5.0)</f>
        <v>5</v>
      </c>
      <c r="T77" s="329">
        <f>IFERROR(__xludf.DUMMYFUNCTION("""COMPUTED_VALUE"""),432.0)</f>
        <v>432</v>
      </c>
      <c r="U77" s="329">
        <f>IFERROR(__xludf.DUMMYFUNCTION("""COMPUTED_VALUE"""),311.0)</f>
        <v>311</v>
      </c>
      <c r="V77" s="329">
        <f>IFERROR(__xludf.DUMMYFUNCTION("""COMPUTED_VALUE"""),300.0)</f>
        <v>300</v>
      </c>
      <c r="W77" s="329">
        <f>IFERROR(__xludf.DUMMYFUNCTION("""COMPUTED_VALUE"""),27.0)</f>
        <v>27</v>
      </c>
      <c r="X77" s="329">
        <f>IFERROR(__xludf.DUMMYFUNCTION("""COMPUTED_VALUE"""),14.0)</f>
        <v>14</v>
      </c>
      <c r="Y77" s="329">
        <f>IFERROR(__xludf.DUMMYFUNCTION("""COMPUTED_VALUE"""),10.0)</f>
        <v>10</v>
      </c>
      <c r="Z77" s="329">
        <f>IFERROR(__xludf.DUMMYFUNCTION("""COMPUTED_VALUE"""),1283.0)</f>
        <v>1283</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IFERROR(__xludf.DUMMYFUNCTION("""COMPUTED_VALUE"""),44150.0)</f>
        <v>44150</v>
      </c>
      <c r="B78" s="329">
        <f>IFERROR(__xludf.DUMMYFUNCTION("""COMPUTED_VALUE"""),584.0)</f>
        <v>584</v>
      </c>
      <c r="C78" s="329">
        <f>IFERROR(__xludf.DUMMYFUNCTION("""COMPUTED_VALUE"""),859.0)</f>
        <v>859</v>
      </c>
      <c r="D78" s="329">
        <f>IFERROR(__xludf.DUMMYFUNCTION("""COMPUTED_VALUE"""),56217.0)</f>
        <v>56217</v>
      </c>
      <c r="E78" s="329">
        <f>IFERROR(__xludf.DUMMYFUNCTION("""COMPUTED_VALUE"""),6178.0)</f>
        <v>6178</v>
      </c>
      <c r="F78" s="258">
        <f>IFERROR(__xludf.DUMMYFUNCTION("""COMPUTED_VALUE"""),1297862.0)</f>
        <v>1297862</v>
      </c>
      <c r="G78" s="258">
        <f>IFERROR(__xludf.DUMMYFUNCTION("""COMPUTED_VALUE"""),6762.0)</f>
        <v>6762</v>
      </c>
      <c r="H78" s="258">
        <f>IFERROR(__xludf.DUMMYFUNCTION("""COMPUTED_VALUE"""),1354079.0)</f>
        <v>1354079</v>
      </c>
      <c r="I78" s="329">
        <f>IFERROR(__xludf.DUMMYFUNCTION("""COMPUTED_VALUE"""),499.0)</f>
        <v>499</v>
      </c>
      <c r="J78" s="329">
        <f>IFERROR(__xludf.DUMMYFUNCTION("""COMPUTED_VALUE"""),783.0)</f>
        <v>783</v>
      </c>
      <c r="K78" s="329">
        <f>IFERROR(__xludf.DUMMYFUNCTION("""COMPUTED_VALUE"""),44023.0)</f>
        <v>44023</v>
      </c>
      <c r="L78" s="329">
        <f>IFERROR(__xludf.DUMMYFUNCTION("""COMPUTED_VALUE"""),1335.0)</f>
        <v>1335</v>
      </c>
      <c r="M78" s="329">
        <f>IFERROR(__xludf.DUMMYFUNCTION("""COMPUTED_VALUE"""),400736.0)</f>
        <v>400736</v>
      </c>
      <c r="N78" s="329">
        <f>IFERROR(__xludf.DUMMYFUNCTION("""COMPUTED_VALUE"""),444759.0)</f>
        <v>444759</v>
      </c>
      <c r="O78" s="329">
        <f>IFERROR(__xludf.DUMMYFUNCTION("""COMPUTED_VALUE"""),47.0)</f>
        <v>47</v>
      </c>
      <c r="P78" s="329">
        <f>IFERROR(__xludf.DUMMYFUNCTION("""COMPUTED_VALUE"""),3894.0)</f>
        <v>3894</v>
      </c>
      <c r="Q78" s="329">
        <f>IFERROR(__xludf.DUMMYFUNCTION("""COMPUTED_VALUE"""),20.0)</f>
        <v>20</v>
      </c>
      <c r="R78" s="329">
        <f>IFERROR(__xludf.DUMMYFUNCTION("""COMPUTED_VALUE"""),3124.0)</f>
        <v>3124</v>
      </c>
      <c r="S78" s="329">
        <f>IFERROR(__xludf.DUMMYFUNCTION("""COMPUTED_VALUE"""),5.0)</f>
        <v>5</v>
      </c>
      <c r="T78" s="329">
        <f>IFERROR(__xludf.DUMMYFUNCTION("""COMPUTED_VALUE"""),437.0)</f>
        <v>437</v>
      </c>
      <c r="U78" s="329">
        <f>IFERROR(__xludf.DUMMYFUNCTION("""COMPUTED_VALUE"""),333.0)</f>
        <v>333</v>
      </c>
      <c r="V78" s="329">
        <f>IFERROR(__xludf.DUMMYFUNCTION("""COMPUTED_VALUE"""),315.0)</f>
        <v>315</v>
      </c>
      <c r="W78" s="329">
        <f>IFERROR(__xludf.DUMMYFUNCTION("""COMPUTED_VALUE"""),30.0)</f>
        <v>30</v>
      </c>
      <c r="X78" s="329">
        <f>IFERROR(__xludf.DUMMYFUNCTION("""COMPUTED_VALUE"""),12.0)</f>
        <v>12</v>
      </c>
      <c r="Y78" s="329">
        <f>IFERROR(__xludf.DUMMYFUNCTION("""COMPUTED_VALUE"""),8.0)</f>
        <v>8</v>
      </c>
      <c r="Z78" s="329">
        <f>IFERROR(__xludf.DUMMYFUNCTION("""COMPUTED_VALUE"""),1291.0)</f>
        <v>1291</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IFERROR(__xludf.DUMMYFUNCTION("""COMPUTED_VALUE"""),44151.0)</f>
        <v>44151</v>
      </c>
      <c r="B79" s="329">
        <f>IFERROR(__xludf.DUMMYFUNCTION("""COMPUTED_VALUE"""),748.0)</f>
        <v>748</v>
      </c>
      <c r="C79" s="329">
        <f>IFERROR(__xludf.DUMMYFUNCTION("""COMPUTED_VALUE"""),711.0)</f>
        <v>711</v>
      </c>
      <c r="D79" s="329">
        <f>IFERROR(__xludf.DUMMYFUNCTION("""COMPUTED_VALUE"""),56965.0)</f>
        <v>56965</v>
      </c>
      <c r="E79" s="329">
        <f>IFERROR(__xludf.DUMMYFUNCTION("""COMPUTED_VALUE"""),9650.0)</f>
        <v>9650</v>
      </c>
      <c r="F79" s="258">
        <f>IFERROR(__xludf.DUMMYFUNCTION("""COMPUTED_VALUE"""),1307512.0)</f>
        <v>1307512</v>
      </c>
      <c r="G79" s="258">
        <f>IFERROR(__xludf.DUMMYFUNCTION("""COMPUTED_VALUE"""),10398.0)</f>
        <v>10398</v>
      </c>
      <c r="H79" s="258">
        <f>IFERROR(__xludf.DUMMYFUNCTION("""COMPUTED_VALUE"""),1364477.0)</f>
        <v>1364477</v>
      </c>
      <c r="I79" s="329">
        <f>IFERROR(__xludf.DUMMYFUNCTION("""COMPUTED_VALUE"""),672.0)</f>
        <v>672</v>
      </c>
      <c r="J79" s="329">
        <f>IFERROR(__xludf.DUMMYFUNCTION("""COMPUTED_VALUE"""),636.0)</f>
        <v>636</v>
      </c>
      <c r="K79" s="329">
        <f>IFERROR(__xludf.DUMMYFUNCTION("""COMPUTED_VALUE"""),44695.0)</f>
        <v>44695</v>
      </c>
      <c r="L79" s="329">
        <f>IFERROR(__xludf.DUMMYFUNCTION("""COMPUTED_VALUE"""),2480.0)</f>
        <v>2480</v>
      </c>
      <c r="M79" s="329">
        <f>IFERROR(__xludf.DUMMYFUNCTION("""COMPUTED_VALUE"""),403216.0)</f>
        <v>403216</v>
      </c>
      <c r="N79" s="329">
        <f>IFERROR(__xludf.DUMMYFUNCTION("""COMPUTED_VALUE"""),447911.0)</f>
        <v>447911</v>
      </c>
      <c r="O79" s="329">
        <f>IFERROR(__xludf.DUMMYFUNCTION("""COMPUTED_VALUE"""),56.0)</f>
        <v>56</v>
      </c>
      <c r="P79" s="329">
        <f>IFERROR(__xludf.DUMMYFUNCTION("""COMPUTED_VALUE"""),3950.0)</f>
        <v>3950</v>
      </c>
      <c r="Q79" s="329">
        <f>IFERROR(__xludf.DUMMYFUNCTION("""COMPUTED_VALUE"""),39.0)</f>
        <v>39</v>
      </c>
      <c r="R79" s="329">
        <f>IFERROR(__xludf.DUMMYFUNCTION("""COMPUTED_VALUE"""),3163.0)</f>
        <v>3163</v>
      </c>
      <c r="S79" s="329">
        <f>IFERROR(__xludf.DUMMYFUNCTION("""COMPUTED_VALUE"""),3.0)</f>
        <v>3</v>
      </c>
      <c r="T79" s="329">
        <f>IFERROR(__xludf.DUMMYFUNCTION("""COMPUTED_VALUE"""),440.0)</f>
        <v>440</v>
      </c>
      <c r="U79" s="329">
        <f>IFERROR(__xludf.DUMMYFUNCTION("""COMPUTED_VALUE"""),347.0)</f>
        <v>347</v>
      </c>
      <c r="V79" s="329">
        <f>IFERROR(__xludf.DUMMYFUNCTION("""COMPUTED_VALUE"""),330.0)</f>
        <v>330</v>
      </c>
      <c r="W79" s="329">
        <f>IFERROR(__xludf.DUMMYFUNCTION("""COMPUTED_VALUE"""),28.0)</f>
        <v>28</v>
      </c>
      <c r="X79" s="329">
        <f>IFERROR(__xludf.DUMMYFUNCTION("""COMPUTED_VALUE"""),14.0)</f>
        <v>14</v>
      </c>
      <c r="Y79" s="329">
        <f>IFERROR(__xludf.DUMMYFUNCTION("""COMPUTED_VALUE"""),6.0)</f>
        <v>6</v>
      </c>
      <c r="Z79" s="329">
        <f>IFERROR(__xludf.DUMMYFUNCTION("""COMPUTED_VALUE"""),1297.0)</f>
        <v>1297</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IFERROR(__xludf.DUMMYFUNCTION("""COMPUTED_VALUE"""),44152.0)</f>
        <v>44152</v>
      </c>
      <c r="B80" s="329">
        <f>IFERROR(__xludf.DUMMYFUNCTION("""COMPUTED_VALUE"""),1569.0)</f>
        <v>1569</v>
      </c>
      <c r="C80" s="329">
        <f>IFERROR(__xludf.DUMMYFUNCTION("""COMPUTED_VALUE"""),967.0)</f>
        <v>967</v>
      </c>
      <c r="D80" s="329">
        <f>IFERROR(__xludf.DUMMYFUNCTION("""COMPUTED_VALUE"""),58534.0)</f>
        <v>58534</v>
      </c>
      <c r="E80" s="329">
        <f>IFERROR(__xludf.DUMMYFUNCTION("""COMPUTED_VALUE"""),18179.0)</f>
        <v>18179</v>
      </c>
      <c r="F80" s="258">
        <f>IFERROR(__xludf.DUMMYFUNCTION("""COMPUTED_VALUE"""),1325691.0)</f>
        <v>1325691</v>
      </c>
      <c r="G80" s="258">
        <f>IFERROR(__xludf.DUMMYFUNCTION("""COMPUTED_VALUE"""),19748.0)</f>
        <v>19748</v>
      </c>
      <c r="H80" s="258">
        <f>IFERROR(__xludf.DUMMYFUNCTION("""COMPUTED_VALUE"""),1384225.0)</f>
        <v>1384225</v>
      </c>
      <c r="I80" s="329">
        <f>IFERROR(__xludf.DUMMYFUNCTION("""COMPUTED_VALUE"""),1400.0)</f>
        <v>1400</v>
      </c>
      <c r="J80" s="329">
        <f>IFERROR(__xludf.DUMMYFUNCTION("""COMPUTED_VALUE"""),857.0)</f>
        <v>857</v>
      </c>
      <c r="K80" s="329">
        <f>IFERROR(__xludf.DUMMYFUNCTION("""COMPUTED_VALUE"""),46095.0)</f>
        <v>46095</v>
      </c>
      <c r="L80" s="329">
        <f>IFERROR(__xludf.DUMMYFUNCTION("""COMPUTED_VALUE"""),3855.0)</f>
        <v>3855</v>
      </c>
      <c r="M80" s="329">
        <f>IFERROR(__xludf.DUMMYFUNCTION("""COMPUTED_VALUE"""),407071.0)</f>
        <v>407071</v>
      </c>
      <c r="N80" s="329">
        <f>IFERROR(__xludf.DUMMYFUNCTION("""COMPUTED_VALUE"""),453166.0)</f>
        <v>453166</v>
      </c>
      <c r="O80" s="329">
        <f>IFERROR(__xludf.DUMMYFUNCTION("""COMPUTED_VALUE"""),58.0)</f>
        <v>58</v>
      </c>
      <c r="P80" s="329">
        <f>IFERROR(__xludf.DUMMYFUNCTION("""COMPUTED_VALUE"""),4008.0)</f>
        <v>4008</v>
      </c>
      <c r="Q80" s="329">
        <f>IFERROR(__xludf.DUMMYFUNCTION("""COMPUTED_VALUE"""),44.0)</f>
        <v>44</v>
      </c>
      <c r="R80" s="329">
        <f>IFERROR(__xludf.DUMMYFUNCTION("""COMPUTED_VALUE"""),3207.0)</f>
        <v>3207</v>
      </c>
      <c r="S80" s="329">
        <f>IFERROR(__xludf.DUMMYFUNCTION("""COMPUTED_VALUE"""),2.0)</f>
        <v>2</v>
      </c>
      <c r="T80" s="329">
        <f>IFERROR(__xludf.DUMMYFUNCTION("""COMPUTED_VALUE"""),442.0)</f>
        <v>442</v>
      </c>
      <c r="U80" s="329">
        <f>IFERROR(__xludf.DUMMYFUNCTION("""COMPUTED_VALUE"""),359.0)</f>
        <v>359</v>
      </c>
      <c r="V80" s="329">
        <f>IFERROR(__xludf.DUMMYFUNCTION("""COMPUTED_VALUE"""),346.0)</f>
        <v>346</v>
      </c>
      <c r="W80" s="329">
        <f>IFERROR(__xludf.DUMMYFUNCTION("""COMPUTED_VALUE"""),32.0)</f>
        <v>32</v>
      </c>
      <c r="X80" s="329">
        <f>IFERROR(__xludf.DUMMYFUNCTION("""COMPUTED_VALUE"""),14.0)</f>
        <v>14</v>
      </c>
      <c r="Y80" s="329">
        <f>IFERROR(__xludf.DUMMYFUNCTION("""COMPUTED_VALUE"""),5.0)</f>
        <v>5</v>
      </c>
      <c r="Z80" s="329">
        <f>IFERROR(__xludf.DUMMYFUNCTION("""COMPUTED_VALUE"""),1302.0)</f>
        <v>1302</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IFERROR(__xludf.DUMMYFUNCTION("""COMPUTED_VALUE"""),44153.0)</f>
        <v>44153</v>
      </c>
      <c r="B81" s="329">
        <f>IFERROR(__xludf.DUMMYFUNCTION("""COMPUTED_VALUE"""),1146.0)</f>
        <v>1146</v>
      </c>
      <c r="C81" s="329">
        <f>IFERROR(__xludf.DUMMYFUNCTION("""COMPUTED_VALUE"""),1154.0)</f>
        <v>1154</v>
      </c>
      <c r="D81" s="329">
        <f>IFERROR(__xludf.DUMMYFUNCTION("""COMPUTED_VALUE"""),59680.0)</f>
        <v>59680</v>
      </c>
      <c r="E81" s="329">
        <f>IFERROR(__xludf.DUMMYFUNCTION("""COMPUTED_VALUE"""),16079.0)</f>
        <v>16079</v>
      </c>
      <c r="F81" s="258">
        <f>IFERROR(__xludf.DUMMYFUNCTION("""COMPUTED_VALUE"""),1341770.0)</f>
        <v>1341770</v>
      </c>
      <c r="G81" s="258">
        <f>IFERROR(__xludf.DUMMYFUNCTION("""COMPUTED_VALUE"""),17225.0)</f>
        <v>17225</v>
      </c>
      <c r="H81" s="258">
        <f>IFERROR(__xludf.DUMMYFUNCTION("""COMPUTED_VALUE"""),1401450.0)</f>
        <v>1401450</v>
      </c>
      <c r="I81" s="329">
        <f>IFERROR(__xludf.DUMMYFUNCTION("""COMPUTED_VALUE"""),1021.0)</f>
        <v>1021</v>
      </c>
      <c r="J81" s="329">
        <f>IFERROR(__xludf.DUMMYFUNCTION("""COMPUTED_VALUE"""),1031.0)</f>
        <v>1031</v>
      </c>
      <c r="K81" s="329">
        <f>IFERROR(__xludf.DUMMYFUNCTION("""COMPUTED_VALUE"""),47116.0)</f>
        <v>47116</v>
      </c>
      <c r="L81" s="329">
        <f>IFERROR(__xludf.DUMMYFUNCTION("""COMPUTED_VALUE"""),3000.0)</f>
        <v>3000</v>
      </c>
      <c r="M81" s="329">
        <f>IFERROR(__xludf.DUMMYFUNCTION("""COMPUTED_VALUE"""),410071.0)</f>
        <v>410071</v>
      </c>
      <c r="N81" s="329">
        <f>IFERROR(__xludf.DUMMYFUNCTION("""COMPUTED_VALUE"""),457187.0)</f>
        <v>457187</v>
      </c>
      <c r="O81" s="329">
        <f>IFERROR(__xludf.DUMMYFUNCTION("""COMPUTED_VALUE"""),39.0)</f>
        <v>39</v>
      </c>
      <c r="P81" s="329">
        <f>IFERROR(__xludf.DUMMYFUNCTION("""COMPUTED_VALUE"""),4047.0)</f>
        <v>4047</v>
      </c>
      <c r="Q81" s="329">
        <f>IFERROR(__xludf.DUMMYFUNCTION("""COMPUTED_VALUE"""),38.0)</f>
        <v>38</v>
      </c>
      <c r="R81" s="329">
        <f>IFERROR(__xludf.DUMMYFUNCTION("""COMPUTED_VALUE"""),3245.0)</f>
        <v>3245</v>
      </c>
      <c r="S81" s="329">
        <f>IFERROR(__xludf.DUMMYFUNCTION("""COMPUTED_VALUE"""),5.0)</f>
        <v>5</v>
      </c>
      <c r="T81" s="329">
        <f>IFERROR(__xludf.DUMMYFUNCTION("""COMPUTED_VALUE"""),447.0)</f>
        <v>447</v>
      </c>
      <c r="U81" s="329">
        <f>IFERROR(__xludf.DUMMYFUNCTION("""COMPUTED_VALUE"""),355.0)</f>
        <v>355</v>
      </c>
      <c r="V81" s="329">
        <f>IFERROR(__xludf.DUMMYFUNCTION("""COMPUTED_VALUE"""),354.0)</f>
        <v>354</v>
      </c>
      <c r="W81" s="329">
        <f>IFERROR(__xludf.DUMMYFUNCTION("""COMPUTED_VALUE"""),31.0)</f>
        <v>31</v>
      </c>
      <c r="X81" s="329">
        <f>IFERROR(__xludf.DUMMYFUNCTION("""COMPUTED_VALUE"""),16.0)</f>
        <v>16</v>
      </c>
      <c r="Y81" s="329">
        <f>IFERROR(__xludf.DUMMYFUNCTION("""COMPUTED_VALUE"""),7.0)</f>
        <v>7</v>
      </c>
      <c r="Z81" s="329">
        <f>IFERROR(__xludf.DUMMYFUNCTION("""COMPUTED_VALUE"""),1309.0)</f>
        <v>1309</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IFERROR(__xludf.DUMMYFUNCTION("""COMPUTED_VALUE"""),44154.0)</f>
        <v>44154</v>
      </c>
      <c r="B82" s="329">
        <f>IFERROR(__xludf.DUMMYFUNCTION("""COMPUTED_VALUE"""),1139.0)</f>
        <v>1139</v>
      </c>
      <c r="C82" s="329">
        <f>IFERROR(__xludf.DUMMYFUNCTION("""COMPUTED_VALUE"""),1285.0)</f>
        <v>1285</v>
      </c>
      <c r="D82" s="329">
        <f>IFERROR(__xludf.DUMMYFUNCTION("""COMPUTED_VALUE"""),60819.0)</f>
        <v>60819</v>
      </c>
      <c r="E82" s="329">
        <f>IFERROR(__xludf.DUMMYFUNCTION("""COMPUTED_VALUE"""),13186.0)</f>
        <v>13186</v>
      </c>
      <c r="F82" s="258">
        <f>IFERROR(__xludf.DUMMYFUNCTION("""COMPUTED_VALUE"""),1354956.0)</f>
        <v>1354956</v>
      </c>
      <c r="G82" s="258">
        <f>IFERROR(__xludf.DUMMYFUNCTION("""COMPUTED_VALUE"""),14325.0)</f>
        <v>14325</v>
      </c>
      <c r="H82" s="258">
        <f>IFERROR(__xludf.DUMMYFUNCTION("""COMPUTED_VALUE"""),1415775.0)</f>
        <v>1415775</v>
      </c>
      <c r="I82" s="329">
        <f>IFERROR(__xludf.DUMMYFUNCTION("""COMPUTED_VALUE"""),1034.0)</f>
        <v>1034</v>
      </c>
      <c r="J82" s="329">
        <f>IFERROR(__xludf.DUMMYFUNCTION("""COMPUTED_VALUE"""),1152.0)</f>
        <v>1152</v>
      </c>
      <c r="K82" s="329">
        <f>IFERROR(__xludf.DUMMYFUNCTION("""COMPUTED_VALUE"""),48150.0)</f>
        <v>48150</v>
      </c>
      <c r="L82" s="329">
        <f>IFERROR(__xludf.DUMMYFUNCTION("""COMPUTED_VALUE"""),3161.0)</f>
        <v>3161</v>
      </c>
      <c r="M82" s="329">
        <f>IFERROR(__xludf.DUMMYFUNCTION("""COMPUTED_VALUE"""),413232.0)</f>
        <v>413232</v>
      </c>
      <c r="N82" s="329">
        <f>IFERROR(__xludf.DUMMYFUNCTION("""COMPUTED_VALUE"""),461382.0)</f>
        <v>461382</v>
      </c>
      <c r="O82" s="329">
        <f>IFERROR(__xludf.DUMMYFUNCTION("""COMPUTED_VALUE"""),47.0)</f>
        <v>47</v>
      </c>
      <c r="P82" s="329">
        <f>IFERROR(__xludf.DUMMYFUNCTION("""COMPUTED_VALUE"""),4094.0)</f>
        <v>4094</v>
      </c>
      <c r="Q82" s="329">
        <f>IFERROR(__xludf.DUMMYFUNCTION("""COMPUTED_VALUE"""),42.0)</f>
        <v>42</v>
      </c>
      <c r="R82" s="329">
        <f>IFERROR(__xludf.DUMMYFUNCTION("""COMPUTED_VALUE"""),3287.0)</f>
        <v>3287</v>
      </c>
      <c r="S82" s="329">
        <f>IFERROR(__xludf.DUMMYFUNCTION("""COMPUTED_VALUE"""),4.0)</f>
        <v>4</v>
      </c>
      <c r="T82" s="329">
        <f>IFERROR(__xludf.DUMMYFUNCTION("""COMPUTED_VALUE"""),451.0)</f>
        <v>451</v>
      </c>
      <c r="U82" s="329">
        <f>IFERROR(__xludf.DUMMYFUNCTION("""COMPUTED_VALUE"""),356.0)</f>
        <v>356</v>
      </c>
      <c r="V82" s="329">
        <f>IFERROR(__xludf.DUMMYFUNCTION("""COMPUTED_VALUE"""),357.0)</f>
        <v>357</v>
      </c>
      <c r="W82" s="329">
        <f>IFERROR(__xludf.DUMMYFUNCTION("""COMPUTED_VALUE"""),32.0)</f>
        <v>32</v>
      </c>
      <c r="X82" s="329">
        <f>IFERROR(__xludf.DUMMYFUNCTION("""COMPUTED_VALUE"""),19.0)</f>
        <v>19</v>
      </c>
      <c r="Y82" s="329">
        <f>IFERROR(__xludf.DUMMYFUNCTION("""COMPUTED_VALUE"""),6.0)</f>
        <v>6</v>
      </c>
      <c r="Z82" s="329">
        <f>IFERROR(__xludf.DUMMYFUNCTION("""COMPUTED_VALUE"""),1315.0)</f>
        <v>1315</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IFERROR(__xludf.DUMMYFUNCTION("""COMPUTED_VALUE"""),44155.0)</f>
        <v>44155</v>
      </c>
      <c r="B83" s="329">
        <f>IFERROR(__xludf.DUMMYFUNCTION("""COMPUTED_VALUE"""),1463.0)</f>
        <v>1463</v>
      </c>
      <c r="C83" s="329">
        <f>IFERROR(__xludf.DUMMYFUNCTION("""COMPUTED_VALUE"""),1249.0)</f>
        <v>1249</v>
      </c>
      <c r="D83" s="329">
        <f>IFERROR(__xludf.DUMMYFUNCTION("""COMPUTED_VALUE"""),62282.0)</f>
        <v>62282</v>
      </c>
      <c r="E83" s="329">
        <f>IFERROR(__xludf.DUMMYFUNCTION("""COMPUTED_VALUE"""),22228.0)</f>
        <v>22228</v>
      </c>
      <c r="F83" s="258">
        <f>IFERROR(__xludf.DUMMYFUNCTION("""COMPUTED_VALUE"""),1377184.0)</f>
        <v>1377184</v>
      </c>
      <c r="G83" s="258">
        <f>IFERROR(__xludf.DUMMYFUNCTION("""COMPUTED_VALUE"""),23691.0)</f>
        <v>23691</v>
      </c>
      <c r="H83" s="258">
        <f>IFERROR(__xludf.DUMMYFUNCTION("""COMPUTED_VALUE"""),1439466.0)</f>
        <v>1439466</v>
      </c>
      <c r="I83" s="329">
        <f>IFERROR(__xludf.DUMMYFUNCTION("""COMPUTED_VALUE"""),1308.0)</f>
        <v>1308</v>
      </c>
      <c r="J83" s="329">
        <f>IFERROR(__xludf.DUMMYFUNCTION("""COMPUTED_VALUE"""),1121.0)</f>
        <v>1121</v>
      </c>
      <c r="K83" s="329">
        <f>IFERROR(__xludf.DUMMYFUNCTION("""COMPUTED_VALUE"""),49458.0)</f>
        <v>49458</v>
      </c>
      <c r="L83" s="329">
        <f>IFERROR(__xludf.DUMMYFUNCTION("""COMPUTED_VALUE"""),4067.0)</f>
        <v>4067</v>
      </c>
      <c r="M83" s="329">
        <f>IFERROR(__xludf.DUMMYFUNCTION("""COMPUTED_VALUE"""),417299.0)</f>
        <v>417299</v>
      </c>
      <c r="N83" s="329">
        <f>IFERROR(__xludf.DUMMYFUNCTION("""COMPUTED_VALUE"""),466757.0)</f>
        <v>466757</v>
      </c>
      <c r="O83" s="329">
        <f>IFERROR(__xludf.DUMMYFUNCTION("""COMPUTED_VALUE"""),48.0)</f>
        <v>48</v>
      </c>
      <c r="P83" s="329">
        <f>IFERROR(__xludf.DUMMYFUNCTION("""COMPUTED_VALUE"""),4142.0)</f>
        <v>4142</v>
      </c>
      <c r="Q83" s="329">
        <f>IFERROR(__xludf.DUMMYFUNCTION("""COMPUTED_VALUE"""),47.0)</f>
        <v>47</v>
      </c>
      <c r="R83" s="329">
        <f>IFERROR(__xludf.DUMMYFUNCTION("""COMPUTED_VALUE"""),3334.0)</f>
        <v>3334</v>
      </c>
      <c r="S83" s="329">
        <f>IFERROR(__xludf.DUMMYFUNCTION("""COMPUTED_VALUE"""),3.0)</f>
        <v>3</v>
      </c>
      <c r="T83" s="329">
        <f>IFERROR(__xludf.DUMMYFUNCTION("""COMPUTED_VALUE"""),454.0)</f>
        <v>454</v>
      </c>
      <c r="U83" s="329">
        <f>IFERROR(__xludf.DUMMYFUNCTION("""COMPUTED_VALUE"""),354.0)</f>
        <v>354</v>
      </c>
      <c r="V83" s="329">
        <f>IFERROR(__xludf.DUMMYFUNCTION("""COMPUTED_VALUE"""),355.0)</f>
        <v>355</v>
      </c>
      <c r="W83" s="329">
        <f>IFERROR(__xludf.DUMMYFUNCTION("""COMPUTED_VALUE"""),35.0)</f>
        <v>35</v>
      </c>
      <c r="X83" s="329">
        <f>IFERROR(__xludf.DUMMYFUNCTION("""COMPUTED_VALUE"""),15.0)</f>
        <v>15</v>
      </c>
      <c r="Y83" s="329">
        <f>IFERROR(__xludf.DUMMYFUNCTION("""COMPUTED_VALUE"""),7.0)</f>
        <v>7</v>
      </c>
      <c r="Z83" s="329">
        <f>IFERROR(__xludf.DUMMYFUNCTION("""COMPUTED_VALUE"""),1322.0)</f>
        <v>1322</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IFERROR(__xludf.DUMMYFUNCTION("""COMPUTED_VALUE"""),44156.0)</f>
        <v>44156</v>
      </c>
      <c r="B84" s="329">
        <f>IFERROR(__xludf.DUMMYFUNCTION("""COMPUTED_VALUE"""),853.0)</f>
        <v>853</v>
      </c>
      <c r="C84" s="329">
        <f>IFERROR(__xludf.DUMMYFUNCTION("""COMPUTED_VALUE"""),1152.0)</f>
        <v>1152</v>
      </c>
      <c r="D84" s="329">
        <f>IFERROR(__xludf.DUMMYFUNCTION("""COMPUTED_VALUE"""),63135.0)</f>
        <v>63135</v>
      </c>
      <c r="E84" s="329">
        <f>IFERROR(__xludf.DUMMYFUNCTION("""COMPUTED_VALUE"""),17381.0)</f>
        <v>17381</v>
      </c>
      <c r="F84" s="258">
        <f>IFERROR(__xludf.DUMMYFUNCTION("""COMPUTED_VALUE"""),1394565.0)</f>
        <v>1394565</v>
      </c>
      <c r="G84" s="258">
        <f>IFERROR(__xludf.DUMMYFUNCTION("""COMPUTED_VALUE"""),18234.0)</f>
        <v>18234</v>
      </c>
      <c r="H84" s="258">
        <f>IFERROR(__xludf.DUMMYFUNCTION("""COMPUTED_VALUE"""),1457700.0)</f>
        <v>1457700</v>
      </c>
      <c r="I84" s="329">
        <f>IFERROR(__xludf.DUMMYFUNCTION("""COMPUTED_VALUE"""),755.0)</f>
        <v>755</v>
      </c>
      <c r="J84" s="329">
        <f>IFERROR(__xludf.DUMMYFUNCTION("""COMPUTED_VALUE"""),1032.0)</f>
        <v>1032</v>
      </c>
      <c r="K84" s="329">
        <f>IFERROR(__xludf.DUMMYFUNCTION("""COMPUTED_VALUE"""),50213.0)</f>
        <v>50213</v>
      </c>
      <c r="L84" s="329">
        <f>IFERROR(__xludf.DUMMYFUNCTION("""COMPUTED_VALUE"""),2953.0)</f>
        <v>2953</v>
      </c>
      <c r="M84" s="329">
        <f>IFERROR(__xludf.DUMMYFUNCTION("""COMPUTED_VALUE"""),420252.0)</f>
        <v>420252</v>
      </c>
      <c r="N84" s="329">
        <f>IFERROR(__xludf.DUMMYFUNCTION("""COMPUTED_VALUE"""),470465.0)</f>
        <v>470465</v>
      </c>
      <c r="O84" s="329">
        <f>IFERROR(__xludf.DUMMYFUNCTION("""COMPUTED_VALUE"""),42.0)</f>
        <v>42</v>
      </c>
      <c r="P84" s="329">
        <f>IFERROR(__xludf.DUMMYFUNCTION("""COMPUTED_VALUE"""),4184.0)</f>
        <v>4184</v>
      </c>
      <c r="Q84" s="329">
        <f>IFERROR(__xludf.DUMMYFUNCTION("""COMPUTED_VALUE"""),33.0)</f>
        <v>33</v>
      </c>
      <c r="R84" s="329">
        <f>IFERROR(__xludf.DUMMYFUNCTION("""COMPUTED_VALUE"""),3367.0)</f>
        <v>3367</v>
      </c>
      <c r="S84" s="329">
        <f>IFERROR(__xludf.DUMMYFUNCTION("""COMPUTED_VALUE"""),5.0)</f>
        <v>5</v>
      </c>
      <c r="T84" s="329">
        <f>IFERROR(__xludf.DUMMYFUNCTION("""COMPUTED_VALUE"""),459.0)</f>
        <v>459</v>
      </c>
      <c r="U84" s="329">
        <f>IFERROR(__xludf.DUMMYFUNCTION("""COMPUTED_VALUE"""),358.0)</f>
        <v>358</v>
      </c>
      <c r="V84" s="329">
        <f>IFERROR(__xludf.DUMMYFUNCTION("""COMPUTED_VALUE"""),356.0)</f>
        <v>356</v>
      </c>
      <c r="W84" s="329">
        <f>IFERROR(__xludf.DUMMYFUNCTION("""COMPUTED_VALUE"""),37.0)</f>
        <v>37</v>
      </c>
      <c r="X84" s="329">
        <f>IFERROR(__xludf.DUMMYFUNCTION("""COMPUTED_VALUE"""),15.0)</f>
        <v>15</v>
      </c>
      <c r="Y84" s="329">
        <f>IFERROR(__xludf.DUMMYFUNCTION("""COMPUTED_VALUE"""),10.0)</f>
        <v>10</v>
      </c>
      <c r="Z84" s="329">
        <f>IFERROR(__xludf.DUMMYFUNCTION("""COMPUTED_VALUE"""),1332.0)</f>
        <v>1332</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IFERROR(__xludf.DUMMYFUNCTION("""COMPUTED_VALUE"""),44157.0)</f>
        <v>44157</v>
      </c>
      <c r="B85" s="329">
        <f>IFERROR(__xludf.DUMMYFUNCTION("""COMPUTED_VALUE"""),573.0)</f>
        <v>573</v>
      </c>
      <c r="C85" s="329">
        <f>IFERROR(__xludf.DUMMYFUNCTION("""COMPUTED_VALUE"""),963.0)</f>
        <v>963</v>
      </c>
      <c r="D85" s="329">
        <f>IFERROR(__xludf.DUMMYFUNCTION("""COMPUTED_VALUE"""),63708.0)</f>
        <v>63708</v>
      </c>
      <c r="E85" s="329">
        <f>IFERROR(__xludf.DUMMYFUNCTION("""COMPUTED_VALUE"""),7525.0)</f>
        <v>7525</v>
      </c>
      <c r="F85" s="258">
        <f>IFERROR(__xludf.DUMMYFUNCTION("""COMPUTED_VALUE"""),1402090.0)</f>
        <v>1402090</v>
      </c>
      <c r="G85" s="258">
        <f>IFERROR(__xludf.DUMMYFUNCTION("""COMPUTED_VALUE"""),8098.0)</f>
        <v>8098</v>
      </c>
      <c r="H85" s="258">
        <f>IFERROR(__xludf.DUMMYFUNCTION("""COMPUTED_VALUE"""),1465798.0)</f>
        <v>1465798</v>
      </c>
      <c r="I85" s="329">
        <f>IFERROR(__xludf.DUMMYFUNCTION("""COMPUTED_VALUE"""),485.0)</f>
        <v>485</v>
      </c>
      <c r="J85" s="329">
        <f>IFERROR(__xludf.DUMMYFUNCTION("""COMPUTED_VALUE"""),849.0)</f>
        <v>849</v>
      </c>
      <c r="K85" s="329">
        <f>IFERROR(__xludf.DUMMYFUNCTION("""COMPUTED_VALUE"""),50698.0)</f>
        <v>50698</v>
      </c>
      <c r="L85" s="329">
        <f>IFERROR(__xludf.DUMMYFUNCTION("""COMPUTED_VALUE"""),1692.0)</f>
        <v>1692</v>
      </c>
      <c r="M85" s="329">
        <f>IFERROR(__xludf.DUMMYFUNCTION("""COMPUTED_VALUE"""),421944.0)</f>
        <v>421944</v>
      </c>
      <c r="N85" s="329">
        <f>IFERROR(__xludf.DUMMYFUNCTION("""COMPUTED_VALUE"""),472642.0)</f>
        <v>472642</v>
      </c>
      <c r="O85" s="329">
        <f>IFERROR(__xludf.DUMMYFUNCTION("""COMPUTED_VALUE"""),64.0)</f>
        <v>64</v>
      </c>
      <c r="P85" s="329">
        <f>IFERROR(__xludf.DUMMYFUNCTION("""COMPUTED_VALUE"""),4248.0)</f>
        <v>4248</v>
      </c>
      <c r="Q85" s="329">
        <f>IFERROR(__xludf.DUMMYFUNCTION("""COMPUTED_VALUE"""),27.0)</f>
        <v>27</v>
      </c>
      <c r="R85" s="329">
        <f>IFERROR(__xludf.DUMMYFUNCTION("""COMPUTED_VALUE"""),3394.0)</f>
        <v>3394</v>
      </c>
      <c r="S85" s="329">
        <f>IFERROR(__xludf.DUMMYFUNCTION("""COMPUTED_VALUE"""),4.0)</f>
        <v>4</v>
      </c>
      <c r="T85" s="329">
        <f>IFERROR(__xludf.DUMMYFUNCTION("""COMPUTED_VALUE"""),463.0)</f>
        <v>463</v>
      </c>
      <c r="U85" s="329">
        <f>IFERROR(__xludf.DUMMYFUNCTION("""COMPUTED_VALUE"""),391.0)</f>
        <v>391</v>
      </c>
      <c r="V85" s="329">
        <f>IFERROR(__xludf.DUMMYFUNCTION("""COMPUTED_VALUE"""),368.0)</f>
        <v>368</v>
      </c>
      <c r="W85" s="329">
        <f>IFERROR(__xludf.DUMMYFUNCTION("""COMPUTED_VALUE"""),35.0)</f>
        <v>35</v>
      </c>
      <c r="X85" s="329">
        <f>IFERROR(__xludf.DUMMYFUNCTION("""COMPUTED_VALUE"""),16.0)</f>
        <v>16</v>
      </c>
      <c r="Y85" s="329">
        <f>IFERROR(__xludf.DUMMYFUNCTION("""COMPUTED_VALUE"""),12.0)</f>
        <v>12</v>
      </c>
      <c r="Z85" s="329">
        <f>IFERROR(__xludf.DUMMYFUNCTION("""COMPUTED_VALUE"""),1344.0)</f>
        <v>1344</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IFERROR(__xludf.DUMMYFUNCTION("""COMPUTED_VALUE"""),44158.0)</f>
        <v>44158</v>
      </c>
      <c r="B86" s="329">
        <f>IFERROR(__xludf.DUMMYFUNCTION("""COMPUTED_VALUE"""),998.0)</f>
        <v>998</v>
      </c>
      <c r="C86" s="329">
        <f>IFERROR(__xludf.DUMMYFUNCTION("""COMPUTED_VALUE"""),808.0)</f>
        <v>808</v>
      </c>
      <c r="D86" s="329">
        <f>IFERROR(__xludf.DUMMYFUNCTION("""COMPUTED_VALUE"""),64706.0)</f>
        <v>64706</v>
      </c>
      <c r="E86" s="329">
        <f>IFERROR(__xludf.DUMMYFUNCTION("""COMPUTED_VALUE"""),11036.0)</f>
        <v>11036</v>
      </c>
      <c r="F86" s="258">
        <f>IFERROR(__xludf.DUMMYFUNCTION("""COMPUTED_VALUE"""),1413126.0)</f>
        <v>1413126</v>
      </c>
      <c r="G86" s="258">
        <f>IFERROR(__xludf.DUMMYFUNCTION("""COMPUTED_VALUE"""),12034.0)</f>
        <v>12034</v>
      </c>
      <c r="H86" s="258">
        <f>IFERROR(__xludf.DUMMYFUNCTION("""COMPUTED_VALUE"""),1477832.0)</f>
        <v>1477832</v>
      </c>
      <c r="I86" s="329">
        <f>IFERROR(__xludf.DUMMYFUNCTION("""COMPUTED_VALUE"""),891.0)</f>
        <v>891</v>
      </c>
      <c r="J86" s="329">
        <f>IFERROR(__xludf.DUMMYFUNCTION("""COMPUTED_VALUE"""),710.0)</f>
        <v>710</v>
      </c>
      <c r="K86" s="329">
        <f>IFERROR(__xludf.DUMMYFUNCTION("""COMPUTED_VALUE"""),51589.0)</f>
        <v>51589</v>
      </c>
      <c r="L86" s="329">
        <f>IFERROR(__xludf.DUMMYFUNCTION("""COMPUTED_VALUE"""),3200.0)</f>
        <v>3200</v>
      </c>
      <c r="M86" s="329">
        <f>IFERROR(__xludf.DUMMYFUNCTION("""COMPUTED_VALUE"""),425144.0)</f>
        <v>425144</v>
      </c>
      <c r="N86" s="329">
        <f>IFERROR(__xludf.DUMMYFUNCTION("""COMPUTED_VALUE"""),476733.0)</f>
        <v>476733</v>
      </c>
      <c r="O86" s="329">
        <f>IFERROR(__xludf.DUMMYFUNCTION("""COMPUTED_VALUE"""),74.0)</f>
        <v>74</v>
      </c>
      <c r="P86" s="329">
        <f>IFERROR(__xludf.DUMMYFUNCTION("""COMPUTED_VALUE"""),4322.0)</f>
        <v>4322</v>
      </c>
      <c r="Q86" s="329">
        <f>IFERROR(__xludf.DUMMYFUNCTION("""COMPUTED_VALUE"""),39.0)</f>
        <v>39</v>
      </c>
      <c r="R86" s="329">
        <f>IFERROR(__xludf.DUMMYFUNCTION("""COMPUTED_VALUE"""),3433.0)</f>
        <v>3433</v>
      </c>
      <c r="S86" s="329">
        <f>IFERROR(__xludf.DUMMYFUNCTION("""COMPUTED_VALUE"""),0.0)</f>
        <v>0</v>
      </c>
      <c r="T86" s="329">
        <f>IFERROR(__xludf.DUMMYFUNCTION("""COMPUTED_VALUE"""),463.0)</f>
        <v>463</v>
      </c>
      <c r="U86" s="329">
        <f>IFERROR(__xludf.DUMMYFUNCTION("""COMPUTED_VALUE"""),426.0)</f>
        <v>426</v>
      </c>
      <c r="V86" s="329">
        <f>IFERROR(__xludf.DUMMYFUNCTION("""COMPUTED_VALUE"""),392.0)</f>
        <v>392</v>
      </c>
      <c r="W86" s="329">
        <f>IFERROR(__xludf.DUMMYFUNCTION("""COMPUTED_VALUE"""),42.0)</f>
        <v>42</v>
      </c>
      <c r="X86" s="329">
        <f>IFERROR(__xludf.DUMMYFUNCTION("""COMPUTED_VALUE"""),19.0)</f>
        <v>19</v>
      </c>
      <c r="Y86" s="329">
        <f>IFERROR(__xludf.DUMMYFUNCTION("""COMPUTED_VALUE"""),12.0)</f>
        <v>12</v>
      </c>
      <c r="Z86" s="329">
        <f>IFERROR(__xludf.DUMMYFUNCTION("""COMPUTED_VALUE"""),1356.0)</f>
        <v>1356</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IFERROR(__xludf.DUMMYFUNCTION("""COMPUTED_VALUE"""),44159.0)</f>
        <v>44159</v>
      </c>
      <c r="B87" s="329">
        <f>IFERROR(__xludf.DUMMYFUNCTION("""COMPUTED_VALUE"""),1054.0)</f>
        <v>1054</v>
      </c>
      <c r="C87" s="329">
        <f>IFERROR(__xludf.DUMMYFUNCTION("""COMPUTED_VALUE"""),875.0)</f>
        <v>875</v>
      </c>
      <c r="D87" s="329">
        <f>IFERROR(__xludf.DUMMYFUNCTION("""COMPUTED_VALUE"""),65760.0)</f>
        <v>65760</v>
      </c>
      <c r="E87" s="329">
        <f>IFERROR(__xludf.DUMMYFUNCTION("""COMPUTED_VALUE"""),14580.0)</f>
        <v>14580</v>
      </c>
      <c r="F87" s="258">
        <f>IFERROR(__xludf.DUMMYFUNCTION("""COMPUTED_VALUE"""),1427706.0)</f>
        <v>1427706</v>
      </c>
      <c r="G87" s="258">
        <f>IFERROR(__xludf.DUMMYFUNCTION("""COMPUTED_VALUE"""),15634.0)</f>
        <v>15634</v>
      </c>
      <c r="H87" s="258">
        <f>IFERROR(__xludf.DUMMYFUNCTION("""COMPUTED_VALUE"""),1493466.0)</f>
        <v>1493466</v>
      </c>
      <c r="I87" s="329">
        <f>IFERROR(__xludf.DUMMYFUNCTION("""COMPUTED_VALUE"""),943.0)</f>
        <v>943</v>
      </c>
      <c r="J87" s="329">
        <f>IFERROR(__xludf.DUMMYFUNCTION("""COMPUTED_VALUE"""),773.0)</f>
        <v>773</v>
      </c>
      <c r="K87" s="329">
        <f>IFERROR(__xludf.DUMMYFUNCTION("""COMPUTED_VALUE"""),52532.0)</f>
        <v>52532</v>
      </c>
      <c r="L87" s="329">
        <f>IFERROR(__xludf.DUMMYFUNCTION("""COMPUTED_VALUE"""),2582.0)</f>
        <v>2582</v>
      </c>
      <c r="M87" s="329">
        <f>IFERROR(__xludf.DUMMYFUNCTION("""COMPUTED_VALUE"""),427726.0)</f>
        <v>427726</v>
      </c>
      <c r="N87" s="329">
        <f>IFERROR(__xludf.DUMMYFUNCTION("""COMPUTED_VALUE"""),480258.0)</f>
        <v>480258</v>
      </c>
      <c r="O87" s="329">
        <f>IFERROR(__xludf.DUMMYFUNCTION("""COMPUTED_VALUE"""),46.0)</f>
        <v>46</v>
      </c>
      <c r="P87" s="329">
        <f>IFERROR(__xludf.DUMMYFUNCTION("""COMPUTED_VALUE"""),4368.0)</f>
        <v>4368</v>
      </c>
      <c r="Q87" s="329">
        <f>IFERROR(__xludf.DUMMYFUNCTION("""COMPUTED_VALUE"""),59.0)</f>
        <v>59</v>
      </c>
      <c r="R87" s="329">
        <f>IFERROR(__xludf.DUMMYFUNCTION("""COMPUTED_VALUE"""),3492.0)</f>
        <v>3492</v>
      </c>
      <c r="S87" s="329">
        <f>IFERROR(__xludf.DUMMYFUNCTION("""COMPUTED_VALUE"""),6.0)</f>
        <v>6</v>
      </c>
      <c r="T87" s="329">
        <f>IFERROR(__xludf.DUMMYFUNCTION("""COMPUTED_VALUE"""),469.0)</f>
        <v>469</v>
      </c>
      <c r="U87" s="329">
        <f>IFERROR(__xludf.DUMMYFUNCTION("""COMPUTED_VALUE"""),407.0)</f>
        <v>407</v>
      </c>
      <c r="V87" s="329">
        <f>IFERROR(__xludf.DUMMYFUNCTION("""COMPUTED_VALUE"""),408.0)</f>
        <v>408</v>
      </c>
      <c r="W87" s="329">
        <f>IFERROR(__xludf.DUMMYFUNCTION("""COMPUTED_VALUE"""),43.0)</f>
        <v>43</v>
      </c>
      <c r="X87" s="329">
        <f>IFERROR(__xludf.DUMMYFUNCTION("""COMPUTED_VALUE"""),22.0)</f>
        <v>22</v>
      </c>
      <c r="Y87" s="329">
        <f>IFERROR(__xludf.DUMMYFUNCTION("""COMPUTED_VALUE"""),12.0)</f>
        <v>12</v>
      </c>
      <c r="Z87" s="329">
        <f>IFERROR(__xludf.DUMMYFUNCTION("""COMPUTED_VALUE"""),1368.0)</f>
        <v>1368</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IFERROR(__xludf.DUMMYFUNCTION("""COMPUTED_VALUE"""),44160.0)</f>
        <v>44160</v>
      </c>
      <c r="B88" s="329">
        <f>IFERROR(__xludf.DUMMYFUNCTION("""COMPUTED_VALUE"""),1269.0)</f>
        <v>1269</v>
      </c>
      <c r="C88" s="329">
        <f>IFERROR(__xludf.DUMMYFUNCTION("""COMPUTED_VALUE"""),1107.0)</f>
        <v>1107</v>
      </c>
      <c r="D88" s="329">
        <f>IFERROR(__xludf.DUMMYFUNCTION("""COMPUTED_VALUE"""),67029.0)</f>
        <v>67029</v>
      </c>
      <c r="E88" s="329">
        <f>IFERROR(__xludf.DUMMYFUNCTION("""COMPUTED_VALUE"""),18806.0)</f>
        <v>18806</v>
      </c>
      <c r="F88" s="258">
        <f>IFERROR(__xludf.DUMMYFUNCTION("""COMPUTED_VALUE"""),1446512.0)</f>
        <v>1446512</v>
      </c>
      <c r="G88" s="258">
        <f>IFERROR(__xludf.DUMMYFUNCTION("""COMPUTED_VALUE"""),20075.0)</f>
        <v>20075</v>
      </c>
      <c r="H88" s="258">
        <f>IFERROR(__xludf.DUMMYFUNCTION("""COMPUTED_VALUE"""),1513541.0)</f>
        <v>1513541</v>
      </c>
      <c r="I88" s="329">
        <f>IFERROR(__xludf.DUMMYFUNCTION("""COMPUTED_VALUE"""),1184.0)</f>
        <v>1184</v>
      </c>
      <c r="J88" s="329">
        <f>IFERROR(__xludf.DUMMYFUNCTION("""COMPUTED_VALUE"""),1006.0)</f>
        <v>1006</v>
      </c>
      <c r="K88" s="329">
        <f>IFERROR(__xludf.DUMMYFUNCTION("""COMPUTED_VALUE"""),53716.0)</f>
        <v>53716</v>
      </c>
      <c r="L88" s="329">
        <f>IFERROR(__xludf.DUMMYFUNCTION("""COMPUTED_VALUE"""),3235.0)</f>
        <v>3235</v>
      </c>
      <c r="M88" s="329">
        <f>IFERROR(__xludf.DUMMYFUNCTION("""COMPUTED_VALUE"""),430961.0)</f>
        <v>430961</v>
      </c>
      <c r="N88" s="329">
        <f>IFERROR(__xludf.DUMMYFUNCTION("""COMPUTED_VALUE"""),484677.0)</f>
        <v>484677</v>
      </c>
      <c r="O88" s="329">
        <f>IFERROR(__xludf.DUMMYFUNCTION("""COMPUTED_VALUE"""),59.0)</f>
        <v>59</v>
      </c>
      <c r="P88" s="329">
        <f>IFERROR(__xludf.DUMMYFUNCTION("""COMPUTED_VALUE"""),4427.0)</f>
        <v>4427</v>
      </c>
      <c r="Q88" s="329">
        <f>IFERROR(__xludf.DUMMYFUNCTION("""COMPUTED_VALUE"""),59.0)</f>
        <v>59</v>
      </c>
      <c r="R88" s="329">
        <f>IFERROR(__xludf.DUMMYFUNCTION("""COMPUTED_VALUE"""),3551.0)</f>
        <v>3551</v>
      </c>
      <c r="S88" s="329">
        <f>IFERROR(__xludf.DUMMYFUNCTION("""COMPUTED_VALUE"""),4.0)</f>
        <v>4</v>
      </c>
      <c r="T88" s="329">
        <f>IFERROR(__xludf.DUMMYFUNCTION("""COMPUTED_VALUE"""),473.0)</f>
        <v>473</v>
      </c>
      <c r="U88" s="329">
        <f>IFERROR(__xludf.DUMMYFUNCTION("""COMPUTED_VALUE"""),403.0)</f>
        <v>403</v>
      </c>
      <c r="V88" s="329">
        <f>IFERROR(__xludf.DUMMYFUNCTION("""COMPUTED_VALUE"""),412.0)</f>
        <v>412</v>
      </c>
      <c r="W88" s="329">
        <f>IFERROR(__xludf.DUMMYFUNCTION("""COMPUTED_VALUE"""),44.0)</f>
        <v>44</v>
      </c>
      <c r="X88" s="329">
        <f>IFERROR(__xludf.DUMMYFUNCTION("""COMPUTED_VALUE"""),26.0)</f>
        <v>26</v>
      </c>
      <c r="Y88" s="329">
        <f>IFERROR(__xludf.DUMMYFUNCTION("""COMPUTED_VALUE"""),7.0)</f>
        <v>7</v>
      </c>
      <c r="Z88" s="329">
        <f>IFERROR(__xludf.DUMMYFUNCTION("""COMPUTED_VALUE"""),1375.0)</f>
        <v>1375</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IFERROR(__xludf.DUMMYFUNCTION("""COMPUTED_VALUE"""),44161.0)</f>
        <v>44161</v>
      </c>
      <c r="B89" s="329">
        <f>IFERROR(__xludf.DUMMYFUNCTION("""COMPUTED_VALUE"""),553.0)</f>
        <v>553</v>
      </c>
      <c r="C89" s="329">
        <f>IFERROR(__xludf.DUMMYFUNCTION("""COMPUTED_VALUE"""),959.0)</f>
        <v>959</v>
      </c>
      <c r="D89" s="329">
        <f>IFERROR(__xludf.DUMMYFUNCTION("""COMPUTED_VALUE"""),67582.0)</f>
        <v>67582</v>
      </c>
      <c r="E89" s="329">
        <f>IFERROR(__xludf.DUMMYFUNCTION("""COMPUTED_VALUE"""),6489.0)</f>
        <v>6489</v>
      </c>
      <c r="F89" s="258">
        <f>IFERROR(__xludf.DUMMYFUNCTION("""COMPUTED_VALUE"""),1453001.0)</f>
        <v>1453001</v>
      </c>
      <c r="G89" s="258">
        <f>IFERROR(__xludf.DUMMYFUNCTION("""COMPUTED_VALUE"""),7042.0)</f>
        <v>7042</v>
      </c>
      <c r="H89" s="258">
        <f>IFERROR(__xludf.DUMMYFUNCTION("""COMPUTED_VALUE"""),1520583.0)</f>
        <v>1520583</v>
      </c>
      <c r="I89" s="329">
        <f>IFERROR(__xludf.DUMMYFUNCTION("""COMPUTED_VALUE"""),476.0)</f>
        <v>476</v>
      </c>
      <c r="J89" s="329">
        <f>IFERROR(__xludf.DUMMYFUNCTION("""COMPUTED_VALUE"""),868.0)</f>
        <v>868</v>
      </c>
      <c r="K89" s="329">
        <f>IFERROR(__xludf.DUMMYFUNCTION("""COMPUTED_VALUE"""),54192.0)</f>
        <v>54192</v>
      </c>
      <c r="L89" s="329">
        <f>IFERROR(__xludf.DUMMYFUNCTION("""COMPUTED_VALUE"""),1434.0)</f>
        <v>1434</v>
      </c>
      <c r="M89" s="329">
        <f>IFERROR(__xludf.DUMMYFUNCTION("""COMPUTED_VALUE"""),432395.0)</f>
        <v>432395</v>
      </c>
      <c r="N89" s="329">
        <f>IFERROR(__xludf.DUMMYFUNCTION("""COMPUTED_VALUE"""),486587.0)</f>
        <v>486587</v>
      </c>
      <c r="O89" s="329">
        <f>IFERROR(__xludf.DUMMYFUNCTION("""COMPUTED_VALUE"""),51.0)</f>
        <v>51</v>
      </c>
      <c r="P89" s="329">
        <f>IFERROR(__xludf.DUMMYFUNCTION("""COMPUTED_VALUE"""),4478.0)</f>
        <v>4478</v>
      </c>
      <c r="Q89" s="329">
        <f>IFERROR(__xludf.DUMMYFUNCTION("""COMPUTED_VALUE"""),35.0)</f>
        <v>35</v>
      </c>
      <c r="R89" s="329">
        <f>IFERROR(__xludf.DUMMYFUNCTION("""COMPUTED_VALUE"""),3586.0)</f>
        <v>3586</v>
      </c>
      <c r="S89" s="329">
        <f>IFERROR(__xludf.DUMMYFUNCTION("""COMPUTED_VALUE"""),4.0)</f>
        <v>4</v>
      </c>
      <c r="T89" s="329">
        <f>IFERROR(__xludf.DUMMYFUNCTION("""COMPUTED_VALUE"""),477.0)</f>
        <v>477</v>
      </c>
      <c r="U89" s="329">
        <f>IFERROR(__xludf.DUMMYFUNCTION("""COMPUTED_VALUE"""),415.0)</f>
        <v>415</v>
      </c>
      <c r="V89" s="329">
        <f>IFERROR(__xludf.DUMMYFUNCTION("""COMPUTED_VALUE"""),408.0)</f>
        <v>408</v>
      </c>
      <c r="W89" s="329">
        <f>IFERROR(__xludf.DUMMYFUNCTION("""COMPUTED_VALUE"""),47.0)</f>
        <v>47</v>
      </c>
      <c r="X89" s="329">
        <f>IFERROR(__xludf.DUMMYFUNCTION("""COMPUTED_VALUE"""),25.0)</f>
        <v>25</v>
      </c>
      <c r="Y89" s="329">
        <f>IFERROR(__xludf.DUMMYFUNCTION("""COMPUTED_VALUE"""),12.0)</f>
        <v>12</v>
      </c>
      <c r="Z89" s="329">
        <f>IFERROR(__xludf.DUMMYFUNCTION("""COMPUTED_VALUE"""),1387.0)</f>
        <v>1387</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IFERROR(__xludf.DUMMYFUNCTION("""COMPUTED_VALUE"""),44162.0)</f>
        <v>44162</v>
      </c>
      <c r="B90" s="329">
        <f>IFERROR(__xludf.DUMMYFUNCTION("""COMPUTED_VALUE"""),1044.0)</f>
        <v>1044</v>
      </c>
      <c r="C90" s="329">
        <f>IFERROR(__xludf.DUMMYFUNCTION("""COMPUTED_VALUE"""),955.0)</f>
        <v>955</v>
      </c>
      <c r="D90" s="329">
        <f>IFERROR(__xludf.DUMMYFUNCTION("""COMPUTED_VALUE"""),68626.0)</f>
        <v>68626</v>
      </c>
      <c r="E90" s="329">
        <f>IFERROR(__xludf.DUMMYFUNCTION("""COMPUTED_VALUE"""),9725.0)</f>
        <v>9725</v>
      </c>
      <c r="F90" s="258">
        <f>IFERROR(__xludf.DUMMYFUNCTION("""COMPUTED_VALUE"""),1462726.0)</f>
        <v>1462726</v>
      </c>
      <c r="G90" s="258">
        <f>IFERROR(__xludf.DUMMYFUNCTION("""COMPUTED_VALUE"""),10769.0)</f>
        <v>10769</v>
      </c>
      <c r="H90" s="258">
        <f>IFERROR(__xludf.DUMMYFUNCTION("""COMPUTED_VALUE"""),1531352.0)</f>
        <v>1531352</v>
      </c>
      <c r="I90" s="329">
        <f>IFERROR(__xludf.DUMMYFUNCTION("""COMPUTED_VALUE"""),974.0)</f>
        <v>974</v>
      </c>
      <c r="J90" s="329">
        <f>IFERROR(__xludf.DUMMYFUNCTION("""COMPUTED_VALUE"""),878.0)</f>
        <v>878</v>
      </c>
      <c r="K90" s="329">
        <f>IFERROR(__xludf.DUMMYFUNCTION("""COMPUTED_VALUE"""),55166.0)</f>
        <v>55166</v>
      </c>
      <c r="L90" s="329">
        <f>IFERROR(__xludf.DUMMYFUNCTION("""COMPUTED_VALUE"""),2382.0)</f>
        <v>2382</v>
      </c>
      <c r="M90" s="329">
        <f>IFERROR(__xludf.DUMMYFUNCTION("""COMPUTED_VALUE"""),434777.0)</f>
        <v>434777</v>
      </c>
      <c r="N90" s="329">
        <f>IFERROR(__xludf.DUMMYFUNCTION("""COMPUTED_VALUE"""),489943.0)</f>
        <v>489943</v>
      </c>
      <c r="O90" s="329">
        <f>IFERROR(__xludf.DUMMYFUNCTION("""COMPUTED_VALUE"""),52.0)</f>
        <v>52</v>
      </c>
      <c r="P90" s="329">
        <f>IFERROR(__xludf.DUMMYFUNCTION("""COMPUTED_VALUE"""),4530.0)</f>
        <v>4530</v>
      </c>
      <c r="Q90" s="329">
        <f>IFERROR(__xludf.DUMMYFUNCTION("""COMPUTED_VALUE"""),46.0)</f>
        <v>46</v>
      </c>
      <c r="R90" s="329">
        <f>IFERROR(__xludf.DUMMYFUNCTION("""COMPUTED_VALUE"""),3632.0)</f>
        <v>3632</v>
      </c>
      <c r="S90" s="329">
        <f>IFERROR(__xludf.DUMMYFUNCTION("""COMPUTED_VALUE"""),7.0)</f>
        <v>7</v>
      </c>
      <c r="T90" s="329">
        <f>IFERROR(__xludf.DUMMYFUNCTION("""COMPUTED_VALUE"""),484.0)</f>
        <v>484</v>
      </c>
      <c r="U90" s="329">
        <f>IFERROR(__xludf.DUMMYFUNCTION("""COMPUTED_VALUE"""),414.0)</f>
        <v>414</v>
      </c>
      <c r="V90" s="329">
        <f>IFERROR(__xludf.DUMMYFUNCTION("""COMPUTED_VALUE"""),411.0)</f>
        <v>411</v>
      </c>
      <c r="W90" s="329">
        <f>IFERROR(__xludf.DUMMYFUNCTION("""COMPUTED_VALUE"""),48.0)</f>
        <v>48</v>
      </c>
      <c r="X90" s="329">
        <f>IFERROR(__xludf.DUMMYFUNCTION("""COMPUTED_VALUE"""),22.0)</f>
        <v>22</v>
      </c>
      <c r="Y90" s="329">
        <f>IFERROR(__xludf.DUMMYFUNCTION("""COMPUTED_VALUE"""),9.0)</f>
        <v>9</v>
      </c>
      <c r="Z90" s="329">
        <f>IFERROR(__xludf.DUMMYFUNCTION("""COMPUTED_VALUE"""),1396.0)</f>
        <v>1396</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IFERROR(__xludf.DUMMYFUNCTION("""COMPUTED_VALUE"""),44163.0)</f>
        <v>44163</v>
      </c>
      <c r="B91" s="329">
        <f>IFERROR(__xludf.DUMMYFUNCTION("""COMPUTED_VALUE"""),1192.0)</f>
        <v>1192</v>
      </c>
      <c r="C91" s="329">
        <f>IFERROR(__xludf.DUMMYFUNCTION("""COMPUTED_VALUE"""),930.0)</f>
        <v>930</v>
      </c>
      <c r="D91" s="329">
        <f>IFERROR(__xludf.DUMMYFUNCTION("""COMPUTED_VALUE"""),69818.0)</f>
        <v>69818</v>
      </c>
      <c r="E91" s="329">
        <f>IFERROR(__xludf.DUMMYFUNCTION("""COMPUTED_VALUE"""),11963.0)</f>
        <v>11963</v>
      </c>
      <c r="F91" s="258">
        <f>IFERROR(__xludf.DUMMYFUNCTION("""COMPUTED_VALUE"""),1474689.0)</f>
        <v>1474689</v>
      </c>
      <c r="G91" s="258">
        <f>IFERROR(__xludf.DUMMYFUNCTION("""COMPUTED_VALUE"""),13155.0)</f>
        <v>13155</v>
      </c>
      <c r="H91" s="258">
        <f>IFERROR(__xludf.DUMMYFUNCTION("""COMPUTED_VALUE"""),1544507.0)</f>
        <v>1544507</v>
      </c>
      <c r="I91" s="329">
        <f>IFERROR(__xludf.DUMMYFUNCTION("""COMPUTED_VALUE"""),1098.0)</f>
        <v>1098</v>
      </c>
      <c r="J91" s="329">
        <f>IFERROR(__xludf.DUMMYFUNCTION("""COMPUTED_VALUE"""),849.0)</f>
        <v>849</v>
      </c>
      <c r="K91" s="329">
        <f>IFERROR(__xludf.DUMMYFUNCTION("""COMPUTED_VALUE"""),56264.0)</f>
        <v>56264</v>
      </c>
      <c r="L91" s="329">
        <f>IFERROR(__xludf.DUMMYFUNCTION("""COMPUTED_VALUE"""),2665.0)</f>
        <v>2665</v>
      </c>
      <c r="M91" s="329">
        <f>IFERROR(__xludf.DUMMYFUNCTION("""COMPUTED_VALUE"""),437442.0)</f>
        <v>437442</v>
      </c>
      <c r="N91" s="329">
        <f>IFERROR(__xludf.DUMMYFUNCTION("""COMPUTED_VALUE"""),493706.0)</f>
        <v>493706</v>
      </c>
      <c r="O91" s="329">
        <f>IFERROR(__xludf.DUMMYFUNCTION("""COMPUTED_VALUE"""),64.0)</f>
        <v>64</v>
      </c>
      <c r="P91" s="329">
        <f>IFERROR(__xludf.DUMMYFUNCTION("""COMPUTED_VALUE"""),4594.0)</f>
        <v>4594</v>
      </c>
      <c r="Q91" s="329">
        <f>IFERROR(__xludf.DUMMYFUNCTION("""COMPUTED_VALUE"""),39.0)</f>
        <v>39</v>
      </c>
      <c r="R91" s="329">
        <f>IFERROR(__xludf.DUMMYFUNCTION("""COMPUTED_VALUE"""),3671.0)</f>
        <v>3671</v>
      </c>
      <c r="S91" s="329">
        <f>IFERROR(__xludf.DUMMYFUNCTION("""COMPUTED_VALUE"""),0.0)</f>
        <v>0</v>
      </c>
      <c r="T91" s="329">
        <f>IFERROR(__xludf.DUMMYFUNCTION("""COMPUTED_VALUE"""),484.0)</f>
        <v>484</v>
      </c>
      <c r="U91" s="329">
        <f>IFERROR(__xludf.DUMMYFUNCTION("""COMPUTED_VALUE"""),439.0)</f>
        <v>439</v>
      </c>
      <c r="V91" s="329">
        <f>IFERROR(__xludf.DUMMYFUNCTION("""COMPUTED_VALUE"""),423.0)</f>
        <v>423</v>
      </c>
      <c r="W91" s="329">
        <f>IFERROR(__xludf.DUMMYFUNCTION("""COMPUTED_VALUE"""),49.0)</f>
        <v>49</v>
      </c>
      <c r="X91" s="329">
        <f>IFERROR(__xludf.DUMMYFUNCTION("""COMPUTED_VALUE"""),22.0)</f>
        <v>22</v>
      </c>
      <c r="Y91" s="329">
        <f>IFERROR(__xludf.DUMMYFUNCTION("""COMPUTED_VALUE"""),4.0)</f>
        <v>4</v>
      </c>
      <c r="Z91" s="329">
        <f>IFERROR(__xludf.DUMMYFUNCTION("""COMPUTED_VALUE"""),1400.0)</f>
        <v>1400</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IFERROR(__xludf.DUMMYFUNCTION("""COMPUTED_VALUE"""),44164.0)</f>
        <v>44164</v>
      </c>
      <c r="B92" s="329">
        <f>IFERROR(__xludf.DUMMYFUNCTION("""COMPUTED_VALUE"""),828.0)</f>
        <v>828</v>
      </c>
      <c r="C92" s="329">
        <f>IFERROR(__xludf.DUMMYFUNCTION("""COMPUTED_VALUE"""),1021.0)</f>
        <v>1021</v>
      </c>
      <c r="D92" s="329">
        <f>IFERROR(__xludf.DUMMYFUNCTION("""COMPUTED_VALUE"""),70646.0)</f>
        <v>70646</v>
      </c>
      <c r="E92" s="329">
        <f>IFERROR(__xludf.DUMMYFUNCTION("""COMPUTED_VALUE"""),6935.0)</f>
        <v>6935</v>
      </c>
      <c r="F92" s="258">
        <f>IFERROR(__xludf.DUMMYFUNCTION("""COMPUTED_VALUE"""),1481624.0)</f>
        <v>1481624</v>
      </c>
      <c r="G92" s="258">
        <f>IFERROR(__xludf.DUMMYFUNCTION("""COMPUTED_VALUE"""),7763.0)</f>
        <v>7763</v>
      </c>
      <c r="H92" s="258">
        <f>IFERROR(__xludf.DUMMYFUNCTION("""COMPUTED_VALUE"""),1552270.0)</f>
        <v>1552270</v>
      </c>
      <c r="I92" s="329">
        <f>IFERROR(__xludf.DUMMYFUNCTION("""COMPUTED_VALUE"""),755.0)</f>
        <v>755</v>
      </c>
      <c r="J92" s="329">
        <f>IFERROR(__xludf.DUMMYFUNCTION("""COMPUTED_VALUE"""),942.0)</f>
        <v>942</v>
      </c>
      <c r="K92" s="329">
        <f>IFERROR(__xludf.DUMMYFUNCTION("""COMPUTED_VALUE"""),57019.0)</f>
        <v>57019</v>
      </c>
      <c r="L92" s="329">
        <f>IFERROR(__xludf.DUMMYFUNCTION("""COMPUTED_VALUE"""),2200.0)</f>
        <v>2200</v>
      </c>
      <c r="M92" s="329">
        <f>IFERROR(__xludf.DUMMYFUNCTION("""COMPUTED_VALUE"""),439642.0)</f>
        <v>439642</v>
      </c>
      <c r="N92" s="329">
        <f>IFERROR(__xludf.DUMMYFUNCTION("""COMPUTED_VALUE"""),496661.0)</f>
        <v>496661</v>
      </c>
      <c r="O92" s="329">
        <f>IFERROR(__xludf.DUMMYFUNCTION("""COMPUTED_VALUE"""),62.0)</f>
        <v>62</v>
      </c>
      <c r="P92" s="329">
        <f>IFERROR(__xludf.DUMMYFUNCTION("""COMPUTED_VALUE"""),4656.0)</f>
        <v>4656</v>
      </c>
      <c r="Q92" s="329">
        <f>IFERROR(__xludf.DUMMYFUNCTION("""COMPUTED_VALUE"""),36.0)</f>
        <v>36</v>
      </c>
      <c r="R92" s="329">
        <f>IFERROR(__xludf.DUMMYFUNCTION("""COMPUTED_VALUE"""),3707.0)</f>
        <v>3707</v>
      </c>
      <c r="S92" s="329">
        <f>IFERROR(__xludf.DUMMYFUNCTION("""COMPUTED_VALUE"""),3.0)</f>
        <v>3</v>
      </c>
      <c r="T92" s="329">
        <f>IFERROR(__xludf.DUMMYFUNCTION("""COMPUTED_VALUE"""),487.0)</f>
        <v>487</v>
      </c>
      <c r="U92" s="329">
        <f>IFERROR(__xludf.DUMMYFUNCTION("""COMPUTED_VALUE"""),462.0)</f>
        <v>462</v>
      </c>
      <c r="V92" s="329">
        <f>IFERROR(__xludf.DUMMYFUNCTION("""COMPUTED_VALUE"""),438.0)</f>
        <v>438</v>
      </c>
      <c r="W92" s="329">
        <f>IFERROR(__xludf.DUMMYFUNCTION("""COMPUTED_VALUE"""),50.0)</f>
        <v>50</v>
      </c>
      <c r="X92" s="329">
        <f>IFERROR(__xludf.DUMMYFUNCTION("""COMPUTED_VALUE"""),24.0)</f>
        <v>24</v>
      </c>
      <c r="Y92" s="329">
        <f>IFERROR(__xludf.DUMMYFUNCTION("""COMPUTED_VALUE"""),9.0)</f>
        <v>9</v>
      </c>
      <c r="Z92" s="329">
        <f>IFERROR(__xludf.DUMMYFUNCTION("""COMPUTED_VALUE"""),1409.0)</f>
        <v>1409</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IFERROR(__xludf.DUMMYFUNCTION("""COMPUTED_VALUE"""),44165.0)</f>
        <v>44165</v>
      </c>
      <c r="B93" s="329">
        <f>IFERROR(__xludf.DUMMYFUNCTION("""COMPUTED_VALUE"""),1294.0)</f>
        <v>1294</v>
      </c>
      <c r="C93" s="329">
        <f>IFERROR(__xludf.DUMMYFUNCTION("""COMPUTED_VALUE"""),1105.0)</f>
        <v>1105</v>
      </c>
      <c r="D93" s="329">
        <f>IFERROR(__xludf.DUMMYFUNCTION("""COMPUTED_VALUE"""),71940.0)</f>
        <v>71940</v>
      </c>
      <c r="E93" s="329">
        <f>IFERROR(__xludf.DUMMYFUNCTION("""COMPUTED_VALUE"""),9934.0)</f>
        <v>9934</v>
      </c>
      <c r="F93" s="258">
        <f>IFERROR(__xludf.DUMMYFUNCTION("""COMPUTED_VALUE"""),1491558.0)</f>
        <v>1491558</v>
      </c>
      <c r="G93" s="258">
        <f>IFERROR(__xludf.DUMMYFUNCTION("""COMPUTED_VALUE"""),11228.0)</f>
        <v>11228</v>
      </c>
      <c r="H93" s="258">
        <f>IFERROR(__xludf.DUMMYFUNCTION("""COMPUTED_VALUE"""),1563498.0)</f>
        <v>1563498</v>
      </c>
      <c r="I93" s="329">
        <f>IFERROR(__xludf.DUMMYFUNCTION("""COMPUTED_VALUE"""),1170.0)</f>
        <v>1170</v>
      </c>
      <c r="J93" s="329">
        <f>IFERROR(__xludf.DUMMYFUNCTION("""COMPUTED_VALUE"""),1008.0)</f>
        <v>1008</v>
      </c>
      <c r="K93" s="329">
        <f>IFERROR(__xludf.DUMMYFUNCTION("""COMPUTED_VALUE"""),58189.0)</f>
        <v>58189</v>
      </c>
      <c r="L93" s="329">
        <f>IFERROR(__xludf.DUMMYFUNCTION("""COMPUTED_VALUE"""),2643.0)</f>
        <v>2643</v>
      </c>
      <c r="M93" s="329">
        <f>IFERROR(__xludf.DUMMYFUNCTION("""COMPUTED_VALUE"""),442285.0)</f>
        <v>442285</v>
      </c>
      <c r="N93" s="329">
        <f>IFERROR(__xludf.DUMMYFUNCTION("""COMPUTED_VALUE"""),500474.0)</f>
        <v>500474</v>
      </c>
      <c r="O93" s="329">
        <f>IFERROR(__xludf.DUMMYFUNCTION("""COMPUTED_VALUE"""),66.0)</f>
        <v>66</v>
      </c>
      <c r="P93" s="329">
        <f>IFERROR(__xludf.DUMMYFUNCTION("""COMPUTED_VALUE"""),4722.0)</f>
        <v>4722</v>
      </c>
      <c r="Q93" s="329">
        <f>IFERROR(__xludf.DUMMYFUNCTION("""COMPUTED_VALUE"""),58.0)</f>
        <v>58</v>
      </c>
      <c r="R93" s="329">
        <f>IFERROR(__xludf.DUMMYFUNCTION("""COMPUTED_VALUE"""),3765.0)</f>
        <v>3765</v>
      </c>
      <c r="S93" s="329">
        <f>IFERROR(__xludf.DUMMYFUNCTION("""COMPUTED_VALUE"""),2.0)</f>
        <v>2</v>
      </c>
      <c r="T93" s="329">
        <f>IFERROR(__xludf.DUMMYFUNCTION("""COMPUTED_VALUE"""),489.0)</f>
        <v>489</v>
      </c>
      <c r="U93" s="329">
        <f>IFERROR(__xludf.DUMMYFUNCTION("""COMPUTED_VALUE"""),468.0)</f>
        <v>468</v>
      </c>
      <c r="V93" s="329">
        <f>IFERROR(__xludf.DUMMYFUNCTION("""COMPUTED_VALUE"""),456.0)</f>
        <v>456</v>
      </c>
      <c r="W93" s="329">
        <f>IFERROR(__xludf.DUMMYFUNCTION("""COMPUTED_VALUE"""),53.0)</f>
        <v>53</v>
      </c>
      <c r="X93" s="329">
        <f>IFERROR(__xludf.DUMMYFUNCTION("""COMPUTED_VALUE"""),30.0)</f>
        <v>30</v>
      </c>
      <c r="Y93" s="329">
        <f>IFERROR(__xludf.DUMMYFUNCTION("""COMPUTED_VALUE"""),7.0)</f>
        <v>7</v>
      </c>
      <c r="Z93" s="329">
        <f>IFERROR(__xludf.DUMMYFUNCTION("""COMPUTED_VALUE"""),1416.0)</f>
        <v>1416</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IFERROR(__xludf.DUMMYFUNCTION("""COMPUTED_VALUE"""),44166.0)</f>
        <v>44166</v>
      </c>
      <c r="B94" s="329">
        <f>IFERROR(__xludf.DUMMYFUNCTION("""COMPUTED_VALUE"""),1567.0)</f>
        <v>1567</v>
      </c>
      <c r="C94" s="329">
        <f>IFERROR(__xludf.DUMMYFUNCTION("""COMPUTED_VALUE"""),1230.0)</f>
        <v>1230</v>
      </c>
      <c r="D94" s="329">
        <f>IFERROR(__xludf.DUMMYFUNCTION("""COMPUTED_VALUE"""),73507.0)</f>
        <v>73507</v>
      </c>
      <c r="E94" s="329">
        <f>IFERROR(__xludf.DUMMYFUNCTION("""COMPUTED_VALUE"""),14023.0)</f>
        <v>14023</v>
      </c>
      <c r="F94" s="258">
        <f>IFERROR(__xludf.DUMMYFUNCTION("""COMPUTED_VALUE"""),1505581.0)</f>
        <v>1505581</v>
      </c>
      <c r="G94" s="258">
        <f>IFERROR(__xludf.DUMMYFUNCTION("""COMPUTED_VALUE"""),15590.0)</f>
        <v>15590</v>
      </c>
      <c r="H94" s="258">
        <f>IFERROR(__xludf.DUMMYFUNCTION("""COMPUTED_VALUE"""),1579088.0)</f>
        <v>1579088</v>
      </c>
      <c r="I94" s="329">
        <f>IFERROR(__xludf.DUMMYFUNCTION("""COMPUTED_VALUE"""),1428.0)</f>
        <v>1428</v>
      </c>
      <c r="J94" s="329">
        <f>IFERROR(__xludf.DUMMYFUNCTION("""COMPUTED_VALUE"""),1118.0)</f>
        <v>1118</v>
      </c>
      <c r="K94" s="329">
        <f>IFERROR(__xludf.DUMMYFUNCTION("""COMPUTED_VALUE"""),59617.0)</f>
        <v>59617</v>
      </c>
      <c r="L94" s="329">
        <f>IFERROR(__xludf.DUMMYFUNCTION("""COMPUTED_VALUE"""),3219.0)</f>
        <v>3219</v>
      </c>
      <c r="M94" s="329">
        <f>IFERROR(__xludf.DUMMYFUNCTION("""COMPUTED_VALUE"""),445504.0)</f>
        <v>445504</v>
      </c>
      <c r="N94" s="329">
        <f>IFERROR(__xludf.DUMMYFUNCTION("""COMPUTED_VALUE"""),505121.0)</f>
        <v>505121</v>
      </c>
      <c r="O94" s="329">
        <f>IFERROR(__xludf.DUMMYFUNCTION("""COMPUTED_VALUE"""),62.0)</f>
        <v>62</v>
      </c>
      <c r="P94" s="329">
        <f>IFERROR(__xludf.DUMMYFUNCTION("""COMPUTED_VALUE"""),4784.0)</f>
        <v>4784</v>
      </c>
      <c r="Q94" s="329">
        <f>IFERROR(__xludf.DUMMYFUNCTION("""COMPUTED_VALUE"""),55.0)</f>
        <v>55</v>
      </c>
      <c r="R94" s="329">
        <f>IFERROR(__xludf.DUMMYFUNCTION("""COMPUTED_VALUE"""),3820.0)</f>
        <v>3820</v>
      </c>
      <c r="S94" s="329">
        <f>IFERROR(__xludf.DUMMYFUNCTION("""COMPUTED_VALUE"""),4.0)</f>
        <v>4</v>
      </c>
      <c r="T94" s="329">
        <f>IFERROR(__xludf.DUMMYFUNCTION("""COMPUTED_VALUE"""),493.0)</f>
        <v>493</v>
      </c>
      <c r="U94" s="329">
        <f>IFERROR(__xludf.DUMMYFUNCTION("""COMPUTED_VALUE"""),471.0)</f>
        <v>471</v>
      </c>
      <c r="V94" s="329">
        <f>IFERROR(__xludf.DUMMYFUNCTION("""COMPUTED_VALUE"""),467.0)</f>
        <v>467</v>
      </c>
      <c r="W94" s="329">
        <f>IFERROR(__xludf.DUMMYFUNCTION("""COMPUTED_VALUE"""),52.0)</f>
        <v>52</v>
      </c>
      <c r="X94" s="329">
        <f>IFERROR(__xludf.DUMMYFUNCTION("""COMPUTED_VALUE"""),31.0)</f>
        <v>31</v>
      </c>
      <c r="Y94" s="329">
        <f>IFERROR(__xludf.DUMMYFUNCTION("""COMPUTED_VALUE"""),13.0)</f>
        <v>13</v>
      </c>
      <c r="Z94" s="329">
        <f>IFERROR(__xludf.DUMMYFUNCTION("""COMPUTED_VALUE"""),1429.0)</f>
        <v>1429</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8">
        <f>IFERROR(__xludf.DUMMYFUNCTION("""COMPUTED_VALUE"""),44167.0)</f>
        <v>44167</v>
      </c>
      <c r="B95" s="329">
        <f>IFERROR(__xludf.DUMMYFUNCTION("""COMPUTED_VALUE"""),1572.0)</f>
        <v>1572</v>
      </c>
      <c r="C95" s="329">
        <f>IFERROR(__xludf.DUMMYFUNCTION("""COMPUTED_VALUE"""),1478.0)</f>
        <v>1478</v>
      </c>
      <c r="D95" s="329">
        <f>IFERROR(__xludf.DUMMYFUNCTION("""COMPUTED_VALUE"""),75079.0)</f>
        <v>75079</v>
      </c>
      <c r="E95" s="329">
        <f>IFERROR(__xludf.DUMMYFUNCTION("""COMPUTED_VALUE"""),15522.0)</f>
        <v>15522</v>
      </c>
      <c r="F95" s="258">
        <f>IFERROR(__xludf.DUMMYFUNCTION("""COMPUTED_VALUE"""),1521103.0)</f>
        <v>1521103</v>
      </c>
      <c r="G95" s="258">
        <f>IFERROR(__xludf.DUMMYFUNCTION("""COMPUTED_VALUE"""),17094.0)</f>
        <v>17094</v>
      </c>
      <c r="H95" s="258">
        <f>IFERROR(__xludf.DUMMYFUNCTION("""COMPUTED_VALUE"""),1596182.0)</f>
        <v>1596182</v>
      </c>
      <c r="I95" s="329">
        <f>IFERROR(__xludf.DUMMYFUNCTION("""COMPUTED_VALUE"""),1450.0)</f>
        <v>1450</v>
      </c>
      <c r="J95" s="329">
        <f>IFERROR(__xludf.DUMMYFUNCTION("""COMPUTED_VALUE"""),1349.0)</f>
        <v>1349</v>
      </c>
      <c r="K95" s="329">
        <f>IFERROR(__xludf.DUMMYFUNCTION("""COMPUTED_VALUE"""),61067.0)</f>
        <v>61067</v>
      </c>
      <c r="L95" s="329">
        <f>IFERROR(__xludf.DUMMYFUNCTION("""COMPUTED_VALUE"""),3054.0)</f>
        <v>3054</v>
      </c>
      <c r="M95" s="329">
        <f>IFERROR(__xludf.DUMMYFUNCTION("""COMPUTED_VALUE"""),448558.0)</f>
        <v>448558</v>
      </c>
      <c r="N95" s="329">
        <f>IFERROR(__xludf.DUMMYFUNCTION("""COMPUTED_VALUE"""),509625.0)</f>
        <v>509625</v>
      </c>
      <c r="O95" s="329">
        <f>IFERROR(__xludf.DUMMYFUNCTION("""COMPUTED_VALUE"""),55.0)</f>
        <v>55</v>
      </c>
      <c r="P95" s="329">
        <f>IFERROR(__xludf.DUMMYFUNCTION("""COMPUTED_VALUE"""),4839.0)</f>
        <v>4839</v>
      </c>
      <c r="Q95" s="329">
        <f>IFERROR(__xludf.DUMMYFUNCTION("""COMPUTED_VALUE"""),51.0)</f>
        <v>51</v>
      </c>
      <c r="R95" s="329">
        <f>IFERROR(__xludf.DUMMYFUNCTION("""COMPUTED_VALUE"""),3871.0)</f>
        <v>3871</v>
      </c>
      <c r="S95" s="329">
        <f>IFERROR(__xludf.DUMMYFUNCTION("""COMPUTED_VALUE"""),7.0)</f>
        <v>7</v>
      </c>
      <c r="T95" s="329">
        <f>IFERROR(__xludf.DUMMYFUNCTION("""COMPUTED_VALUE"""),500.0)</f>
        <v>500</v>
      </c>
      <c r="U95" s="329">
        <f>IFERROR(__xludf.DUMMYFUNCTION("""COMPUTED_VALUE"""),468.0)</f>
        <v>468</v>
      </c>
      <c r="V95" s="329">
        <f>IFERROR(__xludf.DUMMYFUNCTION("""COMPUTED_VALUE"""),469.0)</f>
        <v>469</v>
      </c>
      <c r="W95" s="329">
        <f>IFERROR(__xludf.DUMMYFUNCTION("""COMPUTED_VALUE"""),53.0)</f>
        <v>53</v>
      </c>
      <c r="X95" s="329">
        <f>IFERROR(__xludf.DUMMYFUNCTION("""COMPUTED_VALUE"""),30.0)</f>
        <v>30</v>
      </c>
      <c r="Y95" s="329">
        <f>IFERROR(__xludf.DUMMYFUNCTION("""COMPUTED_VALUE"""),14.0)</f>
        <v>14</v>
      </c>
      <c r="Z95" s="329">
        <f>IFERROR(__xludf.DUMMYFUNCTION("""COMPUTED_VALUE"""),1443.0)</f>
        <v>1443</v>
      </c>
      <c r="AA95" s="258" t="str">
        <f>IFERROR(__xludf.DUMMYFUNCTION("""COMPUTED_VALUE"""),"--")</f>
        <v>--</v>
      </c>
      <c r="AB95" s="258" t="str">
        <f>IFERROR(__xludf.DUMMYFUNCTION("""COMPUTED_VALUE"""),"--")</f>
        <v>--</v>
      </c>
      <c r="AC95" s="258" t="str">
        <f>IFERROR(__xludf.DUMMYFUNCTION("""COMPUTED_VALUE"""),"--")</f>
        <v>--</v>
      </c>
      <c r="AD95" s="258" t="str">
        <f>IFERROR(__xludf.DUMMYFUNCTION("""COMPUTED_VALUE"""),"--")</f>
        <v>--</v>
      </c>
      <c r="AE95" s="258" t="str">
        <f>IFERROR(__xludf.DUMMYFUNCTION("""COMPUTED_VALUE"""),"--")</f>
        <v>--</v>
      </c>
      <c r="AF95" s="258" t="str">
        <f>IFERROR(__xludf.DUMMYFUNCTION("""COMPUTED_VALUE"""),"--")</f>
        <v>--</v>
      </c>
      <c r="AG95" s="258" t="str">
        <f>IFERROR(__xludf.DUMMYFUNCTION("""COMPUTED_VALUE"""),"--")</f>
        <v>--</v>
      </c>
      <c r="AH95" s="258" t="str">
        <f>IFERROR(__xludf.DUMMYFUNCTION("""COMPUTED_VALUE"""),"--")</f>
        <v>--</v>
      </c>
    </row>
    <row r="96">
      <c r="A96" s="328">
        <f>IFERROR(__xludf.DUMMYFUNCTION("""COMPUTED_VALUE"""),44168.0)</f>
        <v>44168</v>
      </c>
      <c r="B96" s="329">
        <f>IFERROR(__xludf.DUMMYFUNCTION("""COMPUTED_VALUE"""),1776.0)</f>
        <v>1776</v>
      </c>
      <c r="C96" s="329">
        <f>IFERROR(__xludf.DUMMYFUNCTION("""COMPUTED_VALUE"""),1638.0)</f>
        <v>1638</v>
      </c>
      <c r="D96" s="329">
        <f>IFERROR(__xludf.DUMMYFUNCTION("""COMPUTED_VALUE"""),76855.0)</f>
        <v>76855</v>
      </c>
      <c r="E96" s="329">
        <f>IFERROR(__xludf.DUMMYFUNCTION("""COMPUTED_VALUE"""),14625.0)</f>
        <v>14625</v>
      </c>
      <c r="F96" s="258">
        <f>IFERROR(__xludf.DUMMYFUNCTION("""COMPUTED_VALUE"""),1535728.0)</f>
        <v>1535728</v>
      </c>
      <c r="G96" s="258">
        <f>IFERROR(__xludf.DUMMYFUNCTION("""COMPUTED_VALUE"""),16401.0)</f>
        <v>16401</v>
      </c>
      <c r="H96" s="258">
        <f>IFERROR(__xludf.DUMMYFUNCTION("""COMPUTED_VALUE"""),1612583.0)</f>
        <v>1612583</v>
      </c>
      <c r="I96" s="329">
        <f>IFERROR(__xludf.DUMMYFUNCTION("""COMPUTED_VALUE"""),1638.0)</f>
        <v>1638</v>
      </c>
      <c r="J96" s="329">
        <f>IFERROR(__xludf.DUMMYFUNCTION("""COMPUTED_VALUE"""),1505.0)</f>
        <v>1505</v>
      </c>
      <c r="K96" s="329">
        <f>IFERROR(__xludf.DUMMYFUNCTION("""COMPUTED_VALUE"""),62705.0)</f>
        <v>62705</v>
      </c>
      <c r="L96" s="329">
        <f>IFERROR(__xludf.DUMMYFUNCTION("""COMPUTED_VALUE"""),3125.0)</f>
        <v>3125</v>
      </c>
      <c r="M96" s="329">
        <f>IFERROR(__xludf.DUMMYFUNCTION("""COMPUTED_VALUE"""),451683.0)</f>
        <v>451683</v>
      </c>
      <c r="N96" s="329">
        <f>IFERROR(__xludf.DUMMYFUNCTION("""COMPUTED_VALUE"""),514388.0)</f>
        <v>514388</v>
      </c>
      <c r="O96" s="329">
        <f>IFERROR(__xludf.DUMMYFUNCTION("""COMPUTED_VALUE"""),64.0)</f>
        <v>64</v>
      </c>
      <c r="P96" s="329">
        <f>IFERROR(__xludf.DUMMYFUNCTION("""COMPUTED_VALUE"""),4903.0)</f>
        <v>4903</v>
      </c>
      <c r="Q96" s="329">
        <f>IFERROR(__xludf.DUMMYFUNCTION("""COMPUTED_VALUE"""),76.0)</f>
        <v>76</v>
      </c>
      <c r="R96" s="329">
        <f>IFERROR(__xludf.DUMMYFUNCTION("""COMPUTED_VALUE"""),3947.0)</f>
        <v>3947</v>
      </c>
      <c r="S96" s="329">
        <f>IFERROR(__xludf.DUMMYFUNCTION("""COMPUTED_VALUE"""),5.0)</f>
        <v>5</v>
      </c>
      <c r="T96" s="329">
        <f>IFERROR(__xludf.DUMMYFUNCTION("""COMPUTED_VALUE"""),505.0)</f>
        <v>505</v>
      </c>
      <c r="U96" s="329">
        <f>IFERROR(__xludf.DUMMYFUNCTION("""COMPUTED_VALUE"""),451.0)</f>
        <v>451</v>
      </c>
      <c r="V96" s="329">
        <f>IFERROR(__xludf.DUMMYFUNCTION("""COMPUTED_VALUE"""),463.0)</f>
        <v>463</v>
      </c>
      <c r="W96" s="329">
        <f>IFERROR(__xludf.DUMMYFUNCTION("""COMPUTED_VALUE"""),49.0)</f>
        <v>49</v>
      </c>
      <c r="X96" s="329">
        <f>IFERROR(__xludf.DUMMYFUNCTION("""COMPUTED_VALUE"""),31.0)</f>
        <v>31</v>
      </c>
      <c r="Y96" s="329">
        <f>IFERROR(__xludf.DUMMYFUNCTION("""COMPUTED_VALUE"""),12.0)</f>
        <v>12</v>
      </c>
      <c r="Z96" s="329">
        <f>IFERROR(__xludf.DUMMYFUNCTION("""COMPUTED_VALUE"""),1455.0)</f>
        <v>1455</v>
      </c>
      <c r="AA96" s="258" t="str">
        <f>IFERROR(__xludf.DUMMYFUNCTION("""COMPUTED_VALUE"""),"--")</f>
        <v>--</v>
      </c>
      <c r="AB96" s="258" t="str">
        <f>IFERROR(__xludf.DUMMYFUNCTION("""COMPUTED_VALUE"""),"--")</f>
        <v>--</v>
      </c>
      <c r="AC96" s="258" t="str">
        <f>IFERROR(__xludf.DUMMYFUNCTION("""COMPUTED_VALUE"""),"--")</f>
        <v>--</v>
      </c>
      <c r="AD96" s="258" t="str">
        <f>IFERROR(__xludf.DUMMYFUNCTION("""COMPUTED_VALUE"""),"--")</f>
        <v>--</v>
      </c>
      <c r="AE96" s="258" t="str">
        <f>IFERROR(__xludf.DUMMYFUNCTION("""COMPUTED_VALUE"""),"--")</f>
        <v>--</v>
      </c>
      <c r="AF96" s="258" t="str">
        <f>IFERROR(__xludf.DUMMYFUNCTION("""COMPUTED_VALUE"""),"--")</f>
        <v>--</v>
      </c>
      <c r="AG96" s="258" t="str">
        <f>IFERROR(__xludf.DUMMYFUNCTION("""COMPUTED_VALUE"""),"--")</f>
        <v>--</v>
      </c>
      <c r="AH96" s="258" t="str">
        <f>IFERROR(__xludf.DUMMYFUNCTION("""COMPUTED_VALUE"""),"--")</f>
        <v>--</v>
      </c>
    </row>
    <row r="97">
      <c r="A97" s="328">
        <f>IFERROR(__xludf.DUMMYFUNCTION("""COMPUTED_VALUE"""),44169.0)</f>
        <v>44169</v>
      </c>
      <c r="B97" s="329">
        <f>IFERROR(__xludf.DUMMYFUNCTION("""COMPUTED_VALUE"""),1656.0)</f>
        <v>1656</v>
      </c>
      <c r="C97" s="329">
        <f>IFERROR(__xludf.DUMMYFUNCTION("""COMPUTED_VALUE"""),1668.0)</f>
        <v>1668</v>
      </c>
      <c r="D97" s="329">
        <f>IFERROR(__xludf.DUMMYFUNCTION("""COMPUTED_VALUE"""),78511.0)</f>
        <v>78511</v>
      </c>
      <c r="E97" s="329">
        <f>IFERROR(__xludf.DUMMYFUNCTION("""COMPUTED_VALUE"""),16510.0)</f>
        <v>16510</v>
      </c>
      <c r="F97" s="258">
        <f>IFERROR(__xludf.DUMMYFUNCTION("""COMPUTED_VALUE"""),1552238.0)</f>
        <v>1552238</v>
      </c>
      <c r="G97" s="258">
        <f>IFERROR(__xludf.DUMMYFUNCTION("""COMPUTED_VALUE"""),18166.0)</f>
        <v>18166</v>
      </c>
      <c r="H97" s="258">
        <f>IFERROR(__xludf.DUMMYFUNCTION("""COMPUTED_VALUE"""),1630749.0)</f>
        <v>1630749</v>
      </c>
      <c r="I97" s="329">
        <f>IFERROR(__xludf.DUMMYFUNCTION("""COMPUTED_VALUE"""),1528.0)</f>
        <v>1528</v>
      </c>
      <c r="J97" s="329">
        <f>IFERROR(__xludf.DUMMYFUNCTION("""COMPUTED_VALUE"""),1539.0)</f>
        <v>1539</v>
      </c>
      <c r="K97" s="329">
        <f>IFERROR(__xludf.DUMMYFUNCTION("""COMPUTED_VALUE"""),64233.0)</f>
        <v>64233</v>
      </c>
      <c r="L97" s="329">
        <f>IFERROR(__xludf.DUMMYFUNCTION("""COMPUTED_VALUE"""),3566.0)</f>
        <v>3566</v>
      </c>
      <c r="M97" s="329">
        <f>IFERROR(__xludf.DUMMYFUNCTION("""COMPUTED_VALUE"""),455249.0)</f>
        <v>455249</v>
      </c>
      <c r="N97" s="329">
        <f>IFERROR(__xludf.DUMMYFUNCTION("""COMPUTED_VALUE"""),519482.0)</f>
        <v>519482</v>
      </c>
      <c r="O97" s="329">
        <f>IFERROR(__xludf.DUMMYFUNCTION("""COMPUTED_VALUE"""),70.0)</f>
        <v>70</v>
      </c>
      <c r="P97" s="329">
        <f>IFERROR(__xludf.DUMMYFUNCTION("""COMPUTED_VALUE"""),4973.0)</f>
        <v>4973</v>
      </c>
      <c r="Q97" s="329">
        <f>IFERROR(__xludf.DUMMYFUNCTION("""COMPUTED_VALUE"""),48.0)</f>
        <v>48</v>
      </c>
      <c r="R97" s="329">
        <f>IFERROR(__xludf.DUMMYFUNCTION("""COMPUTED_VALUE"""),3995.0)</f>
        <v>3995</v>
      </c>
      <c r="S97" s="329">
        <f>IFERROR(__xludf.DUMMYFUNCTION("""COMPUTED_VALUE"""),7.0)</f>
        <v>7</v>
      </c>
      <c r="T97" s="329">
        <f>IFERROR(__xludf.DUMMYFUNCTION("""COMPUTED_VALUE"""),512.0)</f>
        <v>512</v>
      </c>
      <c r="U97" s="329">
        <f>IFERROR(__xludf.DUMMYFUNCTION("""COMPUTED_VALUE"""),466.0)</f>
        <v>466</v>
      </c>
      <c r="V97" s="329">
        <f>IFERROR(__xludf.DUMMYFUNCTION("""COMPUTED_VALUE"""),462.0)</f>
        <v>462</v>
      </c>
      <c r="W97" s="329">
        <f>IFERROR(__xludf.DUMMYFUNCTION("""COMPUTED_VALUE"""),46.0)</f>
        <v>46</v>
      </c>
      <c r="X97" s="329">
        <f>IFERROR(__xludf.DUMMYFUNCTION("""COMPUTED_VALUE"""),29.0)</f>
        <v>29</v>
      </c>
      <c r="Y97" s="329">
        <f>IFERROR(__xludf.DUMMYFUNCTION("""COMPUTED_VALUE"""),12.0)</f>
        <v>12</v>
      </c>
      <c r="Z97" s="329">
        <f>IFERROR(__xludf.DUMMYFUNCTION("""COMPUTED_VALUE"""),1467.0)</f>
        <v>1467</v>
      </c>
      <c r="AA97" s="258" t="str">
        <f>IFERROR(__xludf.DUMMYFUNCTION("""COMPUTED_VALUE"""),"--")</f>
        <v>--</v>
      </c>
      <c r="AB97" s="258" t="str">
        <f>IFERROR(__xludf.DUMMYFUNCTION("""COMPUTED_VALUE"""),"--")</f>
        <v>--</v>
      </c>
      <c r="AC97" s="258" t="str">
        <f>IFERROR(__xludf.DUMMYFUNCTION("""COMPUTED_VALUE"""),"--")</f>
        <v>--</v>
      </c>
      <c r="AD97" s="258" t="str">
        <f>IFERROR(__xludf.DUMMYFUNCTION("""COMPUTED_VALUE"""),"--")</f>
        <v>--</v>
      </c>
      <c r="AE97" s="258" t="str">
        <f>IFERROR(__xludf.DUMMYFUNCTION("""COMPUTED_VALUE"""),"--")</f>
        <v>--</v>
      </c>
      <c r="AF97" s="258" t="str">
        <f>IFERROR(__xludf.DUMMYFUNCTION("""COMPUTED_VALUE"""),"--")</f>
        <v>--</v>
      </c>
      <c r="AG97" s="258" t="str">
        <f>IFERROR(__xludf.DUMMYFUNCTION("""COMPUTED_VALUE"""),"--")</f>
        <v>--</v>
      </c>
      <c r="AH97" s="258" t="str">
        <f>IFERROR(__xludf.DUMMYFUNCTION("""COMPUTED_VALUE"""),"--")</f>
        <v>--</v>
      </c>
    </row>
    <row r="98">
      <c r="A98" s="328">
        <f>IFERROR(__xludf.DUMMYFUNCTION("""COMPUTED_VALUE"""),44170.0)</f>
        <v>44170</v>
      </c>
      <c r="B98" s="329">
        <f>IFERROR(__xludf.DUMMYFUNCTION("""COMPUTED_VALUE"""),1200.0)</f>
        <v>1200</v>
      </c>
      <c r="C98" s="329">
        <f>IFERROR(__xludf.DUMMYFUNCTION("""COMPUTED_VALUE"""),1544.0)</f>
        <v>1544</v>
      </c>
      <c r="D98" s="329">
        <f>IFERROR(__xludf.DUMMYFUNCTION("""COMPUTED_VALUE"""),79711.0)</f>
        <v>79711</v>
      </c>
      <c r="E98" s="329">
        <f>IFERROR(__xludf.DUMMYFUNCTION("""COMPUTED_VALUE"""),12613.0)</f>
        <v>12613</v>
      </c>
      <c r="F98" s="258">
        <f>IFERROR(__xludf.DUMMYFUNCTION("""COMPUTED_VALUE"""),1564851.0)</f>
        <v>1564851</v>
      </c>
      <c r="G98" s="258">
        <f>IFERROR(__xludf.DUMMYFUNCTION("""COMPUTED_VALUE"""),13813.0)</f>
        <v>13813</v>
      </c>
      <c r="H98" s="258">
        <f>IFERROR(__xludf.DUMMYFUNCTION("""COMPUTED_VALUE"""),1644562.0)</f>
        <v>1644562</v>
      </c>
      <c r="I98" s="329">
        <f>IFERROR(__xludf.DUMMYFUNCTION("""COMPUTED_VALUE"""),1077.0)</f>
        <v>1077</v>
      </c>
      <c r="J98" s="329">
        <f>IFERROR(__xludf.DUMMYFUNCTION("""COMPUTED_VALUE"""),1414.0)</f>
        <v>1414</v>
      </c>
      <c r="K98" s="329">
        <f>IFERROR(__xludf.DUMMYFUNCTION("""COMPUTED_VALUE"""),65310.0)</f>
        <v>65310</v>
      </c>
      <c r="L98" s="329">
        <f>IFERROR(__xludf.DUMMYFUNCTION("""COMPUTED_VALUE"""),2735.0)</f>
        <v>2735</v>
      </c>
      <c r="M98" s="329">
        <f>IFERROR(__xludf.DUMMYFUNCTION("""COMPUTED_VALUE"""),457984.0)</f>
        <v>457984</v>
      </c>
      <c r="N98" s="329">
        <f>IFERROR(__xludf.DUMMYFUNCTION("""COMPUTED_VALUE"""),523294.0)</f>
        <v>523294</v>
      </c>
      <c r="O98" s="329">
        <f>IFERROR(__xludf.DUMMYFUNCTION("""COMPUTED_VALUE"""),68.0)</f>
        <v>68</v>
      </c>
      <c r="P98" s="329">
        <f>IFERROR(__xludf.DUMMYFUNCTION("""COMPUTED_VALUE"""),5041.0)</f>
        <v>5041</v>
      </c>
      <c r="Q98" s="329">
        <f>IFERROR(__xludf.DUMMYFUNCTION("""COMPUTED_VALUE"""),39.0)</f>
        <v>39</v>
      </c>
      <c r="R98" s="329">
        <f>IFERROR(__xludf.DUMMYFUNCTION("""COMPUTED_VALUE"""),4034.0)</f>
        <v>4034</v>
      </c>
      <c r="S98" s="329">
        <f>IFERROR(__xludf.DUMMYFUNCTION("""COMPUTED_VALUE"""),4.0)</f>
        <v>4</v>
      </c>
      <c r="T98" s="329">
        <f>IFERROR(__xludf.DUMMYFUNCTION("""COMPUTED_VALUE"""),516.0)</f>
        <v>516</v>
      </c>
      <c r="U98" s="329">
        <f>IFERROR(__xludf.DUMMYFUNCTION("""COMPUTED_VALUE"""),491.0)</f>
        <v>491</v>
      </c>
      <c r="V98" s="329">
        <f>IFERROR(__xludf.DUMMYFUNCTION("""COMPUTED_VALUE"""),469.0)</f>
        <v>469</v>
      </c>
      <c r="W98" s="329">
        <f>IFERROR(__xludf.DUMMYFUNCTION("""COMPUTED_VALUE"""),48.0)</f>
        <v>48</v>
      </c>
      <c r="X98" s="329">
        <f>IFERROR(__xludf.DUMMYFUNCTION("""COMPUTED_VALUE"""),29.0)</f>
        <v>29</v>
      </c>
      <c r="Y98" s="329">
        <f>IFERROR(__xludf.DUMMYFUNCTION("""COMPUTED_VALUE"""),16.0)</f>
        <v>16</v>
      </c>
      <c r="Z98" s="329">
        <f>IFERROR(__xludf.DUMMYFUNCTION("""COMPUTED_VALUE"""),1483.0)</f>
        <v>1483</v>
      </c>
      <c r="AA98" s="258" t="str">
        <f>IFERROR(__xludf.DUMMYFUNCTION("""COMPUTED_VALUE"""),"--")</f>
        <v>--</v>
      </c>
      <c r="AB98" s="258" t="str">
        <f>IFERROR(__xludf.DUMMYFUNCTION("""COMPUTED_VALUE"""),"--")</f>
        <v>--</v>
      </c>
      <c r="AC98" s="258" t="str">
        <f>IFERROR(__xludf.DUMMYFUNCTION("""COMPUTED_VALUE"""),"--")</f>
        <v>--</v>
      </c>
      <c r="AD98" s="258" t="str">
        <f>IFERROR(__xludf.DUMMYFUNCTION("""COMPUTED_VALUE"""),"--")</f>
        <v>--</v>
      </c>
      <c r="AE98" s="258" t="str">
        <f>IFERROR(__xludf.DUMMYFUNCTION("""COMPUTED_VALUE"""),"--")</f>
        <v>--</v>
      </c>
      <c r="AF98" s="258" t="str">
        <f>IFERROR(__xludf.DUMMYFUNCTION("""COMPUTED_VALUE"""),"--")</f>
        <v>--</v>
      </c>
      <c r="AG98" s="258" t="str">
        <f>IFERROR(__xludf.DUMMYFUNCTION("""COMPUTED_VALUE"""),"--")</f>
        <v>--</v>
      </c>
      <c r="AH98" s="258" t="str">
        <f>IFERROR(__xludf.DUMMYFUNCTION("""COMPUTED_VALUE"""),"--")</f>
        <v>--</v>
      </c>
    </row>
    <row r="99">
      <c r="A99" s="328">
        <f>IFERROR(__xludf.DUMMYFUNCTION("""COMPUTED_VALUE"""),44171.0)</f>
        <v>44171</v>
      </c>
      <c r="B99" s="329">
        <f>IFERROR(__xludf.DUMMYFUNCTION("""COMPUTED_VALUE"""),1127.0)</f>
        <v>1127</v>
      </c>
      <c r="C99" s="329">
        <f>IFERROR(__xludf.DUMMYFUNCTION("""COMPUTED_VALUE"""),1328.0)</f>
        <v>1328</v>
      </c>
      <c r="D99" s="329">
        <f>IFERROR(__xludf.DUMMYFUNCTION("""COMPUTED_VALUE"""),80838.0)</f>
        <v>80838</v>
      </c>
      <c r="E99" s="329">
        <f>IFERROR(__xludf.DUMMYFUNCTION("""COMPUTED_VALUE"""),7849.0)</f>
        <v>7849</v>
      </c>
      <c r="F99" s="258">
        <f>IFERROR(__xludf.DUMMYFUNCTION("""COMPUTED_VALUE"""),1572700.0)</f>
        <v>1572700</v>
      </c>
      <c r="G99" s="258">
        <f>IFERROR(__xludf.DUMMYFUNCTION("""COMPUTED_VALUE"""),8976.0)</f>
        <v>8976</v>
      </c>
      <c r="H99" s="258">
        <f>IFERROR(__xludf.DUMMYFUNCTION("""COMPUTED_VALUE"""),1653538.0)</f>
        <v>1653538</v>
      </c>
      <c r="I99" s="329">
        <f>IFERROR(__xludf.DUMMYFUNCTION("""COMPUTED_VALUE"""),982.0)</f>
        <v>982</v>
      </c>
      <c r="J99" s="329">
        <f>IFERROR(__xludf.DUMMYFUNCTION("""COMPUTED_VALUE"""),1196.0)</f>
        <v>1196</v>
      </c>
      <c r="K99" s="329">
        <f>IFERROR(__xludf.DUMMYFUNCTION("""COMPUTED_VALUE"""),66292.0)</f>
        <v>66292</v>
      </c>
      <c r="L99" s="329">
        <f>IFERROR(__xludf.DUMMYFUNCTION("""COMPUTED_VALUE"""),2323.0)</f>
        <v>2323</v>
      </c>
      <c r="M99" s="329">
        <f>IFERROR(__xludf.DUMMYFUNCTION("""COMPUTED_VALUE"""),460307.0)</f>
        <v>460307</v>
      </c>
      <c r="N99" s="329">
        <f>IFERROR(__xludf.DUMMYFUNCTION("""COMPUTED_VALUE"""),526599.0)</f>
        <v>526599</v>
      </c>
      <c r="O99" s="329">
        <f>IFERROR(__xludf.DUMMYFUNCTION("""COMPUTED_VALUE"""),61.0)</f>
        <v>61</v>
      </c>
      <c r="P99" s="329">
        <f>IFERROR(__xludf.DUMMYFUNCTION("""COMPUTED_VALUE"""),5102.0)</f>
        <v>5102</v>
      </c>
      <c r="Q99" s="329">
        <f>IFERROR(__xludf.DUMMYFUNCTION("""COMPUTED_VALUE"""),45.0)</f>
        <v>45</v>
      </c>
      <c r="R99" s="329">
        <f>IFERROR(__xludf.DUMMYFUNCTION("""COMPUTED_VALUE"""),4079.0)</f>
        <v>4079</v>
      </c>
      <c r="S99" s="329">
        <f>IFERROR(__xludf.DUMMYFUNCTION("""COMPUTED_VALUE"""),10.0)</f>
        <v>10</v>
      </c>
      <c r="T99" s="329">
        <f>IFERROR(__xludf.DUMMYFUNCTION("""COMPUTED_VALUE"""),526.0)</f>
        <v>526</v>
      </c>
      <c r="U99" s="329">
        <f>IFERROR(__xludf.DUMMYFUNCTION("""COMPUTED_VALUE"""),497.0)</f>
        <v>497</v>
      </c>
      <c r="V99" s="329">
        <f>IFERROR(__xludf.DUMMYFUNCTION("""COMPUTED_VALUE"""),485.0)</f>
        <v>485</v>
      </c>
      <c r="W99" s="329">
        <f>IFERROR(__xludf.DUMMYFUNCTION("""COMPUTED_VALUE"""),49.0)</f>
        <v>49</v>
      </c>
      <c r="X99" s="329">
        <f>IFERROR(__xludf.DUMMYFUNCTION("""COMPUTED_VALUE"""),25.0)</f>
        <v>25</v>
      </c>
      <c r="Y99" s="329">
        <f>IFERROR(__xludf.DUMMYFUNCTION("""COMPUTED_VALUE"""),15.0)</f>
        <v>15</v>
      </c>
      <c r="Z99" s="329">
        <f>IFERROR(__xludf.DUMMYFUNCTION("""COMPUTED_VALUE"""),1498.0)</f>
        <v>1498</v>
      </c>
      <c r="AA99" s="258" t="str">
        <f>IFERROR(__xludf.DUMMYFUNCTION("""COMPUTED_VALUE"""),"--")</f>
        <v>--</v>
      </c>
      <c r="AB99" s="258" t="str">
        <f>IFERROR(__xludf.DUMMYFUNCTION("""COMPUTED_VALUE"""),"--")</f>
        <v>--</v>
      </c>
      <c r="AC99" s="258" t="str">
        <f>IFERROR(__xludf.DUMMYFUNCTION("""COMPUTED_VALUE"""),"--")</f>
        <v>--</v>
      </c>
      <c r="AD99" s="258" t="str">
        <f>IFERROR(__xludf.DUMMYFUNCTION("""COMPUTED_VALUE"""),"--")</f>
        <v>--</v>
      </c>
      <c r="AE99" s="258" t="str">
        <f>IFERROR(__xludf.DUMMYFUNCTION("""COMPUTED_VALUE"""),"--")</f>
        <v>--</v>
      </c>
      <c r="AF99" s="258" t="str">
        <f>IFERROR(__xludf.DUMMYFUNCTION("""COMPUTED_VALUE"""),"--")</f>
        <v>--</v>
      </c>
      <c r="AG99" s="258" t="str">
        <f>IFERROR(__xludf.DUMMYFUNCTION("""COMPUTED_VALUE"""),"--")</f>
        <v>--</v>
      </c>
      <c r="AH99" s="258" t="str">
        <f>IFERROR(__xludf.DUMMYFUNCTION("""COMPUTED_VALUE"""),"--")</f>
        <v>--</v>
      </c>
    </row>
    <row r="100">
      <c r="A100" s="328">
        <f>IFERROR(__xludf.DUMMYFUNCTION("""COMPUTED_VALUE"""),44172.0)</f>
        <v>44172</v>
      </c>
      <c r="B100" s="329">
        <f>IFERROR(__xludf.DUMMYFUNCTION("""COMPUTED_VALUE"""),1397.0)</f>
        <v>1397</v>
      </c>
      <c r="C100" s="329">
        <f>IFERROR(__xludf.DUMMYFUNCTION("""COMPUTED_VALUE"""),1241.0)</f>
        <v>1241</v>
      </c>
      <c r="D100" s="329">
        <f>IFERROR(__xludf.DUMMYFUNCTION("""COMPUTED_VALUE"""),82235.0)</f>
        <v>82235</v>
      </c>
      <c r="E100" s="329">
        <f>IFERROR(__xludf.DUMMYFUNCTION("""COMPUTED_VALUE"""),10704.0)</f>
        <v>10704</v>
      </c>
      <c r="F100" s="258">
        <f>IFERROR(__xludf.DUMMYFUNCTION("""COMPUTED_VALUE"""),1583404.0)</f>
        <v>1583404</v>
      </c>
      <c r="G100" s="258">
        <f>IFERROR(__xludf.DUMMYFUNCTION("""COMPUTED_VALUE"""),12101.0)</f>
        <v>12101</v>
      </c>
      <c r="H100" s="258">
        <f>IFERROR(__xludf.DUMMYFUNCTION("""COMPUTED_VALUE"""),1665639.0)</f>
        <v>1665639</v>
      </c>
      <c r="I100" s="329">
        <f>IFERROR(__xludf.DUMMYFUNCTION("""COMPUTED_VALUE"""),1259.0)</f>
        <v>1259</v>
      </c>
      <c r="J100" s="329">
        <f>IFERROR(__xludf.DUMMYFUNCTION("""COMPUTED_VALUE"""),1106.0)</f>
        <v>1106</v>
      </c>
      <c r="K100" s="329">
        <f>IFERROR(__xludf.DUMMYFUNCTION("""COMPUTED_VALUE"""),67551.0)</f>
        <v>67551</v>
      </c>
      <c r="L100" s="329">
        <f>IFERROR(__xludf.DUMMYFUNCTION("""COMPUTED_VALUE"""),3167.0)</f>
        <v>3167</v>
      </c>
      <c r="M100" s="329">
        <f>IFERROR(__xludf.DUMMYFUNCTION("""COMPUTED_VALUE"""),463474.0)</f>
        <v>463474</v>
      </c>
      <c r="N100" s="329">
        <f>IFERROR(__xludf.DUMMYFUNCTION("""COMPUTED_VALUE"""),531025.0)</f>
        <v>531025</v>
      </c>
      <c r="O100" s="329">
        <f>IFERROR(__xludf.DUMMYFUNCTION("""COMPUTED_VALUE"""),71.0)</f>
        <v>71</v>
      </c>
      <c r="P100" s="329">
        <f>IFERROR(__xludf.DUMMYFUNCTION("""COMPUTED_VALUE"""),5173.0)</f>
        <v>5173</v>
      </c>
      <c r="Q100" s="329">
        <f>IFERROR(__xludf.DUMMYFUNCTION("""COMPUTED_VALUE"""),54.0)</f>
        <v>54</v>
      </c>
      <c r="R100" s="329">
        <f>IFERROR(__xludf.DUMMYFUNCTION("""COMPUTED_VALUE"""),4133.0)</f>
        <v>4133</v>
      </c>
      <c r="S100" s="329">
        <f>IFERROR(__xludf.DUMMYFUNCTION("""COMPUTED_VALUE"""),6.0)</f>
        <v>6</v>
      </c>
      <c r="T100" s="329">
        <f>IFERROR(__xludf.DUMMYFUNCTION("""COMPUTED_VALUE"""),532.0)</f>
        <v>532</v>
      </c>
      <c r="U100" s="329">
        <f>IFERROR(__xludf.DUMMYFUNCTION("""COMPUTED_VALUE"""),508.0)</f>
        <v>508</v>
      </c>
      <c r="V100" s="329">
        <f>IFERROR(__xludf.DUMMYFUNCTION("""COMPUTED_VALUE"""),499.0)</f>
        <v>499</v>
      </c>
      <c r="W100" s="329">
        <f>IFERROR(__xludf.DUMMYFUNCTION("""COMPUTED_VALUE"""),47.0)</f>
        <v>47</v>
      </c>
      <c r="X100" s="329">
        <f>IFERROR(__xludf.DUMMYFUNCTION("""COMPUTED_VALUE"""),25.0)</f>
        <v>25</v>
      </c>
      <c r="Y100" s="329">
        <f>IFERROR(__xludf.DUMMYFUNCTION("""COMPUTED_VALUE"""),24.0)</f>
        <v>24</v>
      </c>
      <c r="Z100" s="329">
        <f>IFERROR(__xludf.DUMMYFUNCTION("""COMPUTED_VALUE"""),1522.0)</f>
        <v>1522</v>
      </c>
      <c r="AA100" s="258" t="str">
        <f>IFERROR(__xludf.DUMMYFUNCTION("""COMPUTED_VALUE"""),"--")</f>
        <v>--</v>
      </c>
      <c r="AB100" s="258" t="str">
        <f>IFERROR(__xludf.DUMMYFUNCTION("""COMPUTED_VALUE"""),"--")</f>
        <v>--</v>
      </c>
      <c r="AC100" s="258" t="str">
        <f>IFERROR(__xludf.DUMMYFUNCTION("""COMPUTED_VALUE"""),"--")</f>
        <v>--</v>
      </c>
      <c r="AD100" s="258" t="str">
        <f>IFERROR(__xludf.DUMMYFUNCTION("""COMPUTED_VALUE"""),"--")</f>
        <v>--</v>
      </c>
      <c r="AE100" s="258" t="str">
        <f>IFERROR(__xludf.DUMMYFUNCTION("""COMPUTED_VALUE"""),"--")</f>
        <v>--</v>
      </c>
      <c r="AF100" s="258" t="str">
        <f>IFERROR(__xludf.DUMMYFUNCTION("""COMPUTED_VALUE"""),"--")</f>
        <v>--</v>
      </c>
      <c r="AG100" s="258" t="str">
        <f>IFERROR(__xludf.DUMMYFUNCTION("""COMPUTED_VALUE"""),"--")</f>
        <v>--</v>
      </c>
      <c r="AH100" s="258" t="str">
        <f>IFERROR(__xludf.DUMMYFUNCTION("""COMPUTED_VALUE"""),"--")</f>
        <v>--</v>
      </c>
    </row>
    <row r="101">
      <c r="A101" s="328">
        <f>IFERROR(__xludf.DUMMYFUNCTION("""COMPUTED_VALUE"""),44173.0)</f>
        <v>44173</v>
      </c>
      <c r="B101" s="329">
        <f>IFERROR(__xludf.DUMMYFUNCTION("""COMPUTED_VALUE"""),1466.0)</f>
        <v>1466</v>
      </c>
      <c r="C101" s="329">
        <f>IFERROR(__xludf.DUMMYFUNCTION("""COMPUTED_VALUE"""),1330.0)</f>
        <v>1330</v>
      </c>
      <c r="D101" s="329">
        <f>IFERROR(__xludf.DUMMYFUNCTION("""COMPUTED_VALUE"""),83701.0)</f>
        <v>83701</v>
      </c>
      <c r="E101" s="329">
        <f>IFERROR(__xludf.DUMMYFUNCTION("""COMPUTED_VALUE"""),15324.0)</f>
        <v>15324</v>
      </c>
      <c r="F101" s="258">
        <f>IFERROR(__xludf.DUMMYFUNCTION("""COMPUTED_VALUE"""),1598728.0)</f>
        <v>1598728</v>
      </c>
      <c r="G101" s="258">
        <f>IFERROR(__xludf.DUMMYFUNCTION("""COMPUTED_VALUE"""),16790.0)</f>
        <v>16790</v>
      </c>
      <c r="H101" s="258">
        <f>IFERROR(__xludf.DUMMYFUNCTION("""COMPUTED_VALUE"""),1682429.0)</f>
        <v>1682429</v>
      </c>
      <c r="I101" s="329">
        <f>IFERROR(__xludf.DUMMYFUNCTION("""COMPUTED_VALUE"""),1321.0)</f>
        <v>1321</v>
      </c>
      <c r="J101" s="329">
        <f>IFERROR(__xludf.DUMMYFUNCTION("""COMPUTED_VALUE"""),1187.0)</f>
        <v>1187</v>
      </c>
      <c r="K101" s="329">
        <f>IFERROR(__xludf.DUMMYFUNCTION("""COMPUTED_VALUE"""),68872.0)</f>
        <v>68872</v>
      </c>
      <c r="L101" s="329">
        <f>IFERROR(__xludf.DUMMYFUNCTION("""COMPUTED_VALUE"""),3385.0)</f>
        <v>3385</v>
      </c>
      <c r="M101" s="329">
        <f>IFERROR(__xludf.DUMMYFUNCTION("""COMPUTED_VALUE"""),466859.0)</f>
        <v>466859</v>
      </c>
      <c r="N101" s="329">
        <f>IFERROR(__xludf.DUMMYFUNCTION("""COMPUTED_VALUE"""),535731.0)</f>
        <v>535731</v>
      </c>
      <c r="O101" s="329">
        <f>IFERROR(__xludf.DUMMYFUNCTION("""COMPUTED_VALUE"""),61.0)</f>
        <v>61</v>
      </c>
      <c r="P101" s="329">
        <f>IFERROR(__xludf.DUMMYFUNCTION("""COMPUTED_VALUE"""),5234.0)</f>
        <v>5234</v>
      </c>
      <c r="Q101" s="329">
        <f>IFERROR(__xludf.DUMMYFUNCTION("""COMPUTED_VALUE"""),59.0)</f>
        <v>59</v>
      </c>
      <c r="R101" s="329">
        <f>IFERROR(__xludf.DUMMYFUNCTION("""COMPUTED_VALUE"""),4192.0)</f>
        <v>4192</v>
      </c>
      <c r="S101" s="329">
        <f>IFERROR(__xludf.DUMMYFUNCTION("""COMPUTED_VALUE"""),5.0)</f>
        <v>5</v>
      </c>
      <c r="T101" s="329">
        <f>IFERROR(__xludf.DUMMYFUNCTION("""COMPUTED_VALUE"""),537.0)</f>
        <v>537</v>
      </c>
      <c r="U101" s="329">
        <f>IFERROR(__xludf.DUMMYFUNCTION("""COMPUTED_VALUE"""),505.0)</f>
        <v>505</v>
      </c>
      <c r="V101" s="329">
        <f>IFERROR(__xludf.DUMMYFUNCTION("""COMPUTED_VALUE"""),503.0)</f>
        <v>503</v>
      </c>
      <c r="W101" s="329">
        <f>IFERROR(__xludf.DUMMYFUNCTION("""COMPUTED_VALUE"""),52.0)</f>
        <v>52</v>
      </c>
      <c r="X101" s="329">
        <f>IFERROR(__xludf.DUMMYFUNCTION("""COMPUTED_VALUE"""),29.0)</f>
        <v>29</v>
      </c>
      <c r="Y101" s="329">
        <f>IFERROR(__xludf.DUMMYFUNCTION("""COMPUTED_VALUE"""),21.0)</f>
        <v>21</v>
      </c>
      <c r="Z101" s="329">
        <f>IFERROR(__xludf.DUMMYFUNCTION("""COMPUTED_VALUE"""),1543.0)</f>
        <v>1543</v>
      </c>
      <c r="AA101" s="258" t="str">
        <f>IFERROR(__xludf.DUMMYFUNCTION("""COMPUTED_VALUE"""),"--")</f>
        <v>--</v>
      </c>
      <c r="AB101" s="258" t="str">
        <f>IFERROR(__xludf.DUMMYFUNCTION("""COMPUTED_VALUE"""),"--")</f>
        <v>--</v>
      </c>
      <c r="AC101" s="258" t="str">
        <f>IFERROR(__xludf.DUMMYFUNCTION("""COMPUTED_VALUE"""),"--")</f>
        <v>--</v>
      </c>
      <c r="AD101" s="258" t="str">
        <f>IFERROR(__xludf.DUMMYFUNCTION("""COMPUTED_VALUE"""),"--")</f>
        <v>--</v>
      </c>
      <c r="AE101" s="258" t="str">
        <f>IFERROR(__xludf.DUMMYFUNCTION("""COMPUTED_VALUE"""),"--")</f>
        <v>--</v>
      </c>
      <c r="AF101" s="258" t="str">
        <f>IFERROR(__xludf.DUMMYFUNCTION("""COMPUTED_VALUE"""),"--")</f>
        <v>--</v>
      </c>
      <c r="AG101" s="258" t="str">
        <f>IFERROR(__xludf.DUMMYFUNCTION("""COMPUTED_VALUE"""),"--")</f>
        <v>--</v>
      </c>
      <c r="AH101" s="258" t="str">
        <f>IFERROR(__xludf.DUMMYFUNCTION("""COMPUTED_VALUE"""),"--")</f>
        <v>--</v>
      </c>
    </row>
    <row r="102">
      <c r="A102" s="328">
        <f>IFERROR(__xludf.DUMMYFUNCTION("""COMPUTED_VALUE"""),44174.0)</f>
        <v>44174</v>
      </c>
      <c r="B102" s="329">
        <f>IFERROR(__xludf.DUMMYFUNCTION("""COMPUTED_VALUE"""),1500.0)</f>
        <v>1500</v>
      </c>
      <c r="C102" s="329">
        <f>IFERROR(__xludf.DUMMYFUNCTION("""COMPUTED_VALUE"""),1454.0)</f>
        <v>1454</v>
      </c>
      <c r="D102" s="329">
        <f>IFERROR(__xludf.DUMMYFUNCTION("""COMPUTED_VALUE"""),85201.0)</f>
        <v>85201</v>
      </c>
      <c r="E102" s="329">
        <f>IFERROR(__xludf.DUMMYFUNCTION("""COMPUTED_VALUE"""),16357.0)</f>
        <v>16357</v>
      </c>
      <c r="F102" s="258">
        <f>IFERROR(__xludf.DUMMYFUNCTION("""COMPUTED_VALUE"""),1615085.0)</f>
        <v>1615085</v>
      </c>
      <c r="G102" s="258">
        <f>IFERROR(__xludf.DUMMYFUNCTION("""COMPUTED_VALUE"""),17857.0)</f>
        <v>17857</v>
      </c>
      <c r="H102" s="258">
        <f>IFERROR(__xludf.DUMMYFUNCTION("""COMPUTED_VALUE"""),1700286.0)</f>
        <v>1700286</v>
      </c>
      <c r="I102" s="329">
        <f>IFERROR(__xludf.DUMMYFUNCTION("""COMPUTED_VALUE"""),1347.0)</f>
        <v>1347</v>
      </c>
      <c r="J102" s="329">
        <f>IFERROR(__xludf.DUMMYFUNCTION("""COMPUTED_VALUE"""),1309.0)</f>
        <v>1309</v>
      </c>
      <c r="K102" s="329">
        <f>IFERROR(__xludf.DUMMYFUNCTION("""COMPUTED_VALUE"""),70219.0)</f>
        <v>70219</v>
      </c>
      <c r="L102" s="329">
        <f>IFERROR(__xludf.DUMMYFUNCTION("""COMPUTED_VALUE"""),3046.0)</f>
        <v>3046</v>
      </c>
      <c r="M102" s="329">
        <f>IFERROR(__xludf.DUMMYFUNCTION("""COMPUTED_VALUE"""),469905.0)</f>
        <v>469905</v>
      </c>
      <c r="N102" s="329">
        <f>IFERROR(__xludf.DUMMYFUNCTION("""COMPUTED_VALUE"""),540124.0)</f>
        <v>540124</v>
      </c>
      <c r="O102" s="329">
        <f>IFERROR(__xludf.DUMMYFUNCTION("""COMPUTED_VALUE"""),58.0)</f>
        <v>58</v>
      </c>
      <c r="P102" s="329">
        <f>IFERROR(__xludf.DUMMYFUNCTION("""COMPUTED_VALUE"""),5292.0)</f>
        <v>5292</v>
      </c>
      <c r="Q102" s="329">
        <f>IFERROR(__xludf.DUMMYFUNCTION("""COMPUTED_VALUE"""),62.0)</f>
        <v>62</v>
      </c>
      <c r="R102" s="329">
        <f>IFERROR(__xludf.DUMMYFUNCTION("""COMPUTED_VALUE"""),4254.0)</f>
        <v>4254</v>
      </c>
      <c r="S102" s="329">
        <f>IFERROR(__xludf.DUMMYFUNCTION("""COMPUTED_VALUE"""),9.0)</f>
        <v>9</v>
      </c>
      <c r="T102" s="329">
        <f>IFERROR(__xludf.DUMMYFUNCTION("""COMPUTED_VALUE"""),546.0)</f>
        <v>546</v>
      </c>
      <c r="U102" s="329">
        <f>IFERROR(__xludf.DUMMYFUNCTION("""COMPUTED_VALUE"""),492.0)</f>
        <v>492</v>
      </c>
      <c r="V102" s="329">
        <f>IFERROR(__xludf.DUMMYFUNCTION("""COMPUTED_VALUE"""),502.0)</f>
        <v>502</v>
      </c>
      <c r="W102" s="329">
        <f>IFERROR(__xludf.DUMMYFUNCTION("""COMPUTED_VALUE"""),49.0)</f>
        <v>49</v>
      </c>
      <c r="X102" s="329">
        <f>IFERROR(__xludf.DUMMYFUNCTION("""COMPUTED_VALUE"""),31.0)</f>
        <v>31</v>
      </c>
      <c r="Y102" s="329">
        <f>IFERROR(__xludf.DUMMYFUNCTION("""COMPUTED_VALUE"""),15.0)</f>
        <v>15</v>
      </c>
      <c r="Z102" s="329">
        <f>IFERROR(__xludf.DUMMYFUNCTION("""COMPUTED_VALUE"""),1558.0)</f>
        <v>1558</v>
      </c>
      <c r="AA102" s="258" t="str">
        <f>IFERROR(__xludf.DUMMYFUNCTION("""COMPUTED_VALUE"""),"--")</f>
        <v>--</v>
      </c>
      <c r="AB102" s="258" t="str">
        <f>IFERROR(__xludf.DUMMYFUNCTION("""COMPUTED_VALUE"""),"--")</f>
        <v>--</v>
      </c>
      <c r="AC102" s="258" t="str">
        <f>IFERROR(__xludf.DUMMYFUNCTION("""COMPUTED_VALUE"""),"--")</f>
        <v>--</v>
      </c>
      <c r="AD102" s="258" t="str">
        <f>IFERROR(__xludf.DUMMYFUNCTION("""COMPUTED_VALUE"""),"--")</f>
        <v>--</v>
      </c>
      <c r="AE102" s="258" t="str">
        <f>IFERROR(__xludf.DUMMYFUNCTION("""COMPUTED_VALUE"""),"--")</f>
        <v>--</v>
      </c>
      <c r="AF102" s="258" t="str">
        <f>IFERROR(__xludf.DUMMYFUNCTION("""COMPUTED_VALUE"""),"--")</f>
        <v>--</v>
      </c>
      <c r="AG102" s="258" t="str">
        <f>IFERROR(__xludf.DUMMYFUNCTION("""COMPUTED_VALUE"""),"--")</f>
        <v>--</v>
      </c>
      <c r="AH102" s="258" t="str">
        <f>IFERROR(__xludf.DUMMYFUNCTION("""COMPUTED_VALUE"""),"--")</f>
        <v>--</v>
      </c>
    </row>
    <row r="103">
      <c r="A103" s="328">
        <f>IFERROR(__xludf.DUMMYFUNCTION("""COMPUTED_VALUE"""),44175.0)</f>
        <v>44175</v>
      </c>
      <c r="B103" s="329">
        <f>IFERROR(__xludf.DUMMYFUNCTION("""COMPUTED_VALUE"""),1475.0)</f>
        <v>1475</v>
      </c>
      <c r="C103" s="329">
        <f>IFERROR(__xludf.DUMMYFUNCTION("""COMPUTED_VALUE"""),1480.0)</f>
        <v>1480</v>
      </c>
      <c r="D103" s="329">
        <f>IFERROR(__xludf.DUMMYFUNCTION("""COMPUTED_VALUE"""),86676.0)</f>
        <v>86676</v>
      </c>
      <c r="E103" s="329">
        <f>IFERROR(__xludf.DUMMYFUNCTION("""COMPUTED_VALUE"""),17282.0)</f>
        <v>17282</v>
      </c>
      <c r="F103" s="258">
        <f>IFERROR(__xludf.DUMMYFUNCTION("""COMPUTED_VALUE"""),1632367.0)</f>
        <v>1632367</v>
      </c>
      <c r="G103" s="258">
        <f>IFERROR(__xludf.DUMMYFUNCTION("""COMPUTED_VALUE"""),18757.0)</f>
        <v>18757</v>
      </c>
      <c r="H103" s="258">
        <f>IFERROR(__xludf.DUMMYFUNCTION("""COMPUTED_VALUE"""),1719043.0)</f>
        <v>1719043</v>
      </c>
      <c r="I103" s="329">
        <f>IFERROR(__xludf.DUMMYFUNCTION("""COMPUTED_VALUE"""),1264.0)</f>
        <v>1264</v>
      </c>
      <c r="J103" s="329">
        <f>IFERROR(__xludf.DUMMYFUNCTION("""COMPUTED_VALUE"""),1311.0)</f>
        <v>1311</v>
      </c>
      <c r="K103" s="329">
        <f>IFERROR(__xludf.DUMMYFUNCTION("""COMPUTED_VALUE"""),71483.0)</f>
        <v>71483</v>
      </c>
      <c r="L103" s="329">
        <f>IFERROR(__xludf.DUMMYFUNCTION("""COMPUTED_VALUE"""),3872.0)</f>
        <v>3872</v>
      </c>
      <c r="M103" s="329">
        <f>IFERROR(__xludf.DUMMYFUNCTION("""COMPUTED_VALUE"""),473777.0)</f>
        <v>473777</v>
      </c>
      <c r="N103" s="329">
        <f>IFERROR(__xludf.DUMMYFUNCTION("""COMPUTED_VALUE"""),545260.0)</f>
        <v>545260</v>
      </c>
      <c r="O103" s="329">
        <f>IFERROR(__xludf.DUMMYFUNCTION("""COMPUTED_VALUE"""),63.0)</f>
        <v>63</v>
      </c>
      <c r="P103" s="329">
        <f>IFERROR(__xludf.DUMMYFUNCTION("""COMPUTED_VALUE"""),5355.0)</f>
        <v>5355</v>
      </c>
      <c r="Q103" s="329">
        <f>IFERROR(__xludf.DUMMYFUNCTION("""COMPUTED_VALUE"""),57.0)</f>
        <v>57</v>
      </c>
      <c r="R103" s="329">
        <f>IFERROR(__xludf.DUMMYFUNCTION("""COMPUTED_VALUE"""),4311.0)</f>
        <v>4311</v>
      </c>
      <c r="S103" s="329">
        <f>IFERROR(__xludf.DUMMYFUNCTION("""COMPUTED_VALUE"""),7.0)</f>
        <v>7</v>
      </c>
      <c r="T103" s="329">
        <f>IFERROR(__xludf.DUMMYFUNCTION("""COMPUTED_VALUE"""),553.0)</f>
        <v>553</v>
      </c>
      <c r="U103" s="329">
        <f>IFERROR(__xludf.DUMMYFUNCTION("""COMPUTED_VALUE"""),491.0)</f>
        <v>491</v>
      </c>
      <c r="V103" s="329">
        <f>IFERROR(__xludf.DUMMYFUNCTION("""COMPUTED_VALUE"""),496.0)</f>
        <v>496</v>
      </c>
      <c r="W103" s="329">
        <f>IFERROR(__xludf.DUMMYFUNCTION("""COMPUTED_VALUE"""),56.0)</f>
        <v>56</v>
      </c>
      <c r="X103" s="329">
        <f>IFERROR(__xludf.DUMMYFUNCTION("""COMPUTED_VALUE"""),30.0)</f>
        <v>30</v>
      </c>
      <c r="Y103" s="329">
        <f>IFERROR(__xludf.DUMMYFUNCTION("""COMPUTED_VALUE"""),26.0)</f>
        <v>26</v>
      </c>
      <c r="Z103" s="329">
        <f>IFERROR(__xludf.DUMMYFUNCTION("""COMPUTED_VALUE"""),1584.0)</f>
        <v>1584</v>
      </c>
      <c r="AA103" s="258" t="str">
        <f>IFERROR(__xludf.DUMMYFUNCTION("""COMPUTED_VALUE"""),"--")</f>
        <v>--</v>
      </c>
      <c r="AB103" s="258" t="str">
        <f>IFERROR(__xludf.DUMMYFUNCTION("""COMPUTED_VALUE"""),"--")</f>
        <v>--</v>
      </c>
      <c r="AC103" s="258" t="str">
        <f>IFERROR(__xludf.DUMMYFUNCTION("""COMPUTED_VALUE"""),"--")</f>
        <v>--</v>
      </c>
      <c r="AD103" s="258" t="str">
        <f>IFERROR(__xludf.DUMMYFUNCTION("""COMPUTED_VALUE"""),"--")</f>
        <v>--</v>
      </c>
      <c r="AE103" s="258" t="str">
        <f>IFERROR(__xludf.DUMMYFUNCTION("""COMPUTED_VALUE"""),"--")</f>
        <v>--</v>
      </c>
      <c r="AF103" s="258" t="str">
        <f>IFERROR(__xludf.DUMMYFUNCTION("""COMPUTED_VALUE"""),"--")</f>
        <v>--</v>
      </c>
      <c r="AG103" s="258" t="str">
        <f>IFERROR(__xludf.DUMMYFUNCTION("""COMPUTED_VALUE"""),"--")</f>
        <v>--</v>
      </c>
      <c r="AH103" s="258" t="str">
        <f>IFERROR(__xludf.DUMMYFUNCTION("""COMPUTED_VALUE"""),"--")</f>
        <v>--</v>
      </c>
    </row>
    <row r="104">
      <c r="A104" s="328">
        <f>IFERROR(__xludf.DUMMYFUNCTION("""COMPUTED_VALUE"""),44176.0)</f>
        <v>44176</v>
      </c>
      <c r="B104" s="329">
        <f>IFERROR(__xludf.DUMMYFUNCTION("""COMPUTED_VALUE"""),1490.0)</f>
        <v>1490</v>
      </c>
      <c r="C104" s="329">
        <f>IFERROR(__xludf.DUMMYFUNCTION("""COMPUTED_VALUE"""),1488.0)</f>
        <v>1488</v>
      </c>
      <c r="D104" s="329">
        <f>IFERROR(__xludf.DUMMYFUNCTION("""COMPUTED_VALUE"""),88166.0)</f>
        <v>88166</v>
      </c>
      <c r="E104" s="329">
        <f>IFERROR(__xludf.DUMMYFUNCTION("""COMPUTED_VALUE"""),17392.0)</f>
        <v>17392</v>
      </c>
      <c r="F104" s="258">
        <f>IFERROR(__xludf.DUMMYFUNCTION("""COMPUTED_VALUE"""),1649759.0)</f>
        <v>1649759</v>
      </c>
      <c r="G104" s="258">
        <f>IFERROR(__xludf.DUMMYFUNCTION("""COMPUTED_VALUE"""),18882.0)</f>
        <v>18882</v>
      </c>
      <c r="H104" s="258">
        <f>IFERROR(__xludf.DUMMYFUNCTION("""COMPUTED_VALUE"""),1737925.0)</f>
        <v>1737925</v>
      </c>
      <c r="I104" s="329">
        <f>IFERROR(__xludf.DUMMYFUNCTION("""COMPUTED_VALUE"""),1306.0)</f>
        <v>1306</v>
      </c>
      <c r="J104" s="329">
        <f>IFERROR(__xludf.DUMMYFUNCTION("""COMPUTED_VALUE"""),1306.0)</f>
        <v>1306</v>
      </c>
      <c r="K104" s="329">
        <f>IFERROR(__xludf.DUMMYFUNCTION("""COMPUTED_VALUE"""),72789.0)</f>
        <v>72789</v>
      </c>
      <c r="L104" s="329">
        <f>IFERROR(__xludf.DUMMYFUNCTION("""COMPUTED_VALUE"""),3429.0)</f>
        <v>3429</v>
      </c>
      <c r="M104" s="329">
        <f>IFERROR(__xludf.DUMMYFUNCTION("""COMPUTED_VALUE"""),477206.0)</f>
        <v>477206</v>
      </c>
      <c r="N104" s="329">
        <f>IFERROR(__xludf.DUMMYFUNCTION("""COMPUTED_VALUE"""),549995.0)</f>
        <v>549995</v>
      </c>
      <c r="O104" s="329">
        <f>IFERROR(__xludf.DUMMYFUNCTION("""COMPUTED_VALUE"""),69.0)</f>
        <v>69</v>
      </c>
      <c r="P104" s="329">
        <f>IFERROR(__xludf.DUMMYFUNCTION("""COMPUTED_VALUE"""),5424.0)</f>
        <v>5424</v>
      </c>
      <c r="Q104" s="329">
        <f>IFERROR(__xludf.DUMMYFUNCTION("""COMPUTED_VALUE"""),81.0)</f>
        <v>81</v>
      </c>
      <c r="R104" s="329">
        <f>IFERROR(__xludf.DUMMYFUNCTION("""COMPUTED_VALUE"""),4392.0)</f>
        <v>4392</v>
      </c>
      <c r="S104" s="329">
        <f>IFERROR(__xludf.DUMMYFUNCTION("""COMPUTED_VALUE"""),7.0)</f>
        <v>7</v>
      </c>
      <c r="T104" s="329">
        <f>IFERROR(__xludf.DUMMYFUNCTION("""COMPUTED_VALUE"""),560.0)</f>
        <v>560</v>
      </c>
      <c r="U104" s="329">
        <f>IFERROR(__xludf.DUMMYFUNCTION("""COMPUTED_VALUE"""),472.0)</f>
        <v>472</v>
      </c>
      <c r="V104" s="329">
        <f>IFERROR(__xludf.DUMMYFUNCTION("""COMPUTED_VALUE"""),485.0)</f>
        <v>485</v>
      </c>
      <c r="W104" s="329">
        <f>IFERROR(__xludf.DUMMYFUNCTION("""COMPUTED_VALUE"""),62.0)</f>
        <v>62</v>
      </c>
      <c r="X104" s="329">
        <f>IFERROR(__xludf.DUMMYFUNCTION("""COMPUTED_VALUE"""),33.0)</f>
        <v>33</v>
      </c>
      <c r="Y104" s="329">
        <f>IFERROR(__xludf.DUMMYFUNCTION("""COMPUTED_VALUE"""),20.0)</f>
        <v>20</v>
      </c>
      <c r="Z104" s="329">
        <f>IFERROR(__xludf.DUMMYFUNCTION("""COMPUTED_VALUE"""),1604.0)</f>
        <v>1604</v>
      </c>
      <c r="AA104" s="258" t="str">
        <f>IFERROR(__xludf.DUMMYFUNCTION("""COMPUTED_VALUE"""),"--")</f>
        <v>--</v>
      </c>
      <c r="AB104" s="258" t="str">
        <f>IFERROR(__xludf.DUMMYFUNCTION("""COMPUTED_VALUE"""),"--")</f>
        <v>--</v>
      </c>
      <c r="AC104" s="258" t="str">
        <f>IFERROR(__xludf.DUMMYFUNCTION("""COMPUTED_VALUE"""),"--")</f>
        <v>--</v>
      </c>
      <c r="AD104" s="258" t="str">
        <f>IFERROR(__xludf.DUMMYFUNCTION("""COMPUTED_VALUE"""),"--")</f>
        <v>--</v>
      </c>
      <c r="AE104" s="258" t="str">
        <f>IFERROR(__xludf.DUMMYFUNCTION("""COMPUTED_VALUE"""),"--")</f>
        <v>--</v>
      </c>
      <c r="AF104" s="258" t="str">
        <f>IFERROR(__xludf.DUMMYFUNCTION("""COMPUTED_VALUE"""),"--")</f>
        <v>--</v>
      </c>
      <c r="AG104" s="258" t="str">
        <f>IFERROR(__xludf.DUMMYFUNCTION("""COMPUTED_VALUE"""),"--")</f>
        <v>--</v>
      </c>
      <c r="AH104" s="258" t="str">
        <f>IFERROR(__xludf.DUMMYFUNCTION("""COMPUTED_VALUE"""),"--")</f>
        <v>--</v>
      </c>
    </row>
    <row r="105">
      <c r="A105" s="328">
        <f>IFERROR(__xludf.DUMMYFUNCTION("""COMPUTED_VALUE"""),44177.0)</f>
        <v>44177</v>
      </c>
      <c r="B105" s="329">
        <f>IFERROR(__xludf.DUMMYFUNCTION("""COMPUTED_VALUE"""),1123.0)</f>
        <v>1123</v>
      </c>
      <c r="C105" s="329">
        <f>IFERROR(__xludf.DUMMYFUNCTION("""COMPUTED_VALUE"""),1363.0)</f>
        <v>1363</v>
      </c>
      <c r="D105" s="329">
        <f>IFERROR(__xludf.DUMMYFUNCTION("""COMPUTED_VALUE"""),89289.0)</f>
        <v>89289</v>
      </c>
      <c r="E105" s="329">
        <f>IFERROR(__xludf.DUMMYFUNCTION("""COMPUTED_VALUE"""),13074.0)</f>
        <v>13074</v>
      </c>
      <c r="F105" s="258">
        <f>IFERROR(__xludf.DUMMYFUNCTION("""COMPUTED_VALUE"""),1662833.0)</f>
        <v>1662833</v>
      </c>
      <c r="G105" s="258">
        <f>IFERROR(__xludf.DUMMYFUNCTION("""COMPUTED_VALUE"""),14197.0)</f>
        <v>14197</v>
      </c>
      <c r="H105" s="258">
        <f>IFERROR(__xludf.DUMMYFUNCTION("""COMPUTED_VALUE"""),1752122.0)</f>
        <v>1752122</v>
      </c>
      <c r="I105" s="329">
        <f>IFERROR(__xludf.DUMMYFUNCTION("""COMPUTED_VALUE"""),934.0)</f>
        <v>934</v>
      </c>
      <c r="J105" s="329">
        <f>IFERROR(__xludf.DUMMYFUNCTION("""COMPUTED_VALUE"""),1168.0)</f>
        <v>1168</v>
      </c>
      <c r="K105" s="329">
        <f>IFERROR(__xludf.DUMMYFUNCTION("""COMPUTED_VALUE"""),73723.0)</f>
        <v>73723</v>
      </c>
      <c r="L105" s="329">
        <f>IFERROR(__xludf.DUMMYFUNCTION("""COMPUTED_VALUE"""),2929.0)</f>
        <v>2929</v>
      </c>
      <c r="M105" s="329">
        <f>IFERROR(__xludf.DUMMYFUNCTION("""COMPUTED_VALUE"""),480135.0)</f>
        <v>480135</v>
      </c>
      <c r="N105" s="329">
        <f>IFERROR(__xludf.DUMMYFUNCTION("""COMPUTED_VALUE"""),553858.0)</f>
        <v>553858</v>
      </c>
      <c r="O105" s="329">
        <f>IFERROR(__xludf.DUMMYFUNCTION("""COMPUTED_VALUE"""),65.0)</f>
        <v>65</v>
      </c>
      <c r="P105" s="329">
        <f>IFERROR(__xludf.DUMMYFUNCTION("""COMPUTED_VALUE"""),5489.0)</f>
        <v>5489</v>
      </c>
      <c r="Q105" s="329">
        <f>IFERROR(__xludf.DUMMYFUNCTION("""COMPUTED_VALUE"""),54.0)</f>
        <v>54</v>
      </c>
      <c r="R105" s="329">
        <f>IFERROR(__xludf.DUMMYFUNCTION("""COMPUTED_VALUE"""),4446.0)</f>
        <v>4446</v>
      </c>
      <c r="S105" s="329">
        <f>IFERROR(__xludf.DUMMYFUNCTION("""COMPUTED_VALUE"""),9.0)</f>
        <v>9</v>
      </c>
      <c r="T105" s="329">
        <f>IFERROR(__xludf.DUMMYFUNCTION("""COMPUTED_VALUE"""),569.0)</f>
        <v>569</v>
      </c>
      <c r="U105" s="329">
        <f>IFERROR(__xludf.DUMMYFUNCTION("""COMPUTED_VALUE"""),474.0)</f>
        <v>474</v>
      </c>
      <c r="V105" s="329">
        <f>IFERROR(__xludf.DUMMYFUNCTION("""COMPUTED_VALUE"""),479.0)</f>
        <v>479</v>
      </c>
      <c r="W105" s="329">
        <f>IFERROR(__xludf.DUMMYFUNCTION("""COMPUTED_VALUE"""),55.0)</f>
        <v>55</v>
      </c>
      <c r="X105" s="329">
        <f>IFERROR(__xludf.DUMMYFUNCTION("""COMPUTED_VALUE"""),32.0)</f>
        <v>32</v>
      </c>
      <c r="Y105" s="329">
        <f>IFERROR(__xludf.DUMMYFUNCTION("""COMPUTED_VALUE"""),19.0)</f>
        <v>19</v>
      </c>
      <c r="Z105" s="329">
        <f>IFERROR(__xludf.DUMMYFUNCTION("""COMPUTED_VALUE"""),1623.0)</f>
        <v>1623</v>
      </c>
      <c r="AA105" s="258" t="str">
        <f>IFERROR(__xludf.DUMMYFUNCTION("""COMPUTED_VALUE"""),"--")</f>
        <v>--</v>
      </c>
      <c r="AB105" s="258" t="str">
        <f>IFERROR(__xludf.DUMMYFUNCTION("""COMPUTED_VALUE"""),"--")</f>
        <v>--</v>
      </c>
      <c r="AC105" s="258" t="str">
        <f>IFERROR(__xludf.DUMMYFUNCTION("""COMPUTED_VALUE"""),"--")</f>
        <v>--</v>
      </c>
      <c r="AD105" s="258" t="str">
        <f>IFERROR(__xludf.DUMMYFUNCTION("""COMPUTED_VALUE"""),"--")</f>
        <v>--</v>
      </c>
      <c r="AE105" s="258" t="str">
        <f>IFERROR(__xludf.DUMMYFUNCTION("""COMPUTED_VALUE"""),"--")</f>
        <v>--</v>
      </c>
      <c r="AF105" s="258" t="str">
        <f>IFERROR(__xludf.DUMMYFUNCTION("""COMPUTED_VALUE"""),"--")</f>
        <v>--</v>
      </c>
      <c r="AG105" s="258" t="str">
        <f>IFERROR(__xludf.DUMMYFUNCTION("""COMPUTED_VALUE"""),"--")</f>
        <v>--</v>
      </c>
      <c r="AH105" s="258" t="str">
        <f>IFERROR(__xludf.DUMMYFUNCTION("""COMPUTED_VALUE"""),"--")</f>
        <v>--</v>
      </c>
    </row>
    <row r="106">
      <c r="A106" s="328">
        <f>IFERROR(__xludf.DUMMYFUNCTION("""COMPUTED_VALUE"""),44178.0)</f>
        <v>44178</v>
      </c>
      <c r="B106" s="329">
        <f>IFERROR(__xludf.DUMMYFUNCTION("""COMPUTED_VALUE"""),673.0)</f>
        <v>673</v>
      </c>
      <c r="C106" s="329">
        <f>IFERROR(__xludf.DUMMYFUNCTION("""COMPUTED_VALUE"""),1095.0)</f>
        <v>1095</v>
      </c>
      <c r="D106" s="329">
        <f>IFERROR(__xludf.DUMMYFUNCTION("""COMPUTED_VALUE"""),89962.0)</f>
        <v>89962</v>
      </c>
      <c r="E106" s="329">
        <f>IFERROR(__xludf.DUMMYFUNCTION("""COMPUTED_VALUE"""),7159.0)</f>
        <v>7159</v>
      </c>
      <c r="F106" s="258">
        <f>IFERROR(__xludf.DUMMYFUNCTION("""COMPUTED_VALUE"""),1669992.0)</f>
        <v>1669992</v>
      </c>
      <c r="G106" s="258">
        <f>IFERROR(__xludf.DUMMYFUNCTION("""COMPUTED_VALUE"""),7832.0)</f>
        <v>7832</v>
      </c>
      <c r="H106" s="258">
        <f>IFERROR(__xludf.DUMMYFUNCTION("""COMPUTED_VALUE"""),1759954.0)</f>
        <v>1759954</v>
      </c>
      <c r="I106" s="329">
        <f>IFERROR(__xludf.DUMMYFUNCTION("""COMPUTED_VALUE"""),555.0)</f>
        <v>555</v>
      </c>
      <c r="J106" s="329">
        <f>IFERROR(__xludf.DUMMYFUNCTION("""COMPUTED_VALUE"""),932.0)</f>
        <v>932</v>
      </c>
      <c r="K106" s="329">
        <f>IFERROR(__xludf.DUMMYFUNCTION("""COMPUTED_VALUE"""),74278.0)</f>
        <v>74278</v>
      </c>
      <c r="L106" s="329">
        <f>IFERROR(__xludf.DUMMYFUNCTION("""COMPUTED_VALUE"""),1906.0)</f>
        <v>1906</v>
      </c>
      <c r="M106" s="329">
        <f>IFERROR(__xludf.DUMMYFUNCTION("""COMPUTED_VALUE"""),482041.0)</f>
        <v>482041</v>
      </c>
      <c r="N106" s="329">
        <f>IFERROR(__xludf.DUMMYFUNCTION("""COMPUTED_VALUE"""),556319.0)</f>
        <v>556319</v>
      </c>
      <c r="O106" s="329">
        <f>IFERROR(__xludf.DUMMYFUNCTION("""COMPUTED_VALUE"""),74.0)</f>
        <v>74</v>
      </c>
      <c r="P106" s="329">
        <f>IFERROR(__xludf.DUMMYFUNCTION("""COMPUTED_VALUE"""),5563.0)</f>
        <v>5563</v>
      </c>
      <c r="Q106" s="329">
        <f>IFERROR(__xludf.DUMMYFUNCTION("""COMPUTED_VALUE"""),40.0)</f>
        <v>40</v>
      </c>
      <c r="R106" s="329">
        <f>IFERROR(__xludf.DUMMYFUNCTION("""COMPUTED_VALUE"""),4486.0)</f>
        <v>4486</v>
      </c>
      <c r="S106" s="329">
        <f>IFERROR(__xludf.DUMMYFUNCTION("""COMPUTED_VALUE"""),13.0)</f>
        <v>13</v>
      </c>
      <c r="T106" s="329">
        <f>IFERROR(__xludf.DUMMYFUNCTION("""COMPUTED_VALUE"""),582.0)</f>
        <v>582</v>
      </c>
      <c r="U106" s="329">
        <f>IFERROR(__xludf.DUMMYFUNCTION("""COMPUTED_VALUE"""),495.0)</f>
        <v>495</v>
      </c>
      <c r="V106" s="329">
        <f>IFERROR(__xludf.DUMMYFUNCTION("""COMPUTED_VALUE"""),480.0)</f>
        <v>480</v>
      </c>
      <c r="W106" s="329">
        <f>IFERROR(__xludf.DUMMYFUNCTION("""COMPUTED_VALUE"""),56.0)</f>
        <v>56</v>
      </c>
      <c r="X106" s="329">
        <f>IFERROR(__xludf.DUMMYFUNCTION("""COMPUTED_VALUE"""),30.0)</f>
        <v>30</v>
      </c>
      <c r="Y106" s="329">
        <f>IFERROR(__xludf.DUMMYFUNCTION("""COMPUTED_VALUE"""),30.0)</f>
        <v>30</v>
      </c>
      <c r="Z106" s="329">
        <f>IFERROR(__xludf.DUMMYFUNCTION("""COMPUTED_VALUE"""),1653.0)</f>
        <v>1653</v>
      </c>
      <c r="AA106" s="258" t="str">
        <f>IFERROR(__xludf.DUMMYFUNCTION("""COMPUTED_VALUE"""),"--")</f>
        <v>--</v>
      </c>
      <c r="AB106" s="258" t="str">
        <f>IFERROR(__xludf.DUMMYFUNCTION("""COMPUTED_VALUE"""),"--")</f>
        <v>--</v>
      </c>
      <c r="AC106" s="258" t="str">
        <f>IFERROR(__xludf.DUMMYFUNCTION("""COMPUTED_VALUE"""),"--")</f>
        <v>--</v>
      </c>
      <c r="AD106" s="258" t="str">
        <f>IFERROR(__xludf.DUMMYFUNCTION("""COMPUTED_VALUE"""),"--")</f>
        <v>--</v>
      </c>
      <c r="AE106" s="258" t="str">
        <f>IFERROR(__xludf.DUMMYFUNCTION("""COMPUTED_VALUE"""),"--")</f>
        <v>--</v>
      </c>
      <c r="AF106" s="258" t="str">
        <f>IFERROR(__xludf.DUMMYFUNCTION("""COMPUTED_VALUE"""),"--")</f>
        <v>--</v>
      </c>
      <c r="AG106" s="258" t="str">
        <f>IFERROR(__xludf.DUMMYFUNCTION("""COMPUTED_VALUE"""),"--")</f>
        <v>--</v>
      </c>
      <c r="AH106" s="258" t="str">
        <f>IFERROR(__xludf.DUMMYFUNCTION("""COMPUTED_VALUE"""),"--")</f>
        <v>--</v>
      </c>
    </row>
    <row r="107">
      <c r="A107" s="328">
        <f>IFERROR(__xludf.DUMMYFUNCTION("""COMPUTED_VALUE"""),44179.0)</f>
        <v>44179</v>
      </c>
      <c r="B107" s="329">
        <f>IFERROR(__xludf.DUMMYFUNCTION("""COMPUTED_VALUE"""),1318.0)</f>
        <v>1318</v>
      </c>
      <c r="C107" s="329">
        <f>IFERROR(__xludf.DUMMYFUNCTION("""COMPUTED_VALUE"""),1038.0)</f>
        <v>1038</v>
      </c>
      <c r="D107" s="329">
        <f>IFERROR(__xludf.DUMMYFUNCTION("""COMPUTED_VALUE"""),91280.0)</f>
        <v>91280</v>
      </c>
      <c r="E107" s="329">
        <f>IFERROR(__xludf.DUMMYFUNCTION("""COMPUTED_VALUE"""),11247.0)</f>
        <v>11247</v>
      </c>
      <c r="F107" s="258">
        <f>IFERROR(__xludf.DUMMYFUNCTION("""COMPUTED_VALUE"""),1681239.0)</f>
        <v>1681239</v>
      </c>
      <c r="G107" s="258">
        <f>IFERROR(__xludf.DUMMYFUNCTION("""COMPUTED_VALUE"""),12565.0)</f>
        <v>12565</v>
      </c>
      <c r="H107" s="258">
        <f>IFERROR(__xludf.DUMMYFUNCTION("""COMPUTED_VALUE"""),1772519.0)</f>
        <v>1772519</v>
      </c>
      <c r="I107" s="329">
        <f>IFERROR(__xludf.DUMMYFUNCTION("""COMPUTED_VALUE"""),1140.0)</f>
        <v>1140</v>
      </c>
      <c r="J107" s="329">
        <f>IFERROR(__xludf.DUMMYFUNCTION("""COMPUTED_VALUE"""),876.0)</f>
        <v>876</v>
      </c>
      <c r="K107" s="329">
        <f>IFERROR(__xludf.DUMMYFUNCTION("""COMPUTED_VALUE"""),75418.0)</f>
        <v>75418</v>
      </c>
      <c r="L107" s="329">
        <f>IFERROR(__xludf.DUMMYFUNCTION("""COMPUTED_VALUE"""),3241.0)</f>
        <v>3241</v>
      </c>
      <c r="M107" s="329">
        <f>IFERROR(__xludf.DUMMYFUNCTION("""COMPUTED_VALUE"""),485282.0)</f>
        <v>485282</v>
      </c>
      <c r="N107" s="329">
        <f>IFERROR(__xludf.DUMMYFUNCTION("""COMPUTED_VALUE"""),560700.0)</f>
        <v>560700</v>
      </c>
      <c r="O107" s="329">
        <f>IFERROR(__xludf.DUMMYFUNCTION("""COMPUTED_VALUE"""),85.0)</f>
        <v>85</v>
      </c>
      <c r="P107" s="329">
        <f>IFERROR(__xludf.DUMMYFUNCTION("""COMPUTED_VALUE"""),5648.0)</f>
        <v>5648</v>
      </c>
      <c r="Q107" s="329">
        <f>IFERROR(__xludf.DUMMYFUNCTION("""COMPUTED_VALUE"""),63.0)</f>
        <v>63</v>
      </c>
      <c r="R107" s="329">
        <f>IFERROR(__xludf.DUMMYFUNCTION("""COMPUTED_VALUE"""),4549.0)</f>
        <v>4549</v>
      </c>
      <c r="S107" s="329">
        <f>IFERROR(__xludf.DUMMYFUNCTION("""COMPUTED_VALUE"""),10.0)</f>
        <v>10</v>
      </c>
      <c r="T107" s="329">
        <f>IFERROR(__xludf.DUMMYFUNCTION("""COMPUTED_VALUE"""),592.0)</f>
        <v>592</v>
      </c>
      <c r="U107" s="329">
        <f>IFERROR(__xludf.DUMMYFUNCTION("""COMPUTED_VALUE"""),507.0)</f>
        <v>507</v>
      </c>
      <c r="V107" s="329">
        <f>IFERROR(__xludf.DUMMYFUNCTION("""COMPUTED_VALUE"""),492.0)</f>
        <v>492</v>
      </c>
      <c r="W107" s="329">
        <f>IFERROR(__xludf.DUMMYFUNCTION("""COMPUTED_VALUE"""),66.0)</f>
        <v>66</v>
      </c>
      <c r="X107" s="329">
        <f>IFERROR(__xludf.DUMMYFUNCTION("""COMPUTED_VALUE"""),32.0)</f>
        <v>32</v>
      </c>
      <c r="Y107" s="329">
        <f>IFERROR(__xludf.DUMMYFUNCTION("""COMPUTED_VALUE"""),15.0)</f>
        <v>15</v>
      </c>
      <c r="Z107" s="329">
        <f>IFERROR(__xludf.DUMMYFUNCTION("""COMPUTED_VALUE"""),1668.0)</f>
        <v>1668</v>
      </c>
      <c r="AA107" s="258">
        <f>IFERROR(__xludf.DUMMYFUNCTION("""COMPUTED_VALUE"""),113.0)</f>
        <v>113</v>
      </c>
      <c r="AB107" s="258">
        <f>IFERROR(__xludf.DUMMYFUNCTION("""COMPUTED_VALUE"""),0.0)</f>
        <v>0</v>
      </c>
      <c r="AC107" s="258">
        <f>IFERROR(__xludf.DUMMYFUNCTION("""COMPUTED_VALUE"""),113.0)</f>
        <v>113</v>
      </c>
      <c r="AD107" s="258">
        <f>IFERROR(__xludf.DUMMYFUNCTION("""COMPUTED_VALUE"""),113.0)</f>
        <v>113</v>
      </c>
      <c r="AE107" s="258">
        <f>IFERROR(__xludf.DUMMYFUNCTION("""COMPUTED_VALUE"""),113.0)</f>
        <v>113</v>
      </c>
      <c r="AF107" s="258">
        <f>IFERROR(__xludf.DUMMYFUNCTION("""COMPUTED_VALUE"""),113.0)</f>
        <v>113</v>
      </c>
      <c r="AG107" s="258">
        <f>IFERROR(__xludf.DUMMYFUNCTION("""COMPUTED_VALUE"""),0.0)</f>
        <v>0</v>
      </c>
      <c r="AH107" s="258">
        <f>IFERROR(__xludf.DUMMYFUNCTION("""COMPUTED_VALUE"""),0.0)</f>
        <v>0</v>
      </c>
    </row>
    <row r="108">
      <c r="A108" s="328">
        <f>IFERROR(__xludf.DUMMYFUNCTION("""COMPUTED_VALUE"""),44180.0)</f>
        <v>44180</v>
      </c>
      <c r="B108" s="329">
        <f>IFERROR(__xludf.DUMMYFUNCTION("""COMPUTED_VALUE"""),1270.0)</f>
        <v>1270</v>
      </c>
      <c r="C108" s="329">
        <f>IFERROR(__xludf.DUMMYFUNCTION("""COMPUTED_VALUE"""),1087.0)</f>
        <v>1087</v>
      </c>
      <c r="D108" s="329">
        <f>IFERROR(__xludf.DUMMYFUNCTION("""COMPUTED_VALUE"""),92550.0)</f>
        <v>92550</v>
      </c>
      <c r="E108" s="329">
        <f>IFERROR(__xludf.DUMMYFUNCTION("""COMPUTED_VALUE"""),15133.0)</f>
        <v>15133</v>
      </c>
      <c r="F108" s="258">
        <f>IFERROR(__xludf.DUMMYFUNCTION("""COMPUTED_VALUE"""),1696372.0)</f>
        <v>1696372</v>
      </c>
      <c r="G108" s="258">
        <f>IFERROR(__xludf.DUMMYFUNCTION("""COMPUTED_VALUE"""),16403.0)</f>
        <v>16403</v>
      </c>
      <c r="H108" s="258">
        <f>IFERROR(__xludf.DUMMYFUNCTION("""COMPUTED_VALUE"""),1788922.0)</f>
        <v>1788922</v>
      </c>
      <c r="I108" s="329">
        <f>IFERROR(__xludf.DUMMYFUNCTION("""COMPUTED_VALUE"""),1059.0)</f>
        <v>1059</v>
      </c>
      <c r="J108" s="329">
        <f>IFERROR(__xludf.DUMMYFUNCTION("""COMPUTED_VALUE"""),918.0)</f>
        <v>918</v>
      </c>
      <c r="K108" s="329">
        <f>IFERROR(__xludf.DUMMYFUNCTION("""COMPUTED_VALUE"""),76477.0)</f>
        <v>76477</v>
      </c>
      <c r="L108" s="329">
        <f>IFERROR(__xludf.DUMMYFUNCTION("""COMPUTED_VALUE"""),2951.0)</f>
        <v>2951</v>
      </c>
      <c r="M108" s="329">
        <f>IFERROR(__xludf.DUMMYFUNCTION("""COMPUTED_VALUE"""),488233.0)</f>
        <v>488233</v>
      </c>
      <c r="N108" s="329">
        <f>IFERROR(__xludf.DUMMYFUNCTION("""COMPUTED_VALUE"""),564710.0)</f>
        <v>564710</v>
      </c>
      <c r="O108" s="329">
        <f>IFERROR(__xludf.DUMMYFUNCTION("""COMPUTED_VALUE"""),71.0)</f>
        <v>71</v>
      </c>
      <c r="P108" s="329">
        <f>IFERROR(__xludf.DUMMYFUNCTION("""COMPUTED_VALUE"""),5719.0)</f>
        <v>5719</v>
      </c>
      <c r="Q108" s="329">
        <f>IFERROR(__xludf.DUMMYFUNCTION("""COMPUTED_VALUE"""),56.0)</f>
        <v>56</v>
      </c>
      <c r="R108" s="329">
        <f>IFERROR(__xludf.DUMMYFUNCTION("""COMPUTED_VALUE"""),4605.0)</f>
        <v>4605</v>
      </c>
      <c r="S108" s="329">
        <f>IFERROR(__xludf.DUMMYFUNCTION("""COMPUTED_VALUE"""),5.0)</f>
        <v>5</v>
      </c>
      <c r="T108" s="329">
        <f>IFERROR(__xludf.DUMMYFUNCTION("""COMPUTED_VALUE"""),597.0)</f>
        <v>597</v>
      </c>
      <c r="U108" s="329">
        <f>IFERROR(__xludf.DUMMYFUNCTION("""COMPUTED_VALUE"""),517.0)</f>
        <v>517</v>
      </c>
      <c r="V108" s="329">
        <f>IFERROR(__xludf.DUMMYFUNCTION("""COMPUTED_VALUE"""),506.0)</f>
        <v>506</v>
      </c>
      <c r="W108" s="329">
        <f>IFERROR(__xludf.DUMMYFUNCTION("""COMPUTED_VALUE"""),63.0)</f>
        <v>63</v>
      </c>
      <c r="X108" s="329">
        <f>IFERROR(__xludf.DUMMYFUNCTION("""COMPUTED_VALUE"""),32.0)</f>
        <v>32</v>
      </c>
      <c r="Y108" s="329">
        <f>IFERROR(__xludf.DUMMYFUNCTION("""COMPUTED_VALUE"""),16.0)</f>
        <v>16</v>
      </c>
      <c r="Z108" s="329">
        <f>IFERROR(__xludf.DUMMYFUNCTION("""COMPUTED_VALUE"""),1684.0)</f>
        <v>1684</v>
      </c>
      <c r="AA108" s="258">
        <f>IFERROR(__xludf.DUMMYFUNCTION("""COMPUTED_VALUE"""),425.0)</f>
        <v>425</v>
      </c>
      <c r="AB108" s="258">
        <f>IFERROR(__xludf.DUMMYFUNCTION("""COMPUTED_VALUE"""),0.0)</f>
        <v>0</v>
      </c>
      <c r="AC108" s="258">
        <f>IFERROR(__xludf.DUMMYFUNCTION("""COMPUTED_VALUE"""),425.0)</f>
        <v>425</v>
      </c>
      <c r="AD108" s="258">
        <f>IFERROR(__xludf.DUMMYFUNCTION("""COMPUTED_VALUE"""),538.0)</f>
        <v>538</v>
      </c>
      <c r="AE108" s="258">
        <f>IFERROR(__xludf.DUMMYFUNCTION("""COMPUTED_VALUE"""),425.0)</f>
        <v>425</v>
      </c>
      <c r="AF108" s="258">
        <f>IFERROR(__xludf.DUMMYFUNCTION("""COMPUTED_VALUE"""),538.0)</f>
        <v>538</v>
      </c>
      <c r="AG108" s="258">
        <f>IFERROR(__xludf.DUMMYFUNCTION("""COMPUTED_VALUE"""),0.0)</f>
        <v>0</v>
      </c>
      <c r="AH108" s="258">
        <f>IFERROR(__xludf.DUMMYFUNCTION("""COMPUTED_VALUE"""),0.0)</f>
        <v>0</v>
      </c>
    </row>
    <row r="109">
      <c r="A109" s="328">
        <f>IFERROR(__xludf.DUMMYFUNCTION("""COMPUTED_VALUE"""),44181.0)</f>
        <v>44181</v>
      </c>
      <c r="B109" s="329">
        <f>IFERROR(__xludf.DUMMYFUNCTION("""COMPUTED_VALUE"""),1281.0)</f>
        <v>1281</v>
      </c>
      <c r="C109" s="329">
        <f>IFERROR(__xludf.DUMMYFUNCTION("""COMPUTED_VALUE"""),1290.0)</f>
        <v>1290</v>
      </c>
      <c r="D109" s="329">
        <f>IFERROR(__xludf.DUMMYFUNCTION("""COMPUTED_VALUE"""),93831.0)</f>
        <v>93831</v>
      </c>
      <c r="E109" s="329">
        <f>IFERROR(__xludf.DUMMYFUNCTION("""COMPUTED_VALUE"""),19138.0)</f>
        <v>19138</v>
      </c>
      <c r="F109" s="258">
        <f>IFERROR(__xludf.DUMMYFUNCTION("""COMPUTED_VALUE"""),1715510.0)</f>
        <v>1715510</v>
      </c>
      <c r="G109" s="258">
        <f>IFERROR(__xludf.DUMMYFUNCTION("""COMPUTED_VALUE"""),20419.0)</f>
        <v>20419</v>
      </c>
      <c r="H109" s="258">
        <f>IFERROR(__xludf.DUMMYFUNCTION("""COMPUTED_VALUE"""),1809341.0)</f>
        <v>1809341</v>
      </c>
      <c r="I109" s="329">
        <f>IFERROR(__xludf.DUMMYFUNCTION("""COMPUTED_VALUE"""),1076.0)</f>
        <v>1076</v>
      </c>
      <c r="J109" s="329">
        <f>IFERROR(__xludf.DUMMYFUNCTION("""COMPUTED_VALUE"""),1092.0)</f>
        <v>1092</v>
      </c>
      <c r="K109" s="329">
        <f>IFERROR(__xludf.DUMMYFUNCTION("""COMPUTED_VALUE"""),77553.0)</f>
        <v>77553</v>
      </c>
      <c r="L109" s="329">
        <f>IFERROR(__xludf.DUMMYFUNCTION("""COMPUTED_VALUE"""),3541.0)</f>
        <v>3541</v>
      </c>
      <c r="M109" s="329">
        <f>IFERROR(__xludf.DUMMYFUNCTION("""COMPUTED_VALUE"""),491774.0)</f>
        <v>491774</v>
      </c>
      <c r="N109" s="329">
        <f>IFERROR(__xludf.DUMMYFUNCTION("""COMPUTED_VALUE"""),569327.0)</f>
        <v>569327</v>
      </c>
      <c r="O109" s="329">
        <f>IFERROR(__xludf.DUMMYFUNCTION("""COMPUTED_VALUE"""),58.0)</f>
        <v>58</v>
      </c>
      <c r="P109" s="329">
        <f>IFERROR(__xludf.DUMMYFUNCTION("""COMPUTED_VALUE"""),5777.0)</f>
        <v>5777</v>
      </c>
      <c r="Q109" s="329">
        <f>IFERROR(__xludf.DUMMYFUNCTION("""COMPUTED_VALUE"""),73.0)</f>
        <v>73</v>
      </c>
      <c r="R109" s="329">
        <f>IFERROR(__xludf.DUMMYFUNCTION("""COMPUTED_VALUE"""),4678.0)</f>
        <v>4678</v>
      </c>
      <c r="S109" s="329">
        <f>IFERROR(__xludf.DUMMYFUNCTION("""COMPUTED_VALUE"""),11.0)</f>
        <v>11</v>
      </c>
      <c r="T109" s="329">
        <f>IFERROR(__xludf.DUMMYFUNCTION("""COMPUTED_VALUE"""),608.0)</f>
        <v>608</v>
      </c>
      <c r="U109" s="329">
        <f>IFERROR(__xludf.DUMMYFUNCTION("""COMPUTED_VALUE"""),491.0)</f>
        <v>491</v>
      </c>
      <c r="V109" s="329">
        <f>IFERROR(__xludf.DUMMYFUNCTION("""COMPUTED_VALUE"""),505.0)</f>
        <v>505</v>
      </c>
      <c r="W109" s="329">
        <f>IFERROR(__xludf.DUMMYFUNCTION("""COMPUTED_VALUE"""),62.0)</f>
        <v>62</v>
      </c>
      <c r="X109" s="329">
        <f>IFERROR(__xludf.DUMMYFUNCTION("""COMPUTED_VALUE"""),34.0)</f>
        <v>34</v>
      </c>
      <c r="Y109" s="329">
        <f>IFERROR(__xludf.DUMMYFUNCTION("""COMPUTED_VALUE"""),19.0)</f>
        <v>19</v>
      </c>
      <c r="Z109" s="329">
        <f>IFERROR(__xludf.DUMMYFUNCTION("""COMPUTED_VALUE"""),1703.0)</f>
        <v>1703</v>
      </c>
      <c r="AA109" s="258">
        <f>IFERROR(__xludf.DUMMYFUNCTION("""COMPUTED_VALUE"""),418.0)</f>
        <v>418</v>
      </c>
      <c r="AB109" s="258">
        <f>IFERROR(__xludf.DUMMYFUNCTION("""COMPUTED_VALUE"""),0.0)</f>
        <v>0</v>
      </c>
      <c r="AC109" s="258">
        <f>IFERROR(__xludf.DUMMYFUNCTION("""COMPUTED_VALUE"""),418.0)</f>
        <v>418</v>
      </c>
      <c r="AD109" s="258">
        <f>IFERROR(__xludf.DUMMYFUNCTION("""COMPUTED_VALUE"""),956.0)</f>
        <v>956</v>
      </c>
      <c r="AE109" s="258">
        <f>IFERROR(__xludf.DUMMYFUNCTION("""COMPUTED_VALUE"""),418.0)</f>
        <v>418</v>
      </c>
      <c r="AF109" s="258">
        <f>IFERROR(__xludf.DUMMYFUNCTION("""COMPUTED_VALUE"""),956.0)</f>
        <v>956</v>
      </c>
      <c r="AG109" s="258">
        <f>IFERROR(__xludf.DUMMYFUNCTION("""COMPUTED_VALUE"""),0.0)</f>
        <v>0</v>
      </c>
      <c r="AH109" s="258">
        <f>IFERROR(__xludf.DUMMYFUNCTION("""COMPUTED_VALUE"""),0.0)</f>
        <v>0</v>
      </c>
    </row>
    <row r="110">
      <c r="A110" s="328">
        <f>IFERROR(__xludf.DUMMYFUNCTION("""COMPUTED_VALUE"""),44182.0)</f>
        <v>44182</v>
      </c>
      <c r="B110" s="329">
        <f>IFERROR(__xludf.DUMMYFUNCTION("""COMPUTED_VALUE"""),483.0)</f>
        <v>483</v>
      </c>
      <c r="C110" s="329">
        <f>IFERROR(__xludf.DUMMYFUNCTION("""COMPUTED_VALUE"""),1011.0)</f>
        <v>1011</v>
      </c>
      <c r="D110" s="329">
        <f>IFERROR(__xludf.DUMMYFUNCTION("""COMPUTED_VALUE"""),94314.0)</f>
        <v>94314</v>
      </c>
      <c r="E110" s="329">
        <f>IFERROR(__xludf.DUMMYFUNCTION("""COMPUTED_VALUE"""),8773.0)</f>
        <v>8773</v>
      </c>
      <c r="F110" s="258">
        <f>IFERROR(__xludf.DUMMYFUNCTION("""COMPUTED_VALUE"""),1724283.0)</f>
        <v>1724283</v>
      </c>
      <c r="G110" s="258">
        <f>IFERROR(__xludf.DUMMYFUNCTION("""COMPUTED_VALUE"""),9256.0)</f>
        <v>9256</v>
      </c>
      <c r="H110" s="258">
        <f>IFERROR(__xludf.DUMMYFUNCTION("""COMPUTED_VALUE"""),1818597.0)</f>
        <v>1818597</v>
      </c>
      <c r="I110" s="329">
        <f>IFERROR(__xludf.DUMMYFUNCTION("""COMPUTED_VALUE"""),431.0)</f>
        <v>431</v>
      </c>
      <c r="J110" s="329">
        <f>IFERROR(__xludf.DUMMYFUNCTION("""COMPUTED_VALUE"""),855.0)</f>
        <v>855</v>
      </c>
      <c r="K110" s="329">
        <f>IFERROR(__xludf.DUMMYFUNCTION("""COMPUTED_VALUE"""),77984.0)</f>
        <v>77984</v>
      </c>
      <c r="L110" s="329">
        <f>IFERROR(__xludf.DUMMYFUNCTION("""COMPUTED_VALUE"""),1203.0)</f>
        <v>1203</v>
      </c>
      <c r="M110" s="329">
        <f>IFERROR(__xludf.DUMMYFUNCTION("""COMPUTED_VALUE"""),492977.0)</f>
        <v>492977</v>
      </c>
      <c r="N110" s="329">
        <f>IFERROR(__xludf.DUMMYFUNCTION("""COMPUTED_VALUE"""),570961.0)</f>
        <v>570961</v>
      </c>
      <c r="O110" s="329">
        <f>IFERROR(__xludf.DUMMYFUNCTION("""COMPUTED_VALUE"""),46.0)</f>
        <v>46</v>
      </c>
      <c r="P110" s="329">
        <f>IFERROR(__xludf.DUMMYFUNCTION("""COMPUTED_VALUE"""),5823.0)</f>
        <v>5823</v>
      </c>
      <c r="Q110" s="329">
        <f>IFERROR(__xludf.DUMMYFUNCTION("""COMPUTED_VALUE"""),54.0)</f>
        <v>54</v>
      </c>
      <c r="R110" s="329">
        <f>IFERROR(__xludf.DUMMYFUNCTION("""COMPUTED_VALUE"""),4732.0)</f>
        <v>4732</v>
      </c>
      <c r="S110" s="329">
        <f>IFERROR(__xludf.DUMMYFUNCTION("""COMPUTED_VALUE"""),8.0)</f>
        <v>8</v>
      </c>
      <c r="T110" s="329">
        <f>IFERROR(__xludf.DUMMYFUNCTION("""COMPUTED_VALUE"""),616.0)</f>
        <v>616</v>
      </c>
      <c r="U110" s="329">
        <f>IFERROR(__xludf.DUMMYFUNCTION("""COMPUTED_VALUE"""),475.0)</f>
        <v>475</v>
      </c>
      <c r="V110" s="329">
        <f>IFERROR(__xludf.DUMMYFUNCTION("""COMPUTED_VALUE"""),494.0)</f>
        <v>494</v>
      </c>
      <c r="W110" s="329">
        <f>IFERROR(__xludf.DUMMYFUNCTION("""COMPUTED_VALUE"""),61.0)</f>
        <v>61</v>
      </c>
      <c r="X110" s="329">
        <f>IFERROR(__xludf.DUMMYFUNCTION("""COMPUTED_VALUE"""),34.0)</f>
        <v>34</v>
      </c>
      <c r="Y110" s="329">
        <f>IFERROR(__xludf.DUMMYFUNCTION("""COMPUTED_VALUE"""),17.0)</f>
        <v>17</v>
      </c>
      <c r="Z110" s="329">
        <f>IFERROR(__xludf.DUMMYFUNCTION("""COMPUTED_VALUE"""),1720.0)</f>
        <v>1720</v>
      </c>
      <c r="AA110" s="258">
        <f>IFERROR(__xludf.DUMMYFUNCTION("""COMPUTED_VALUE"""),350.0)</f>
        <v>350</v>
      </c>
      <c r="AB110" s="258">
        <f>IFERROR(__xludf.DUMMYFUNCTION("""COMPUTED_VALUE"""),0.0)</f>
        <v>0</v>
      </c>
      <c r="AC110" s="258">
        <f>IFERROR(__xludf.DUMMYFUNCTION("""COMPUTED_VALUE"""),350.0)</f>
        <v>350</v>
      </c>
      <c r="AD110" s="258">
        <f>IFERROR(__xludf.DUMMYFUNCTION("""COMPUTED_VALUE"""),1306.0)</f>
        <v>1306</v>
      </c>
      <c r="AE110" s="258">
        <f>IFERROR(__xludf.DUMMYFUNCTION("""COMPUTED_VALUE"""),350.0)</f>
        <v>350</v>
      </c>
      <c r="AF110" s="258">
        <f>IFERROR(__xludf.DUMMYFUNCTION("""COMPUTED_VALUE"""),1306.0)</f>
        <v>1306</v>
      </c>
      <c r="AG110" s="258">
        <f>IFERROR(__xludf.DUMMYFUNCTION("""COMPUTED_VALUE"""),0.0)</f>
        <v>0</v>
      </c>
      <c r="AH110" s="258">
        <f>IFERROR(__xludf.DUMMYFUNCTION("""COMPUTED_VALUE"""),0.0)</f>
        <v>0</v>
      </c>
    </row>
    <row r="111">
      <c r="A111" s="328">
        <f>IFERROR(__xludf.DUMMYFUNCTION("""COMPUTED_VALUE"""),44183.0)</f>
        <v>44183</v>
      </c>
      <c r="B111" s="329">
        <f>IFERROR(__xludf.DUMMYFUNCTION("""COMPUTED_VALUE"""),1114.0)</f>
        <v>1114</v>
      </c>
      <c r="C111" s="329">
        <f>IFERROR(__xludf.DUMMYFUNCTION("""COMPUTED_VALUE"""),959.0)</f>
        <v>959</v>
      </c>
      <c r="D111" s="329">
        <f>IFERROR(__xludf.DUMMYFUNCTION("""COMPUTED_VALUE"""),95428.0)</f>
        <v>95428</v>
      </c>
      <c r="E111" s="329">
        <f>IFERROR(__xludf.DUMMYFUNCTION("""COMPUTED_VALUE"""),13649.0)</f>
        <v>13649</v>
      </c>
      <c r="F111" s="258">
        <f>IFERROR(__xludf.DUMMYFUNCTION("""COMPUTED_VALUE"""),1737932.0)</f>
        <v>1737932</v>
      </c>
      <c r="G111" s="258">
        <f>IFERROR(__xludf.DUMMYFUNCTION("""COMPUTED_VALUE"""),14763.0)</f>
        <v>14763</v>
      </c>
      <c r="H111" s="258">
        <f>IFERROR(__xludf.DUMMYFUNCTION("""COMPUTED_VALUE"""),1833360.0)</f>
        <v>1833360</v>
      </c>
      <c r="I111" s="329">
        <f>IFERROR(__xludf.DUMMYFUNCTION("""COMPUTED_VALUE"""),936.0)</f>
        <v>936</v>
      </c>
      <c r="J111" s="329">
        <f>IFERROR(__xludf.DUMMYFUNCTION("""COMPUTED_VALUE"""),814.0)</f>
        <v>814</v>
      </c>
      <c r="K111" s="329">
        <f>IFERROR(__xludf.DUMMYFUNCTION("""COMPUTED_VALUE"""),78920.0)</f>
        <v>78920</v>
      </c>
      <c r="L111" s="329">
        <f>IFERROR(__xludf.DUMMYFUNCTION("""COMPUTED_VALUE"""),2697.0)</f>
        <v>2697</v>
      </c>
      <c r="M111" s="329">
        <f>IFERROR(__xludf.DUMMYFUNCTION("""COMPUTED_VALUE"""),495674.0)</f>
        <v>495674</v>
      </c>
      <c r="N111" s="329">
        <f>IFERROR(__xludf.DUMMYFUNCTION("""COMPUTED_VALUE"""),574594.0)</f>
        <v>574594</v>
      </c>
      <c r="O111" s="329">
        <f>IFERROR(__xludf.DUMMYFUNCTION("""COMPUTED_VALUE"""),56.0)</f>
        <v>56</v>
      </c>
      <c r="P111" s="329">
        <f>IFERROR(__xludf.DUMMYFUNCTION("""COMPUTED_VALUE"""),5879.0)</f>
        <v>5879</v>
      </c>
      <c r="Q111" s="329">
        <f>IFERROR(__xludf.DUMMYFUNCTION("""COMPUTED_VALUE"""),66.0)</f>
        <v>66</v>
      </c>
      <c r="R111" s="329">
        <f>IFERROR(__xludf.DUMMYFUNCTION("""COMPUTED_VALUE"""),4798.0)</f>
        <v>4798</v>
      </c>
      <c r="S111" s="329">
        <f>IFERROR(__xludf.DUMMYFUNCTION("""COMPUTED_VALUE"""),11.0)</f>
        <v>11</v>
      </c>
      <c r="T111" s="329">
        <f>IFERROR(__xludf.DUMMYFUNCTION("""COMPUTED_VALUE"""),627.0)</f>
        <v>627</v>
      </c>
      <c r="U111" s="329">
        <f>IFERROR(__xludf.DUMMYFUNCTION("""COMPUTED_VALUE"""),454.0)</f>
        <v>454</v>
      </c>
      <c r="V111" s="329">
        <f>IFERROR(__xludf.DUMMYFUNCTION("""COMPUTED_VALUE"""),473.0)</f>
        <v>473</v>
      </c>
      <c r="W111" s="329">
        <f>IFERROR(__xludf.DUMMYFUNCTION("""COMPUTED_VALUE"""),61.0)</f>
        <v>61</v>
      </c>
      <c r="X111" s="329">
        <f>IFERROR(__xludf.DUMMYFUNCTION("""COMPUTED_VALUE"""),35.0)</f>
        <v>35</v>
      </c>
      <c r="Y111" s="329">
        <f>IFERROR(__xludf.DUMMYFUNCTION("""COMPUTED_VALUE"""),15.0)</f>
        <v>15</v>
      </c>
      <c r="Z111" s="329">
        <f>IFERROR(__xludf.DUMMYFUNCTION("""COMPUTED_VALUE"""),1735.0)</f>
        <v>1735</v>
      </c>
      <c r="AA111" s="258">
        <f>IFERROR(__xludf.DUMMYFUNCTION("""COMPUTED_VALUE"""),1671.0)</f>
        <v>1671</v>
      </c>
      <c r="AB111" s="258">
        <f>IFERROR(__xludf.DUMMYFUNCTION("""COMPUTED_VALUE"""),0.0)</f>
        <v>0</v>
      </c>
      <c r="AC111" s="258">
        <f>IFERROR(__xludf.DUMMYFUNCTION("""COMPUTED_VALUE"""),1671.0)</f>
        <v>1671</v>
      </c>
      <c r="AD111" s="258">
        <f>IFERROR(__xludf.DUMMYFUNCTION("""COMPUTED_VALUE"""),2977.0)</f>
        <v>2977</v>
      </c>
      <c r="AE111" s="258">
        <f>IFERROR(__xludf.DUMMYFUNCTION("""COMPUTED_VALUE"""),1671.0)</f>
        <v>1671</v>
      </c>
      <c r="AF111" s="258">
        <f>IFERROR(__xludf.DUMMYFUNCTION("""COMPUTED_VALUE"""),2977.0)</f>
        <v>2977</v>
      </c>
      <c r="AG111" s="258">
        <f>IFERROR(__xludf.DUMMYFUNCTION("""COMPUTED_VALUE"""),0.0)</f>
        <v>0</v>
      </c>
      <c r="AH111" s="258">
        <f>IFERROR(__xludf.DUMMYFUNCTION("""COMPUTED_VALUE"""),0.0)</f>
        <v>0</v>
      </c>
    </row>
    <row r="112">
      <c r="A112" s="328">
        <f>IFERROR(__xludf.DUMMYFUNCTION("""COMPUTED_VALUE"""),44184.0)</f>
        <v>44184</v>
      </c>
      <c r="B112" s="329">
        <f>IFERROR(__xludf.DUMMYFUNCTION("""COMPUTED_VALUE"""),1317.0)</f>
        <v>1317</v>
      </c>
      <c r="C112" s="329">
        <f>IFERROR(__xludf.DUMMYFUNCTION("""COMPUTED_VALUE"""),971.0)</f>
        <v>971</v>
      </c>
      <c r="D112" s="329">
        <f>IFERROR(__xludf.DUMMYFUNCTION("""COMPUTED_VALUE"""),96745.0)</f>
        <v>96745</v>
      </c>
      <c r="E112" s="329">
        <f>IFERROR(__xludf.DUMMYFUNCTION("""COMPUTED_VALUE"""),16377.0)</f>
        <v>16377</v>
      </c>
      <c r="F112" s="258">
        <f>IFERROR(__xludf.DUMMYFUNCTION("""COMPUTED_VALUE"""),1754309.0)</f>
        <v>1754309</v>
      </c>
      <c r="G112" s="258">
        <f>IFERROR(__xludf.DUMMYFUNCTION("""COMPUTED_VALUE"""),17694.0)</f>
        <v>17694</v>
      </c>
      <c r="H112" s="258">
        <f>IFERROR(__xludf.DUMMYFUNCTION("""COMPUTED_VALUE"""),1851054.0)</f>
        <v>1851054</v>
      </c>
      <c r="I112" s="329">
        <f>IFERROR(__xludf.DUMMYFUNCTION("""COMPUTED_VALUE"""),1082.0)</f>
        <v>1082</v>
      </c>
      <c r="J112" s="329">
        <f>IFERROR(__xludf.DUMMYFUNCTION("""COMPUTED_VALUE"""),816.0)</f>
        <v>816</v>
      </c>
      <c r="K112" s="329">
        <f>IFERROR(__xludf.DUMMYFUNCTION("""COMPUTED_VALUE"""),80002.0)</f>
        <v>80002</v>
      </c>
      <c r="L112" s="329">
        <f>IFERROR(__xludf.DUMMYFUNCTION("""COMPUTED_VALUE"""),2980.0)</f>
        <v>2980</v>
      </c>
      <c r="M112" s="329">
        <f>IFERROR(__xludf.DUMMYFUNCTION("""COMPUTED_VALUE"""),498654.0)</f>
        <v>498654</v>
      </c>
      <c r="N112" s="329">
        <f>IFERROR(__xludf.DUMMYFUNCTION("""COMPUTED_VALUE"""),578656.0)</f>
        <v>578656</v>
      </c>
      <c r="O112" s="329">
        <f>IFERROR(__xludf.DUMMYFUNCTION("""COMPUTED_VALUE"""),60.0)</f>
        <v>60</v>
      </c>
      <c r="P112" s="329">
        <f>IFERROR(__xludf.DUMMYFUNCTION("""COMPUTED_VALUE"""),5939.0)</f>
        <v>5939</v>
      </c>
      <c r="Q112" s="329">
        <f>IFERROR(__xludf.DUMMYFUNCTION("""COMPUTED_VALUE"""),41.0)</f>
        <v>41</v>
      </c>
      <c r="R112" s="329">
        <f>IFERROR(__xludf.DUMMYFUNCTION("""COMPUTED_VALUE"""),4839.0)</f>
        <v>4839</v>
      </c>
      <c r="S112" s="329">
        <f>IFERROR(__xludf.DUMMYFUNCTION("""COMPUTED_VALUE"""),9.0)</f>
        <v>9</v>
      </c>
      <c r="T112" s="329">
        <f>IFERROR(__xludf.DUMMYFUNCTION("""COMPUTED_VALUE"""),636.0)</f>
        <v>636</v>
      </c>
      <c r="U112" s="329">
        <f>IFERROR(__xludf.DUMMYFUNCTION("""COMPUTED_VALUE"""),464.0)</f>
        <v>464</v>
      </c>
      <c r="V112" s="329">
        <f>IFERROR(__xludf.DUMMYFUNCTION("""COMPUTED_VALUE"""),464.0)</f>
        <v>464</v>
      </c>
      <c r="W112" s="329">
        <f>IFERROR(__xludf.DUMMYFUNCTION("""COMPUTED_VALUE"""),62.0)</f>
        <v>62</v>
      </c>
      <c r="X112" s="329">
        <f>IFERROR(__xludf.DUMMYFUNCTION("""COMPUTED_VALUE"""),40.0)</f>
        <v>40</v>
      </c>
      <c r="Y112" s="329">
        <f>IFERROR(__xludf.DUMMYFUNCTION("""COMPUTED_VALUE"""),20.0)</f>
        <v>20</v>
      </c>
      <c r="Z112" s="329">
        <f>IFERROR(__xludf.DUMMYFUNCTION("""COMPUTED_VALUE"""),1755.0)</f>
        <v>1755</v>
      </c>
      <c r="AA112" s="258">
        <f>IFERROR(__xludf.DUMMYFUNCTION("""COMPUTED_VALUE"""),1177.0)</f>
        <v>1177</v>
      </c>
      <c r="AB112" s="258">
        <f>IFERROR(__xludf.DUMMYFUNCTION("""COMPUTED_VALUE"""),0.0)</f>
        <v>0</v>
      </c>
      <c r="AC112" s="258">
        <f>IFERROR(__xludf.DUMMYFUNCTION("""COMPUTED_VALUE"""),1177.0)</f>
        <v>1177</v>
      </c>
      <c r="AD112" s="258">
        <f>IFERROR(__xludf.DUMMYFUNCTION("""COMPUTED_VALUE"""),4154.0)</f>
        <v>4154</v>
      </c>
      <c r="AE112" s="258">
        <f>IFERROR(__xludf.DUMMYFUNCTION("""COMPUTED_VALUE"""),1177.0)</f>
        <v>1177</v>
      </c>
      <c r="AF112" s="258">
        <f>IFERROR(__xludf.DUMMYFUNCTION("""COMPUTED_VALUE"""),4154.0)</f>
        <v>4154</v>
      </c>
      <c r="AG112" s="258">
        <f>IFERROR(__xludf.DUMMYFUNCTION("""COMPUTED_VALUE"""),0.0)</f>
        <v>0</v>
      </c>
      <c r="AH112" s="258">
        <f>IFERROR(__xludf.DUMMYFUNCTION("""COMPUTED_VALUE"""),0.0)</f>
        <v>0</v>
      </c>
    </row>
    <row r="113">
      <c r="A113" s="328">
        <f>IFERROR(__xludf.DUMMYFUNCTION("""COMPUTED_VALUE"""),44185.0)</f>
        <v>44185</v>
      </c>
      <c r="B113" s="329">
        <f>IFERROR(__xludf.DUMMYFUNCTION("""COMPUTED_VALUE"""),537.0)</f>
        <v>537</v>
      </c>
      <c r="C113" s="329">
        <f>IFERROR(__xludf.DUMMYFUNCTION("""COMPUTED_VALUE"""),989.0)</f>
        <v>989</v>
      </c>
      <c r="D113" s="329">
        <f>IFERROR(__xludf.DUMMYFUNCTION("""COMPUTED_VALUE"""),97282.0)</f>
        <v>97282</v>
      </c>
      <c r="E113" s="329">
        <f>IFERROR(__xludf.DUMMYFUNCTION("""COMPUTED_VALUE"""),6826.0)</f>
        <v>6826</v>
      </c>
      <c r="F113" s="258">
        <f>IFERROR(__xludf.DUMMYFUNCTION("""COMPUTED_VALUE"""),1761135.0)</f>
        <v>1761135</v>
      </c>
      <c r="G113" s="258">
        <f>IFERROR(__xludf.DUMMYFUNCTION("""COMPUTED_VALUE"""),7363.0)</f>
        <v>7363</v>
      </c>
      <c r="H113" s="258">
        <f>IFERROR(__xludf.DUMMYFUNCTION("""COMPUTED_VALUE"""),1858417.0)</f>
        <v>1858417</v>
      </c>
      <c r="I113" s="329">
        <f>IFERROR(__xludf.DUMMYFUNCTION("""COMPUTED_VALUE"""),440.0)</f>
        <v>440</v>
      </c>
      <c r="J113" s="329">
        <f>IFERROR(__xludf.DUMMYFUNCTION("""COMPUTED_VALUE"""),819.0)</f>
        <v>819</v>
      </c>
      <c r="K113" s="329">
        <f>IFERROR(__xludf.DUMMYFUNCTION("""COMPUTED_VALUE"""),80442.0)</f>
        <v>80442</v>
      </c>
      <c r="L113" s="329">
        <f>IFERROR(__xludf.DUMMYFUNCTION("""COMPUTED_VALUE"""),1607.0)</f>
        <v>1607</v>
      </c>
      <c r="M113" s="329">
        <f>IFERROR(__xludf.DUMMYFUNCTION("""COMPUTED_VALUE"""),500261.0)</f>
        <v>500261</v>
      </c>
      <c r="N113" s="329">
        <f>IFERROR(__xludf.DUMMYFUNCTION("""COMPUTED_VALUE"""),580703.0)</f>
        <v>580703</v>
      </c>
      <c r="O113" s="329">
        <f>IFERROR(__xludf.DUMMYFUNCTION("""COMPUTED_VALUE"""),59.0)</f>
        <v>59</v>
      </c>
      <c r="P113" s="329">
        <f>IFERROR(__xludf.DUMMYFUNCTION("""COMPUTED_VALUE"""),5998.0)</f>
        <v>5998</v>
      </c>
      <c r="Q113" s="329">
        <f>IFERROR(__xludf.DUMMYFUNCTION("""COMPUTED_VALUE"""),41.0)</f>
        <v>41</v>
      </c>
      <c r="R113" s="329">
        <f>IFERROR(__xludf.DUMMYFUNCTION("""COMPUTED_VALUE"""),4880.0)</f>
        <v>4880</v>
      </c>
      <c r="S113" s="329">
        <f>IFERROR(__xludf.DUMMYFUNCTION("""COMPUTED_VALUE"""),8.0)</f>
        <v>8</v>
      </c>
      <c r="T113" s="329">
        <f>IFERROR(__xludf.DUMMYFUNCTION("""COMPUTED_VALUE"""),644.0)</f>
        <v>644</v>
      </c>
      <c r="U113" s="329">
        <f>IFERROR(__xludf.DUMMYFUNCTION("""COMPUTED_VALUE"""),474.0)</f>
        <v>474</v>
      </c>
      <c r="V113" s="329">
        <f>IFERROR(__xludf.DUMMYFUNCTION("""COMPUTED_VALUE"""),464.0)</f>
        <v>464</v>
      </c>
      <c r="W113" s="329">
        <f>IFERROR(__xludf.DUMMYFUNCTION("""COMPUTED_VALUE"""),64.0)</f>
        <v>64</v>
      </c>
      <c r="X113" s="329">
        <f>IFERROR(__xludf.DUMMYFUNCTION("""COMPUTED_VALUE"""),43.0)</f>
        <v>43</v>
      </c>
      <c r="Y113" s="329">
        <f>IFERROR(__xludf.DUMMYFUNCTION("""COMPUTED_VALUE"""),14.0)</f>
        <v>14</v>
      </c>
      <c r="Z113" s="329">
        <f>IFERROR(__xludf.DUMMYFUNCTION("""COMPUTED_VALUE"""),1769.0)</f>
        <v>1769</v>
      </c>
      <c r="AA113" s="258">
        <f>IFERROR(__xludf.DUMMYFUNCTION("""COMPUTED_VALUE"""),804.0)</f>
        <v>804</v>
      </c>
      <c r="AB113" s="258">
        <f>IFERROR(__xludf.DUMMYFUNCTION("""COMPUTED_VALUE"""),0.0)</f>
        <v>0</v>
      </c>
      <c r="AC113" s="258">
        <f>IFERROR(__xludf.DUMMYFUNCTION("""COMPUTED_VALUE"""),804.0)</f>
        <v>804</v>
      </c>
      <c r="AD113" s="258">
        <f>IFERROR(__xludf.DUMMYFUNCTION("""COMPUTED_VALUE"""),4958.0)</f>
        <v>4958</v>
      </c>
      <c r="AE113" s="258">
        <f>IFERROR(__xludf.DUMMYFUNCTION("""COMPUTED_VALUE"""),804.0)</f>
        <v>804</v>
      </c>
      <c r="AF113" s="258">
        <f>IFERROR(__xludf.DUMMYFUNCTION("""COMPUTED_VALUE"""),4958.0)</f>
        <v>4958</v>
      </c>
      <c r="AG113" s="258">
        <f>IFERROR(__xludf.DUMMYFUNCTION("""COMPUTED_VALUE"""),0.0)</f>
        <v>0</v>
      </c>
      <c r="AH113" s="258">
        <f>IFERROR(__xludf.DUMMYFUNCTION("""COMPUTED_VALUE"""),0.0)</f>
        <v>0</v>
      </c>
    </row>
    <row r="114">
      <c r="A114" s="328">
        <f>IFERROR(__xludf.DUMMYFUNCTION("""COMPUTED_VALUE"""),44186.0)</f>
        <v>44186</v>
      </c>
      <c r="B114" s="329">
        <f>IFERROR(__xludf.DUMMYFUNCTION("""COMPUTED_VALUE"""),1108.0)</f>
        <v>1108</v>
      </c>
      <c r="C114" s="329">
        <f>IFERROR(__xludf.DUMMYFUNCTION("""COMPUTED_VALUE"""),987.0)</f>
        <v>987</v>
      </c>
      <c r="D114" s="329">
        <f>IFERROR(__xludf.DUMMYFUNCTION("""COMPUTED_VALUE"""),98390.0)</f>
        <v>98390</v>
      </c>
      <c r="E114" s="329">
        <f>IFERROR(__xludf.DUMMYFUNCTION("""COMPUTED_VALUE"""),12163.0)</f>
        <v>12163</v>
      </c>
      <c r="F114" s="258">
        <f>IFERROR(__xludf.DUMMYFUNCTION("""COMPUTED_VALUE"""),1773298.0)</f>
        <v>1773298</v>
      </c>
      <c r="G114" s="258">
        <f>IFERROR(__xludf.DUMMYFUNCTION("""COMPUTED_VALUE"""),13271.0)</f>
        <v>13271</v>
      </c>
      <c r="H114" s="258">
        <f>IFERROR(__xludf.DUMMYFUNCTION("""COMPUTED_VALUE"""),1871688.0)</f>
        <v>1871688</v>
      </c>
      <c r="I114" s="329">
        <f>IFERROR(__xludf.DUMMYFUNCTION("""COMPUTED_VALUE"""),932.0)</f>
        <v>932</v>
      </c>
      <c r="J114" s="329">
        <f>IFERROR(__xludf.DUMMYFUNCTION("""COMPUTED_VALUE"""),818.0)</f>
        <v>818</v>
      </c>
      <c r="K114" s="329">
        <f>IFERROR(__xludf.DUMMYFUNCTION("""COMPUTED_VALUE"""),81374.0)</f>
        <v>81374</v>
      </c>
      <c r="L114" s="329">
        <f>IFERROR(__xludf.DUMMYFUNCTION("""COMPUTED_VALUE"""),3459.0)</f>
        <v>3459</v>
      </c>
      <c r="M114" s="329">
        <f>IFERROR(__xludf.DUMMYFUNCTION("""COMPUTED_VALUE"""),503720.0)</f>
        <v>503720</v>
      </c>
      <c r="N114" s="329">
        <f>IFERROR(__xludf.DUMMYFUNCTION("""COMPUTED_VALUE"""),585094.0)</f>
        <v>585094</v>
      </c>
      <c r="O114" s="329">
        <f>IFERROR(__xludf.DUMMYFUNCTION("""COMPUTED_VALUE"""),73.0)</f>
        <v>73</v>
      </c>
      <c r="P114" s="329">
        <f>IFERROR(__xludf.DUMMYFUNCTION("""COMPUTED_VALUE"""),6071.0)</f>
        <v>6071</v>
      </c>
      <c r="Q114" s="329">
        <f>IFERROR(__xludf.DUMMYFUNCTION("""COMPUTED_VALUE"""),52.0)</f>
        <v>52</v>
      </c>
      <c r="R114" s="329">
        <f>IFERROR(__xludf.DUMMYFUNCTION("""COMPUTED_VALUE"""),4932.0)</f>
        <v>4932</v>
      </c>
      <c r="S114" s="329">
        <f>IFERROR(__xludf.DUMMYFUNCTION("""COMPUTED_VALUE"""),7.0)</f>
        <v>7</v>
      </c>
      <c r="T114" s="329">
        <f>IFERROR(__xludf.DUMMYFUNCTION("""COMPUTED_VALUE"""),651.0)</f>
        <v>651</v>
      </c>
      <c r="U114" s="329">
        <f>IFERROR(__xludf.DUMMYFUNCTION("""COMPUTED_VALUE"""),488.0)</f>
        <v>488</v>
      </c>
      <c r="V114" s="329">
        <f>IFERROR(__xludf.DUMMYFUNCTION("""COMPUTED_VALUE"""),475.0)</f>
        <v>475</v>
      </c>
      <c r="W114" s="329">
        <f>IFERROR(__xludf.DUMMYFUNCTION("""COMPUTED_VALUE"""),58.0)</f>
        <v>58</v>
      </c>
      <c r="X114" s="329">
        <f>IFERROR(__xludf.DUMMYFUNCTION("""COMPUTED_VALUE"""),40.0)</f>
        <v>40</v>
      </c>
      <c r="Y114" s="329">
        <f>IFERROR(__xludf.DUMMYFUNCTION("""COMPUTED_VALUE"""),11.0)</f>
        <v>11</v>
      </c>
      <c r="Z114" s="329">
        <f>IFERROR(__xludf.DUMMYFUNCTION("""COMPUTED_VALUE"""),1780.0)</f>
        <v>1780</v>
      </c>
      <c r="AA114" s="258">
        <f>IFERROR(__xludf.DUMMYFUNCTION("""COMPUTED_VALUE"""),1763.0)</f>
        <v>1763</v>
      </c>
      <c r="AB114" s="258">
        <f>IFERROR(__xludf.DUMMYFUNCTION("""COMPUTED_VALUE"""),0.0)</f>
        <v>0</v>
      </c>
      <c r="AC114" s="258">
        <f>IFERROR(__xludf.DUMMYFUNCTION("""COMPUTED_VALUE"""),1763.0)</f>
        <v>1763</v>
      </c>
      <c r="AD114" s="258">
        <f>IFERROR(__xludf.DUMMYFUNCTION("""COMPUTED_VALUE"""),6721.0)</f>
        <v>6721</v>
      </c>
      <c r="AE114" s="258">
        <f>IFERROR(__xludf.DUMMYFUNCTION("""COMPUTED_VALUE"""),1763.0)</f>
        <v>1763</v>
      </c>
      <c r="AF114" s="258">
        <f>IFERROR(__xludf.DUMMYFUNCTION("""COMPUTED_VALUE"""),6721.0)</f>
        <v>6721</v>
      </c>
      <c r="AG114" s="258">
        <f>IFERROR(__xludf.DUMMYFUNCTION("""COMPUTED_VALUE"""),0.0)</f>
        <v>0</v>
      </c>
      <c r="AH114" s="258">
        <f>IFERROR(__xludf.DUMMYFUNCTION("""COMPUTED_VALUE"""),0.0)</f>
        <v>0</v>
      </c>
    </row>
    <row r="115">
      <c r="A115" s="328">
        <f>IFERROR(__xludf.DUMMYFUNCTION("""COMPUTED_VALUE"""),44187.0)</f>
        <v>44187</v>
      </c>
      <c r="B115" s="329">
        <f>IFERROR(__xludf.DUMMYFUNCTION("""COMPUTED_VALUE"""),1079.0)</f>
        <v>1079</v>
      </c>
      <c r="C115" s="329">
        <f>IFERROR(__xludf.DUMMYFUNCTION("""COMPUTED_VALUE"""),908.0)</f>
        <v>908</v>
      </c>
      <c r="D115" s="329">
        <f>IFERROR(__xludf.DUMMYFUNCTION("""COMPUTED_VALUE"""),99469.0)</f>
        <v>99469</v>
      </c>
      <c r="E115" s="329">
        <f>IFERROR(__xludf.DUMMYFUNCTION("""COMPUTED_VALUE"""),16605.0)</f>
        <v>16605</v>
      </c>
      <c r="F115" s="258">
        <f>IFERROR(__xludf.DUMMYFUNCTION("""COMPUTED_VALUE"""),1789903.0)</f>
        <v>1789903</v>
      </c>
      <c r="G115" s="258">
        <f>IFERROR(__xludf.DUMMYFUNCTION("""COMPUTED_VALUE"""),17684.0)</f>
        <v>17684</v>
      </c>
      <c r="H115" s="258">
        <f>IFERROR(__xludf.DUMMYFUNCTION("""COMPUTED_VALUE"""),1889372.0)</f>
        <v>1889372</v>
      </c>
      <c r="I115" s="329">
        <f>IFERROR(__xludf.DUMMYFUNCTION("""COMPUTED_VALUE"""),928.0)</f>
        <v>928</v>
      </c>
      <c r="J115" s="329">
        <f>IFERROR(__xludf.DUMMYFUNCTION("""COMPUTED_VALUE"""),767.0)</f>
        <v>767</v>
      </c>
      <c r="K115" s="329">
        <f>IFERROR(__xludf.DUMMYFUNCTION("""COMPUTED_VALUE"""),82302.0)</f>
        <v>82302</v>
      </c>
      <c r="L115" s="329">
        <f>IFERROR(__xludf.DUMMYFUNCTION("""COMPUTED_VALUE"""),3304.0)</f>
        <v>3304</v>
      </c>
      <c r="M115" s="329">
        <f>IFERROR(__xludf.DUMMYFUNCTION("""COMPUTED_VALUE"""),507024.0)</f>
        <v>507024</v>
      </c>
      <c r="N115" s="329">
        <f>IFERROR(__xludf.DUMMYFUNCTION("""COMPUTED_VALUE"""),589326.0)</f>
        <v>589326</v>
      </c>
      <c r="O115" s="329">
        <f>IFERROR(__xludf.DUMMYFUNCTION("""COMPUTED_VALUE"""),51.0)</f>
        <v>51</v>
      </c>
      <c r="P115" s="329">
        <f>IFERROR(__xludf.DUMMYFUNCTION("""COMPUTED_VALUE"""),6122.0)</f>
        <v>6122</v>
      </c>
      <c r="Q115" s="329">
        <f>IFERROR(__xludf.DUMMYFUNCTION("""COMPUTED_VALUE"""),78.0)</f>
        <v>78</v>
      </c>
      <c r="R115" s="329">
        <f>IFERROR(__xludf.DUMMYFUNCTION("""COMPUTED_VALUE"""),5010.0)</f>
        <v>5010</v>
      </c>
      <c r="S115" s="329">
        <f>IFERROR(__xludf.DUMMYFUNCTION("""COMPUTED_VALUE"""),10.0)</f>
        <v>10</v>
      </c>
      <c r="T115" s="329">
        <f>IFERROR(__xludf.DUMMYFUNCTION("""COMPUTED_VALUE"""),661.0)</f>
        <v>661</v>
      </c>
      <c r="U115" s="329">
        <f>IFERROR(__xludf.DUMMYFUNCTION("""COMPUTED_VALUE"""),451.0)</f>
        <v>451</v>
      </c>
      <c r="V115" s="329">
        <f>IFERROR(__xludf.DUMMYFUNCTION("""COMPUTED_VALUE"""),471.0)</f>
        <v>471</v>
      </c>
      <c r="W115" s="329">
        <f>IFERROR(__xludf.DUMMYFUNCTION("""COMPUTED_VALUE"""),58.0)</f>
        <v>58</v>
      </c>
      <c r="X115" s="329">
        <f>IFERROR(__xludf.DUMMYFUNCTION("""COMPUTED_VALUE"""),40.0)</f>
        <v>40</v>
      </c>
      <c r="Y115" s="329">
        <f>IFERROR(__xludf.DUMMYFUNCTION("""COMPUTED_VALUE"""),18.0)</f>
        <v>18</v>
      </c>
      <c r="Z115" s="329">
        <f>IFERROR(__xludf.DUMMYFUNCTION("""COMPUTED_VALUE"""),1798.0)</f>
        <v>1798</v>
      </c>
      <c r="AA115" s="258">
        <f>IFERROR(__xludf.DUMMYFUNCTION("""COMPUTED_VALUE"""),1526.0)</f>
        <v>1526</v>
      </c>
      <c r="AB115" s="258">
        <f>IFERROR(__xludf.DUMMYFUNCTION("""COMPUTED_VALUE"""),0.0)</f>
        <v>0</v>
      </c>
      <c r="AC115" s="258">
        <f>IFERROR(__xludf.DUMMYFUNCTION("""COMPUTED_VALUE"""),1526.0)</f>
        <v>1526</v>
      </c>
      <c r="AD115" s="258">
        <f>IFERROR(__xludf.DUMMYFUNCTION("""COMPUTED_VALUE"""),8247.0)</f>
        <v>8247</v>
      </c>
      <c r="AE115" s="258">
        <f>IFERROR(__xludf.DUMMYFUNCTION("""COMPUTED_VALUE"""),1526.0)</f>
        <v>1526</v>
      </c>
      <c r="AF115" s="258">
        <f>IFERROR(__xludf.DUMMYFUNCTION("""COMPUTED_VALUE"""),8247.0)</f>
        <v>8247</v>
      </c>
      <c r="AG115" s="258">
        <f>IFERROR(__xludf.DUMMYFUNCTION("""COMPUTED_VALUE"""),0.0)</f>
        <v>0</v>
      </c>
      <c r="AH115" s="258">
        <f>IFERROR(__xludf.DUMMYFUNCTION("""COMPUTED_VALUE"""),0.0)</f>
        <v>0</v>
      </c>
    </row>
    <row r="116">
      <c r="A116" s="328">
        <f>IFERROR(__xludf.DUMMYFUNCTION("""COMPUTED_VALUE"""),44188.0)</f>
        <v>44188</v>
      </c>
      <c r="B116" s="329">
        <f>IFERROR(__xludf.DUMMYFUNCTION("""COMPUTED_VALUE"""),1092.0)</f>
        <v>1092</v>
      </c>
      <c r="C116" s="329">
        <f>IFERROR(__xludf.DUMMYFUNCTION("""COMPUTED_VALUE"""),1093.0)</f>
        <v>1093</v>
      </c>
      <c r="D116" s="329">
        <f>IFERROR(__xludf.DUMMYFUNCTION("""COMPUTED_VALUE"""),100561.0)</f>
        <v>100561</v>
      </c>
      <c r="E116" s="329">
        <f>IFERROR(__xludf.DUMMYFUNCTION("""COMPUTED_VALUE"""),19917.0)</f>
        <v>19917</v>
      </c>
      <c r="F116" s="258">
        <f>IFERROR(__xludf.DUMMYFUNCTION("""COMPUTED_VALUE"""),1809820.0)</f>
        <v>1809820</v>
      </c>
      <c r="G116" s="258">
        <f>IFERROR(__xludf.DUMMYFUNCTION("""COMPUTED_VALUE"""),21009.0)</f>
        <v>21009</v>
      </c>
      <c r="H116" s="258">
        <f>IFERROR(__xludf.DUMMYFUNCTION("""COMPUTED_VALUE"""),1910381.0)</f>
        <v>1910381</v>
      </c>
      <c r="I116" s="329">
        <f>IFERROR(__xludf.DUMMYFUNCTION("""COMPUTED_VALUE"""),953.0)</f>
        <v>953</v>
      </c>
      <c r="J116" s="329">
        <f>IFERROR(__xludf.DUMMYFUNCTION("""COMPUTED_VALUE"""),938.0)</f>
        <v>938</v>
      </c>
      <c r="K116" s="329">
        <f>IFERROR(__xludf.DUMMYFUNCTION("""COMPUTED_VALUE"""),83255.0)</f>
        <v>83255</v>
      </c>
      <c r="L116" s="329">
        <f>IFERROR(__xludf.DUMMYFUNCTION("""COMPUTED_VALUE"""),3686.0)</f>
        <v>3686</v>
      </c>
      <c r="M116" s="329">
        <f>IFERROR(__xludf.DUMMYFUNCTION("""COMPUTED_VALUE"""),510710.0)</f>
        <v>510710</v>
      </c>
      <c r="N116" s="329">
        <f>IFERROR(__xludf.DUMMYFUNCTION("""COMPUTED_VALUE"""),593965.0)</f>
        <v>593965</v>
      </c>
      <c r="O116" s="329">
        <f>IFERROR(__xludf.DUMMYFUNCTION("""COMPUTED_VALUE"""),61.0)</f>
        <v>61</v>
      </c>
      <c r="P116" s="329">
        <f>IFERROR(__xludf.DUMMYFUNCTION("""COMPUTED_VALUE"""),6183.0)</f>
        <v>6183</v>
      </c>
      <c r="Q116" s="329">
        <f>IFERROR(__xludf.DUMMYFUNCTION("""COMPUTED_VALUE"""),63.0)</f>
        <v>63</v>
      </c>
      <c r="R116" s="329">
        <f>IFERROR(__xludf.DUMMYFUNCTION("""COMPUTED_VALUE"""),5073.0)</f>
        <v>5073</v>
      </c>
      <c r="S116" s="329">
        <f>IFERROR(__xludf.DUMMYFUNCTION("""COMPUTED_VALUE"""),5.0)</f>
        <v>5</v>
      </c>
      <c r="T116" s="329">
        <f>IFERROR(__xludf.DUMMYFUNCTION("""COMPUTED_VALUE"""),666.0)</f>
        <v>666</v>
      </c>
      <c r="U116" s="329">
        <f>IFERROR(__xludf.DUMMYFUNCTION("""COMPUTED_VALUE"""),444.0)</f>
        <v>444</v>
      </c>
      <c r="V116" s="329">
        <f>IFERROR(__xludf.DUMMYFUNCTION("""COMPUTED_VALUE"""),461.0)</f>
        <v>461</v>
      </c>
      <c r="W116" s="329">
        <f>IFERROR(__xludf.DUMMYFUNCTION("""COMPUTED_VALUE"""),64.0)</f>
        <v>64</v>
      </c>
      <c r="X116" s="329">
        <f>IFERROR(__xludf.DUMMYFUNCTION("""COMPUTED_VALUE"""),41.0)</f>
        <v>41</v>
      </c>
      <c r="Y116" s="329">
        <f>IFERROR(__xludf.DUMMYFUNCTION("""COMPUTED_VALUE"""),10.0)</f>
        <v>10</v>
      </c>
      <c r="Z116" s="329">
        <f>IFERROR(__xludf.DUMMYFUNCTION("""COMPUTED_VALUE"""),1808.0)</f>
        <v>1808</v>
      </c>
      <c r="AA116" s="258">
        <f>IFERROR(__xludf.DUMMYFUNCTION("""COMPUTED_VALUE"""),1581.0)</f>
        <v>1581</v>
      </c>
      <c r="AB116" s="258">
        <f>IFERROR(__xludf.DUMMYFUNCTION("""COMPUTED_VALUE"""),0.0)</f>
        <v>0</v>
      </c>
      <c r="AC116" s="258">
        <f>IFERROR(__xludf.DUMMYFUNCTION("""COMPUTED_VALUE"""),1581.0)</f>
        <v>1581</v>
      </c>
      <c r="AD116" s="258">
        <f>IFERROR(__xludf.DUMMYFUNCTION("""COMPUTED_VALUE"""),9828.0)</f>
        <v>9828</v>
      </c>
      <c r="AE116" s="258">
        <f>IFERROR(__xludf.DUMMYFUNCTION("""COMPUTED_VALUE"""),1581.0)</f>
        <v>1581</v>
      </c>
      <c r="AF116" s="258">
        <f>IFERROR(__xludf.DUMMYFUNCTION("""COMPUTED_VALUE"""),9828.0)</f>
        <v>9828</v>
      </c>
      <c r="AG116" s="258">
        <f>IFERROR(__xludf.DUMMYFUNCTION("""COMPUTED_VALUE"""),0.0)</f>
        <v>0</v>
      </c>
      <c r="AH116" s="258">
        <f>IFERROR(__xludf.DUMMYFUNCTION("""COMPUTED_VALUE"""),0.0)</f>
        <v>0</v>
      </c>
    </row>
    <row r="117">
      <c r="A117" s="328">
        <f>IFERROR(__xludf.DUMMYFUNCTION("""COMPUTED_VALUE"""),44189.0)</f>
        <v>44189</v>
      </c>
      <c r="B117" s="329">
        <f>IFERROR(__xludf.DUMMYFUNCTION("""COMPUTED_VALUE"""),1076.0)</f>
        <v>1076</v>
      </c>
      <c r="C117" s="329">
        <f>IFERROR(__xludf.DUMMYFUNCTION("""COMPUTED_VALUE"""),1082.0)</f>
        <v>1082</v>
      </c>
      <c r="D117" s="329">
        <f>IFERROR(__xludf.DUMMYFUNCTION("""COMPUTED_VALUE"""),101637.0)</f>
        <v>101637</v>
      </c>
      <c r="E117" s="329">
        <f>IFERROR(__xludf.DUMMYFUNCTION("""COMPUTED_VALUE"""),17039.0)</f>
        <v>17039</v>
      </c>
      <c r="F117" s="258">
        <f>IFERROR(__xludf.DUMMYFUNCTION("""COMPUTED_VALUE"""),1826859.0)</f>
        <v>1826859</v>
      </c>
      <c r="G117" s="258">
        <f>IFERROR(__xludf.DUMMYFUNCTION("""COMPUTED_VALUE"""),18115.0)</f>
        <v>18115</v>
      </c>
      <c r="H117" s="258">
        <f>IFERROR(__xludf.DUMMYFUNCTION("""COMPUTED_VALUE"""),1928496.0)</f>
        <v>1928496</v>
      </c>
      <c r="I117" s="329">
        <f>IFERROR(__xludf.DUMMYFUNCTION("""COMPUTED_VALUE"""),892.0)</f>
        <v>892</v>
      </c>
      <c r="J117" s="329">
        <f>IFERROR(__xludf.DUMMYFUNCTION("""COMPUTED_VALUE"""),924.0)</f>
        <v>924</v>
      </c>
      <c r="K117" s="329">
        <f>IFERROR(__xludf.DUMMYFUNCTION("""COMPUTED_VALUE"""),84147.0)</f>
        <v>84147</v>
      </c>
      <c r="L117" s="329">
        <f>IFERROR(__xludf.DUMMYFUNCTION("""COMPUTED_VALUE"""),3346.0)</f>
        <v>3346</v>
      </c>
      <c r="M117" s="329">
        <f>IFERROR(__xludf.DUMMYFUNCTION("""COMPUTED_VALUE"""),514056.0)</f>
        <v>514056</v>
      </c>
      <c r="N117" s="329">
        <f>IFERROR(__xludf.DUMMYFUNCTION("""COMPUTED_VALUE"""),598203.0)</f>
        <v>598203</v>
      </c>
      <c r="O117" s="329">
        <f>IFERROR(__xludf.DUMMYFUNCTION("""COMPUTED_VALUE"""),52.0)</f>
        <v>52</v>
      </c>
      <c r="P117" s="329">
        <f>IFERROR(__xludf.DUMMYFUNCTION("""COMPUTED_VALUE"""),6235.0)</f>
        <v>6235</v>
      </c>
      <c r="Q117" s="329">
        <f>IFERROR(__xludf.DUMMYFUNCTION("""COMPUTED_VALUE"""),56.0)</f>
        <v>56</v>
      </c>
      <c r="R117" s="329">
        <f>IFERROR(__xludf.DUMMYFUNCTION("""COMPUTED_VALUE"""),5129.0)</f>
        <v>5129</v>
      </c>
      <c r="S117" s="329">
        <f>IFERROR(__xludf.DUMMYFUNCTION("""COMPUTED_VALUE"""),6.0)</f>
        <v>6</v>
      </c>
      <c r="T117" s="329">
        <f>IFERROR(__xludf.DUMMYFUNCTION("""COMPUTED_VALUE"""),672.0)</f>
        <v>672</v>
      </c>
      <c r="U117" s="329">
        <f>IFERROR(__xludf.DUMMYFUNCTION("""COMPUTED_VALUE"""),434.0)</f>
        <v>434</v>
      </c>
      <c r="V117" s="329">
        <f>IFERROR(__xludf.DUMMYFUNCTION("""COMPUTED_VALUE"""),443.0)</f>
        <v>443</v>
      </c>
      <c r="W117" s="329">
        <f>IFERROR(__xludf.DUMMYFUNCTION("""COMPUTED_VALUE"""),67.0)</f>
        <v>67</v>
      </c>
      <c r="X117" s="329">
        <f>IFERROR(__xludf.DUMMYFUNCTION("""COMPUTED_VALUE"""),44.0)</f>
        <v>44</v>
      </c>
      <c r="Y117" s="329">
        <f>IFERROR(__xludf.DUMMYFUNCTION("""COMPUTED_VALUE"""),17.0)</f>
        <v>17</v>
      </c>
      <c r="Z117" s="329">
        <f>IFERROR(__xludf.DUMMYFUNCTION("""COMPUTED_VALUE"""),1825.0)</f>
        <v>1825</v>
      </c>
      <c r="AA117" s="258">
        <f>IFERROR(__xludf.DUMMYFUNCTION("""COMPUTED_VALUE"""),639.0)</f>
        <v>639</v>
      </c>
      <c r="AB117" s="258">
        <f>IFERROR(__xludf.DUMMYFUNCTION("""COMPUTED_VALUE"""),0.0)</f>
        <v>0</v>
      </c>
      <c r="AC117" s="258">
        <f>IFERROR(__xludf.DUMMYFUNCTION("""COMPUTED_VALUE"""),639.0)</f>
        <v>639</v>
      </c>
      <c r="AD117" s="258">
        <f>IFERROR(__xludf.DUMMYFUNCTION("""COMPUTED_VALUE"""),10467.0)</f>
        <v>10467</v>
      </c>
      <c r="AE117" s="258">
        <f>IFERROR(__xludf.DUMMYFUNCTION("""COMPUTED_VALUE"""),639.0)</f>
        <v>639</v>
      </c>
      <c r="AF117" s="258">
        <f>IFERROR(__xludf.DUMMYFUNCTION("""COMPUTED_VALUE"""),10467.0)</f>
        <v>10467</v>
      </c>
      <c r="AG117" s="258">
        <f>IFERROR(__xludf.DUMMYFUNCTION("""COMPUTED_VALUE"""),0.0)</f>
        <v>0</v>
      </c>
      <c r="AH117" s="258">
        <f>IFERROR(__xludf.DUMMYFUNCTION("""COMPUTED_VALUE"""),0.0)</f>
        <v>0</v>
      </c>
    </row>
    <row r="118">
      <c r="A118" s="328">
        <f>IFERROR(__xludf.DUMMYFUNCTION("""COMPUTED_VALUE"""),44190.0)</f>
        <v>44190</v>
      </c>
      <c r="B118" s="329">
        <f>IFERROR(__xludf.DUMMYFUNCTION("""COMPUTED_VALUE"""),306.0)</f>
        <v>306</v>
      </c>
      <c r="C118" s="329">
        <f>IFERROR(__xludf.DUMMYFUNCTION("""COMPUTED_VALUE"""),825.0)</f>
        <v>825</v>
      </c>
      <c r="D118" s="329">
        <f>IFERROR(__xludf.DUMMYFUNCTION("""COMPUTED_VALUE"""),101943.0)</f>
        <v>101943</v>
      </c>
      <c r="E118" s="329">
        <f>IFERROR(__xludf.DUMMYFUNCTION("""COMPUTED_VALUE"""),3396.0)</f>
        <v>3396</v>
      </c>
      <c r="F118" s="258">
        <f>IFERROR(__xludf.DUMMYFUNCTION("""COMPUTED_VALUE"""),1830255.0)</f>
        <v>1830255</v>
      </c>
      <c r="G118" s="258">
        <f>IFERROR(__xludf.DUMMYFUNCTION("""COMPUTED_VALUE"""),3702.0)</f>
        <v>3702</v>
      </c>
      <c r="H118" s="258">
        <f>IFERROR(__xludf.DUMMYFUNCTION("""COMPUTED_VALUE"""),1932198.0)</f>
        <v>1932198</v>
      </c>
      <c r="I118" s="329">
        <f>IFERROR(__xludf.DUMMYFUNCTION("""COMPUTED_VALUE"""),244.0)</f>
        <v>244</v>
      </c>
      <c r="J118" s="329">
        <f>IFERROR(__xludf.DUMMYFUNCTION("""COMPUTED_VALUE"""),696.0)</f>
        <v>696</v>
      </c>
      <c r="K118" s="329">
        <f>IFERROR(__xludf.DUMMYFUNCTION("""COMPUTED_VALUE"""),84391.0)</f>
        <v>84391</v>
      </c>
      <c r="L118" s="329">
        <f>IFERROR(__xludf.DUMMYFUNCTION("""COMPUTED_VALUE"""),625.0)</f>
        <v>625</v>
      </c>
      <c r="M118" s="329">
        <f>IFERROR(__xludf.DUMMYFUNCTION("""COMPUTED_VALUE"""),514681.0)</f>
        <v>514681</v>
      </c>
      <c r="N118" s="329">
        <f>IFERROR(__xludf.DUMMYFUNCTION("""COMPUTED_VALUE"""),599072.0)</f>
        <v>599072</v>
      </c>
      <c r="O118" s="329">
        <f>IFERROR(__xludf.DUMMYFUNCTION("""COMPUTED_VALUE"""),51.0)</f>
        <v>51</v>
      </c>
      <c r="P118" s="329">
        <f>IFERROR(__xludf.DUMMYFUNCTION("""COMPUTED_VALUE"""),6286.0)</f>
        <v>6286</v>
      </c>
      <c r="Q118" s="329">
        <f>IFERROR(__xludf.DUMMYFUNCTION("""COMPUTED_VALUE"""),26.0)</f>
        <v>26</v>
      </c>
      <c r="R118" s="329">
        <f>IFERROR(__xludf.DUMMYFUNCTION("""COMPUTED_VALUE"""),5155.0)</f>
        <v>5155</v>
      </c>
      <c r="S118" s="329">
        <f>IFERROR(__xludf.DUMMYFUNCTION("""COMPUTED_VALUE"""),13.0)</f>
        <v>13</v>
      </c>
      <c r="T118" s="329">
        <f>IFERROR(__xludf.DUMMYFUNCTION("""COMPUTED_VALUE"""),685.0)</f>
        <v>685</v>
      </c>
      <c r="U118" s="329">
        <f>IFERROR(__xludf.DUMMYFUNCTION("""COMPUTED_VALUE"""),446.0)</f>
        <v>446</v>
      </c>
      <c r="V118" s="329">
        <f>IFERROR(__xludf.DUMMYFUNCTION("""COMPUTED_VALUE"""),441.0)</f>
        <v>441</v>
      </c>
      <c r="W118" s="329">
        <f>IFERROR(__xludf.DUMMYFUNCTION("""COMPUTED_VALUE"""),64.0)</f>
        <v>64</v>
      </c>
      <c r="X118" s="329">
        <f>IFERROR(__xludf.DUMMYFUNCTION("""COMPUTED_VALUE"""),45.0)</f>
        <v>45</v>
      </c>
      <c r="Y118" s="329">
        <f>IFERROR(__xludf.DUMMYFUNCTION("""COMPUTED_VALUE"""),21.0)</f>
        <v>21</v>
      </c>
      <c r="Z118" s="329">
        <f>IFERROR(__xludf.DUMMYFUNCTION("""COMPUTED_VALUE"""),1846.0)</f>
        <v>1846</v>
      </c>
      <c r="AA118" s="258">
        <f>IFERROR(__xludf.DUMMYFUNCTION("""COMPUTED_VALUE"""),1.0)</f>
        <v>1</v>
      </c>
      <c r="AB118" s="258">
        <f>IFERROR(__xludf.DUMMYFUNCTION("""COMPUTED_VALUE"""),0.0)</f>
        <v>0</v>
      </c>
      <c r="AC118" s="258">
        <f>IFERROR(__xludf.DUMMYFUNCTION("""COMPUTED_VALUE"""),1.0)</f>
        <v>1</v>
      </c>
      <c r="AD118" s="258">
        <f>IFERROR(__xludf.DUMMYFUNCTION("""COMPUTED_VALUE"""),10468.0)</f>
        <v>10468</v>
      </c>
      <c r="AE118" s="258">
        <f>IFERROR(__xludf.DUMMYFUNCTION("""COMPUTED_VALUE"""),1.0)</f>
        <v>1</v>
      </c>
      <c r="AF118" s="258">
        <f>IFERROR(__xludf.DUMMYFUNCTION("""COMPUTED_VALUE"""),10468.0)</f>
        <v>10468</v>
      </c>
      <c r="AG118" s="258">
        <f>IFERROR(__xludf.DUMMYFUNCTION("""COMPUTED_VALUE"""),0.0)</f>
        <v>0</v>
      </c>
      <c r="AH118" s="258">
        <f>IFERROR(__xludf.DUMMYFUNCTION("""COMPUTED_VALUE"""),0.0)</f>
        <v>0</v>
      </c>
    </row>
    <row r="119">
      <c r="A119" s="328">
        <f>IFERROR(__xludf.DUMMYFUNCTION("""COMPUTED_VALUE"""),44191.0)</f>
        <v>44191</v>
      </c>
      <c r="B119" s="329">
        <f>IFERROR(__xludf.DUMMYFUNCTION("""COMPUTED_VALUE"""),945.0)</f>
        <v>945</v>
      </c>
      <c r="C119" s="329">
        <f>IFERROR(__xludf.DUMMYFUNCTION("""COMPUTED_VALUE"""),776.0)</f>
        <v>776</v>
      </c>
      <c r="D119" s="329">
        <f>IFERROR(__xludf.DUMMYFUNCTION("""COMPUTED_VALUE"""),102888.0)</f>
        <v>102888</v>
      </c>
      <c r="E119" s="329">
        <f>IFERROR(__xludf.DUMMYFUNCTION("""COMPUTED_VALUE"""),10663.0)</f>
        <v>10663</v>
      </c>
      <c r="F119" s="258">
        <f>IFERROR(__xludf.DUMMYFUNCTION("""COMPUTED_VALUE"""),1840918.0)</f>
        <v>1840918</v>
      </c>
      <c r="G119" s="258">
        <f>IFERROR(__xludf.DUMMYFUNCTION("""COMPUTED_VALUE"""),11608.0)</f>
        <v>11608</v>
      </c>
      <c r="H119" s="258">
        <f>IFERROR(__xludf.DUMMYFUNCTION("""COMPUTED_VALUE"""),1943806.0)</f>
        <v>1943806</v>
      </c>
      <c r="I119" s="329">
        <f>IFERROR(__xludf.DUMMYFUNCTION("""COMPUTED_VALUE"""),815.0)</f>
        <v>815</v>
      </c>
      <c r="J119" s="329">
        <f>IFERROR(__xludf.DUMMYFUNCTION("""COMPUTED_VALUE"""),650.0)</f>
        <v>650</v>
      </c>
      <c r="K119" s="329">
        <f>IFERROR(__xludf.DUMMYFUNCTION("""COMPUTED_VALUE"""),85206.0)</f>
        <v>85206</v>
      </c>
      <c r="L119" s="329">
        <f>IFERROR(__xludf.DUMMYFUNCTION("""COMPUTED_VALUE"""),2160.0)</f>
        <v>2160</v>
      </c>
      <c r="M119" s="329">
        <f>IFERROR(__xludf.DUMMYFUNCTION("""COMPUTED_VALUE"""),516841.0)</f>
        <v>516841</v>
      </c>
      <c r="N119" s="329">
        <f>IFERROR(__xludf.DUMMYFUNCTION("""COMPUTED_VALUE"""),602047.0)</f>
        <v>602047</v>
      </c>
      <c r="O119" s="329">
        <f>IFERROR(__xludf.DUMMYFUNCTION("""COMPUTED_VALUE"""),57.0)</f>
        <v>57</v>
      </c>
      <c r="P119" s="329">
        <f>IFERROR(__xludf.DUMMYFUNCTION("""COMPUTED_VALUE"""),6343.0)</f>
        <v>6343</v>
      </c>
      <c r="Q119" s="329">
        <f>IFERROR(__xludf.DUMMYFUNCTION("""COMPUTED_VALUE"""),40.0)</f>
        <v>40</v>
      </c>
      <c r="R119" s="329">
        <f>IFERROR(__xludf.DUMMYFUNCTION("""COMPUTED_VALUE"""),5195.0)</f>
        <v>5195</v>
      </c>
      <c r="S119" s="329">
        <f>IFERROR(__xludf.DUMMYFUNCTION("""COMPUTED_VALUE"""),5.0)</f>
        <v>5</v>
      </c>
      <c r="T119" s="329">
        <f>IFERROR(__xludf.DUMMYFUNCTION("""COMPUTED_VALUE"""),690.0)</f>
        <v>690</v>
      </c>
      <c r="U119" s="329">
        <f>IFERROR(__xludf.DUMMYFUNCTION("""COMPUTED_VALUE"""),458.0)</f>
        <v>458</v>
      </c>
      <c r="V119" s="329">
        <f>IFERROR(__xludf.DUMMYFUNCTION("""COMPUTED_VALUE"""),446.0)</f>
        <v>446</v>
      </c>
      <c r="W119" s="329">
        <f>IFERROR(__xludf.DUMMYFUNCTION("""COMPUTED_VALUE"""),67.0)</f>
        <v>67</v>
      </c>
      <c r="X119" s="329">
        <f>IFERROR(__xludf.DUMMYFUNCTION("""COMPUTED_VALUE"""),54.0)</f>
        <v>54</v>
      </c>
      <c r="Y119" s="329">
        <f>IFERROR(__xludf.DUMMYFUNCTION("""COMPUTED_VALUE"""),11.0)</f>
        <v>11</v>
      </c>
      <c r="Z119" s="329">
        <f>IFERROR(__xludf.DUMMYFUNCTION("""COMPUTED_VALUE"""),1857.0)</f>
        <v>1857</v>
      </c>
      <c r="AA119" s="258">
        <f>IFERROR(__xludf.DUMMYFUNCTION("""COMPUTED_VALUE"""),973.0)</f>
        <v>973</v>
      </c>
      <c r="AB119" s="258">
        <f>IFERROR(__xludf.DUMMYFUNCTION("""COMPUTED_VALUE"""),0.0)</f>
        <v>0</v>
      </c>
      <c r="AC119" s="258">
        <f>IFERROR(__xludf.DUMMYFUNCTION("""COMPUTED_VALUE"""),973.0)</f>
        <v>973</v>
      </c>
      <c r="AD119" s="258">
        <f>IFERROR(__xludf.DUMMYFUNCTION("""COMPUTED_VALUE"""),11441.0)</f>
        <v>11441</v>
      </c>
      <c r="AE119" s="258">
        <f>IFERROR(__xludf.DUMMYFUNCTION("""COMPUTED_VALUE"""),973.0)</f>
        <v>973</v>
      </c>
      <c r="AF119" s="258">
        <f>IFERROR(__xludf.DUMMYFUNCTION("""COMPUTED_VALUE"""),11441.0)</f>
        <v>11441</v>
      </c>
      <c r="AG119" s="258">
        <f>IFERROR(__xludf.DUMMYFUNCTION("""COMPUTED_VALUE"""),0.0)</f>
        <v>0</v>
      </c>
      <c r="AH119" s="258">
        <f>IFERROR(__xludf.DUMMYFUNCTION("""COMPUTED_VALUE"""),0.0)</f>
        <v>0</v>
      </c>
    </row>
    <row r="120">
      <c r="A120" s="328">
        <f>IFERROR(__xludf.DUMMYFUNCTION("""COMPUTED_VALUE"""),44192.0)</f>
        <v>44192</v>
      </c>
      <c r="B120" s="329">
        <f>IFERROR(__xludf.DUMMYFUNCTION("""COMPUTED_VALUE"""),791.0)</f>
        <v>791</v>
      </c>
      <c r="C120" s="329">
        <f>IFERROR(__xludf.DUMMYFUNCTION("""COMPUTED_VALUE"""),681.0)</f>
        <v>681</v>
      </c>
      <c r="D120" s="329">
        <f>IFERROR(__xludf.DUMMYFUNCTION("""COMPUTED_VALUE"""),103679.0)</f>
        <v>103679</v>
      </c>
      <c r="E120" s="329">
        <f>IFERROR(__xludf.DUMMYFUNCTION("""COMPUTED_VALUE"""),7566.0)</f>
        <v>7566</v>
      </c>
      <c r="F120" s="258">
        <f>IFERROR(__xludf.DUMMYFUNCTION("""COMPUTED_VALUE"""),1848484.0)</f>
        <v>1848484</v>
      </c>
      <c r="G120" s="258">
        <f>IFERROR(__xludf.DUMMYFUNCTION("""COMPUTED_VALUE"""),8357.0)</f>
        <v>8357</v>
      </c>
      <c r="H120" s="258">
        <f>IFERROR(__xludf.DUMMYFUNCTION("""COMPUTED_VALUE"""),1952163.0)</f>
        <v>1952163</v>
      </c>
      <c r="I120" s="329">
        <f>IFERROR(__xludf.DUMMYFUNCTION("""COMPUTED_VALUE"""),689.0)</f>
        <v>689</v>
      </c>
      <c r="J120" s="329">
        <f>IFERROR(__xludf.DUMMYFUNCTION("""COMPUTED_VALUE"""),583.0)</f>
        <v>583</v>
      </c>
      <c r="K120" s="329">
        <f>IFERROR(__xludf.DUMMYFUNCTION("""COMPUTED_VALUE"""),85895.0)</f>
        <v>85895</v>
      </c>
      <c r="L120" s="329">
        <f>IFERROR(__xludf.DUMMYFUNCTION("""COMPUTED_VALUE"""),1898.0)</f>
        <v>1898</v>
      </c>
      <c r="M120" s="329">
        <f>IFERROR(__xludf.DUMMYFUNCTION("""COMPUTED_VALUE"""),518739.0)</f>
        <v>518739</v>
      </c>
      <c r="N120" s="329">
        <f>IFERROR(__xludf.DUMMYFUNCTION("""COMPUTED_VALUE"""),604634.0)</f>
        <v>604634</v>
      </c>
      <c r="O120" s="329">
        <f>IFERROR(__xludf.DUMMYFUNCTION("""COMPUTED_VALUE"""),45.0)</f>
        <v>45</v>
      </c>
      <c r="P120" s="329">
        <f>IFERROR(__xludf.DUMMYFUNCTION("""COMPUTED_VALUE"""),6388.0)</f>
        <v>6388</v>
      </c>
      <c r="Q120" s="329">
        <f>IFERROR(__xludf.DUMMYFUNCTION("""COMPUTED_VALUE"""),22.0)</f>
        <v>22</v>
      </c>
      <c r="R120" s="329">
        <f>IFERROR(__xludf.DUMMYFUNCTION("""COMPUTED_VALUE"""),5217.0)</f>
        <v>5217</v>
      </c>
      <c r="S120" s="329">
        <f>IFERROR(__xludf.DUMMYFUNCTION("""COMPUTED_VALUE"""),8.0)</f>
        <v>8</v>
      </c>
      <c r="T120" s="329">
        <f>IFERROR(__xludf.DUMMYFUNCTION("""COMPUTED_VALUE"""),698.0)</f>
        <v>698</v>
      </c>
      <c r="U120" s="329">
        <f>IFERROR(__xludf.DUMMYFUNCTION("""COMPUTED_VALUE"""),473.0)</f>
        <v>473</v>
      </c>
      <c r="V120" s="329">
        <f>IFERROR(__xludf.DUMMYFUNCTION("""COMPUTED_VALUE"""),459.0)</f>
        <v>459</v>
      </c>
      <c r="W120" s="329">
        <f>IFERROR(__xludf.DUMMYFUNCTION("""COMPUTED_VALUE"""),68.0)</f>
        <v>68</v>
      </c>
      <c r="X120" s="329">
        <f>IFERROR(__xludf.DUMMYFUNCTION("""COMPUTED_VALUE"""),51.0)</f>
        <v>51</v>
      </c>
      <c r="Y120" s="329">
        <f>IFERROR(__xludf.DUMMYFUNCTION("""COMPUTED_VALUE"""),13.0)</f>
        <v>13</v>
      </c>
      <c r="Z120" s="329">
        <f>IFERROR(__xludf.DUMMYFUNCTION("""COMPUTED_VALUE"""),1870.0)</f>
        <v>1870</v>
      </c>
      <c r="AA120" s="258">
        <f>IFERROR(__xludf.DUMMYFUNCTION("""COMPUTED_VALUE"""),835.0)</f>
        <v>835</v>
      </c>
      <c r="AB120" s="258">
        <f>IFERROR(__xludf.DUMMYFUNCTION("""COMPUTED_VALUE"""),0.0)</f>
        <v>0</v>
      </c>
      <c r="AC120" s="258">
        <f>IFERROR(__xludf.DUMMYFUNCTION("""COMPUTED_VALUE"""),835.0)</f>
        <v>835</v>
      </c>
      <c r="AD120" s="258">
        <f>IFERROR(__xludf.DUMMYFUNCTION("""COMPUTED_VALUE"""),12276.0)</f>
        <v>12276</v>
      </c>
      <c r="AE120" s="258">
        <f>IFERROR(__xludf.DUMMYFUNCTION("""COMPUTED_VALUE"""),835.0)</f>
        <v>835</v>
      </c>
      <c r="AF120" s="258">
        <f>IFERROR(__xludf.DUMMYFUNCTION("""COMPUTED_VALUE"""),12276.0)</f>
        <v>12276</v>
      </c>
      <c r="AG120" s="258">
        <f>IFERROR(__xludf.DUMMYFUNCTION("""COMPUTED_VALUE"""),0.0)</f>
        <v>0</v>
      </c>
      <c r="AH120" s="258">
        <f>IFERROR(__xludf.DUMMYFUNCTION("""COMPUTED_VALUE"""),0.0)</f>
        <v>0</v>
      </c>
    </row>
    <row r="121">
      <c r="A121" s="328">
        <f>IFERROR(__xludf.DUMMYFUNCTION("""COMPUTED_VALUE"""),44193.0)</f>
        <v>44193</v>
      </c>
      <c r="B121" s="329">
        <f>IFERROR(__xludf.DUMMYFUNCTION("""COMPUTED_VALUE"""),1500.0)</f>
        <v>1500</v>
      </c>
      <c r="C121" s="329">
        <f>IFERROR(__xludf.DUMMYFUNCTION("""COMPUTED_VALUE"""),1079.0)</f>
        <v>1079</v>
      </c>
      <c r="D121" s="329">
        <f>IFERROR(__xludf.DUMMYFUNCTION("""COMPUTED_VALUE"""),105179.0)</f>
        <v>105179</v>
      </c>
      <c r="E121" s="329">
        <f>IFERROR(__xludf.DUMMYFUNCTION("""COMPUTED_VALUE"""),12164.0)</f>
        <v>12164</v>
      </c>
      <c r="F121" s="258">
        <f>IFERROR(__xludf.DUMMYFUNCTION("""COMPUTED_VALUE"""),1860648.0)</f>
        <v>1860648</v>
      </c>
      <c r="G121" s="258">
        <f>IFERROR(__xludf.DUMMYFUNCTION("""COMPUTED_VALUE"""),13664.0)</f>
        <v>13664</v>
      </c>
      <c r="H121" s="258">
        <f>IFERROR(__xludf.DUMMYFUNCTION("""COMPUTED_VALUE"""),1965827.0)</f>
        <v>1965827</v>
      </c>
      <c r="I121" s="329">
        <f>IFERROR(__xludf.DUMMYFUNCTION("""COMPUTED_VALUE"""),1288.0)</f>
        <v>1288</v>
      </c>
      <c r="J121" s="329">
        <f>IFERROR(__xludf.DUMMYFUNCTION("""COMPUTED_VALUE"""),931.0)</f>
        <v>931</v>
      </c>
      <c r="K121" s="329">
        <f>IFERROR(__xludf.DUMMYFUNCTION("""COMPUTED_VALUE"""),87183.0)</f>
        <v>87183</v>
      </c>
      <c r="L121" s="329">
        <f>IFERROR(__xludf.DUMMYFUNCTION("""COMPUTED_VALUE"""),3211.0)</f>
        <v>3211</v>
      </c>
      <c r="M121" s="329">
        <f>IFERROR(__xludf.DUMMYFUNCTION("""COMPUTED_VALUE"""),521950.0)</f>
        <v>521950</v>
      </c>
      <c r="N121" s="329">
        <f>IFERROR(__xludf.DUMMYFUNCTION("""COMPUTED_VALUE"""),609133.0)</f>
        <v>609133</v>
      </c>
      <c r="O121" s="329">
        <f>IFERROR(__xludf.DUMMYFUNCTION("""COMPUTED_VALUE"""),56.0)</f>
        <v>56</v>
      </c>
      <c r="P121" s="329">
        <f>IFERROR(__xludf.DUMMYFUNCTION("""COMPUTED_VALUE"""),6444.0)</f>
        <v>6444</v>
      </c>
      <c r="Q121" s="329">
        <f>IFERROR(__xludf.DUMMYFUNCTION("""COMPUTED_VALUE"""),44.0)</f>
        <v>44</v>
      </c>
      <c r="R121" s="329">
        <f>IFERROR(__xludf.DUMMYFUNCTION("""COMPUTED_VALUE"""),5261.0)</f>
        <v>5261</v>
      </c>
      <c r="S121" s="329">
        <f>IFERROR(__xludf.DUMMYFUNCTION("""COMPUTED_VALUE"""),5.0)</f>
        <v>5</v>
      </c>
      <c r="T121" s="329">
        <f>IFERROR(__xludf.DUMMYFUNCTION("""COMPUTED_VALUE"""),703.0)</f>
        <v>703</v>
      </c>
      <c r="U121" s="329">
        <f>IFERROR(__xludf.DUMMYFUNCTION("""COMPUTED_VALUE"""),480.0)</f>
        <v>480</v>
      </c>
      <c r="V121" s="329">
        <f>IFERROR(__xludf.DUMMYFUNCTION("""COMPUTED_VALUE"""),470.0)</f>
        <v>470</v>
      </c>
      <c r="W121" s="329">
        <f>IFERROR(__xludf.DUMMYFUNCTION("""COMPUTED_VALUE"""),72.0)</f>
        <v>72</v>
      </c>
      <c r="X121" s="329">
        <f>IFERROR(__xludf.DUMMYFUNCTION("""COMPUTED_VALUE"""),50.0)</f>
        <v>50</v>
      </c>
      <c r="Y121" s="329">
        <f>IFERROR(__xludf.DUMMYFUNCTION("""COMPUTED_VALUE"""),14.0)</f>
        <v>14</v>
      </c>
      <c r="Z121" s="329">
        <f>IFERROR(__xludf.DUMMYFUNCTION("""COMPUTED_VALUE"""),1884.0)</f>
        <v>1884</v>
      </c>
      <c r="AA121" s="258">
        <f>IFERROR(__xludf.DUMMYFUNCTION("""COMPUTED_VALUE"""),3562.0)</f>
        <v>3562</v>
      </c>
      <c r="AB121" s="258">
        <f>IFERROR(__xludf.DUMMYFUNCTION("""COMPUTED_VALUE"""),0.0)</f>
        <v>0</v>
      </c>
      <c r="AC121" s="258">
        <f>IFERROR(__xludf.DUMMYFUNCTION("""COMPUTED_VALUE"""),3562.0)</f>
        <v>3562</v>
      </c>
      <c r="AD121" s="258">
        <f>IFERROR(__xludf.DUMMYFUNCTION("""COMPUTED_VALUE"""),15838.0)</f>
        <v>15838</v>
      </c>
      <c r="AE121" s="258">
        <f>IFERROR(__xludf.DUMMYFUNCTION("""COMPUTED_VALUE"""),3562.0)</f>
        <v>3562</v>
      </c>
      <c r="AF121" s="258">
        <f>IFERROR(__xludf.DUMMYFUNCTION("""COMPUTED_VALUE"""),15838.0)</f>
        <v>15838</v>
      </c>
      <c r="AG121" s="258">
        <f>IFERROR(__xludf.DUMMYFUNCTION("""COMPUTED_VALUE"""),0.0)</f>
        <v>0</v>
      </c>
      <c r="AH121" s="258">
        <f>IFERROR(__xludf.DUMMYFUNCTION("""COMPUTED_VALUE"""),0.0)</f>
        <v>0</v>
      </c>
    </row>
    <row r="122">
      <c r="A122" s="328">
        <f>IFERROR(__xludf.DUMMYFUNCTION("""COMPUTED_VALUE"""),44194.0)</f>
        <v>44194</v>
      </c>
      <c r="B122" s="329">
        <f>IFERROR(__xludf.DUMMYFUNCTION("""COMPUTED_VALUE"""),1357.0)</f>
        <v>1357</v>
      </c>
      <c r="C122" s="329">
        <f>IFERROR(__xludf.DUMMYFUNCTION("""COMPUTED_VALUE"""),1216.0)</f>
        <v>1216</v>
      </c>
      <c r="D122" s="329">
        <f>IFERROR(__xludf.DUMMYFUNCTION("""COMPUTED_VALUE"""),106536.0)</f>
        <v>106536</v>
      </c>
      <c r="E122" s="329">
        <f>IFERROR(__xludf.DUMMYFUNCTION("""COMPUTED_VALUE"""),13787.0)</f>
        <v>13787</v>
      </c>
      <c r="F122" s="258">
        <f>IFERROR(__xludf.DUMMYFUNCTION("""COMPUTED_VALUE"""),1874435.0)</f>
        <v>1874435</v>
      </c>
      <c r="G122" s="258">
        <f>IFERROR(__xludf.DUMMYFUNCTION("""COMPUTED_VALUE"""),15144.0)</f>
        <v>15144</v>
      </c>
      <c r="H122" s="258">
        <f>IFERROR(__xludf.DUMMYFUNCTION("""COMPUTED_VALUE"""),1980971.0)</f>
        <v>1980971</v>
      </c>
      <c r="I122" s="329">
        <f>IFERROR(__xludf.DUMMYFUNCTION("""COMPUTED_VALUE"""),1221.0)</f>
        <v>1221</v>
      </c>
      <c r="J122" s="329">
        <f>IFERROR(__xludf.DUMMYFUNCTION("""COMPUTED_VALUE"""),1066.0)</f>
        <v>1066</v>
      </c>
      <c r="K122" s="329">
        <f>IFERROR(__xludf.DUMMYFUNCTION("""COMPUTED_VALUE"""),88404.0)</f>
        <v>88404</v>
      </c>
      <c r="L122" s="329">
        <f>IFERROR(__xludf.DUMMYFUNCTION("""COMPUTED_VALUE"""),2753.0)</f>
        <v>2753</v>
      </c>
      <c r="M122" s="329">
        <f>IFERROR(__xludf.DUMMYFUNCTION("""COMPUTED_VALUE"""),524703.0)</f>
        <v>524703</v>
      </c>
      <c r="N122" s="329">
        <f>IFERROR(__xludf.DUMMYFUNCTION("""COMPUTED_VALUE"""),613107.0)</f>
        <v>613107</v>
      </c>
      <c r="O122" s="329">
        <f>IFERROR(__xludf.DUMMYFUNCTION("""COMPUTED_VALUE"""),59.0)</f>
        <v>59</v>
      </c>
      <c r="P122" s="329">
        <f>IFERROR(__xludf.DUMMYFUNCTION("""COMPUTED_VALUE"""),6503.0)</f>
        <v>6503</v>
      </c>
      <c r="Q122" s="329">
        <f>IFERROR(__xludf.DUMMYFUNCTION("""COMPUTED_VALUE"""),56.0)</f>
        <v>56</v>
      </c>
      <c r="R122" s="329">
        <f>IFERROR(__xludf.DUMMYFUNCTION("""COMPUTED_VALUE"""),5317.0)</f>
        <v>5317</v>
      </c>
      <c r="S122" s="329">
        <f>IFERROR(__xludf.DUMMYFUNCTION("""COMPUTED_VALUE"""),6.0)</f>
        <v>6</v>
      </c>
      <c r="T122" s="329">
        <f>IFERROR(__xludf.DUMMYFUNCTION("""COMPUTED_VALUE"""),709.0)</f>
        <v>709</v>
      </c>
      <c r="U122" s="329">
        <f>IFERROR(__xludf.DUMMYFUNCTION("""COMPUTED_VALUE"""),477.0)</f>
        <v>477</v>
      </c>
      <c r="V122" s="329">
        <f>IFERROR(__xludf.DUMMYFUNCTION("""COMPUTED_VALUE"""),477.0)</f>
        <v>477</v>
      </c>
      <c r="W122" s="329">
        <f>IFERROR(__xludf.DUMMYFUNCTION("""COMPUTED_VALUE"""),70.0)</f>
        <v>70</v>
      </c>
      <c r="X122" s="329">
        <f>IFERROR(__xludf.DUMMYFUNCTION("""COMPUTED_VALUE"""),53.0)</f>
        <v>53</v>
      </c>
      <c r="Y122" s="329">
        <f>IFERROR(__xludf.DUMMYFUNCTION("""COMPUTED_VALUE"""),17.0)</f>
        <v>17</v>
      </c>
      <c r="Z122" s="329">
        <f>IFERROR(__xludf.DUMMYFUNCTION("""COMPUTED_VALUE"""),1901.0)</f>
        <v>1901</v>
      </c>
      <c r="AA122" s="258">
        <f>IFERROR(__xludf.DUMMYFUNCTION("""COMPUTED_VALUE"""),3075.0)</f>
        <v>3075</v>
      </c>
      <c r="AB122" s="258">
        <f>IFERROR(__xludf.DUMMYFUNCTION("""COMPUTED_VALUE"""),0.0)</f>
        <v>0</v>
      </c>
      <c r="AC122" s="258">
        <f>IFERROR(__xludf.DUMMYFUNCTION("""COMPUTED_VALUE"""),3075.0)</f>
        <v>3075</v>
      </c>
      <c r="AD122" s="258">
        <f>IFERROR(__xludf.DUMMYFUNCTION("""COMPUTED_VALUE"""),18913.0)</f>
        <v>18913</v>
      </c>
      <c r="AE122" s="258">
        <f>IFERROR(__xludf.DUMMYFUNCTION("""COMPUTED_VALUE"""),3075.0)</f>
        <v>3075</v>
      </c>
      <c r="AF122" s="258">
        <f>IFERROR(__xludf.DUMMYFUNCTION("""COMPUTED_VALUE"""),18913.0)</f>
        <v>18913</v>
      </c>
      <c r="AG122" s="258">
        <f>IFERROR(__xludf.DUMMYFUNCTION("""COMPUTED_VALUE"""),0.0)</f>
        <v>0</v>
      </c>
      <c r="AH122" s="258">
        <f>IFERROR(__xludf.DUMMYFUNCTION("""COMPUTED_VALUE"""),0.0)</f>
        <v>0</v>
      </c>
    </row>
    <row r="123">
      <c r="A123" s="328">
        <f>IFERROR(__xludf.DUMMYFUNCTION("""COMPUTED_VALUE"""),44195.0)</f>
        <v>44195</v>
      </c>
      <c r="B123" s="329">
        <f>IFERROR(__xludf.DUMMYFUNCTION("""COMPUTED_VALUE"""),1539.0)</f>
        <v>1539</v>
      </c>
      <c r="C123" s="329">
        <f>IFERROR(__xludf.DUMMYFUNCTION("""COMPUTED_VALUE"""),1465.0)</f>
        <v>1465</v>
      </c>
      <c r="D123" s="329">
        <f>IFERROR(__xludf.DUMMYFUNCTION("""COMPUTED_VALUE"""),108075.0)</f>
        <v>108075</v>
      </c>
      <c r="E123" s="329">
        <f>IFERROR(__xludf.DUMMYFUNCTION("""COMPUTED_VALUE"""),20035.0)</f>
        <v>20035</v>
      </c>
      <c r="F123" s="258">
        <f>IFERROR(__xludf.DUMMYFUNCTION("""COMPUTED_VALUE"""),1894470.0)</f>
        <v>1894470</v>
      </c>
      <c r="G123" s="258">
        <f>IFERROR(__xludf.DUMMYFUNCTION("""COMPUTED_VALUE"""),21574.0)</f>
        <v>21574</v>
      </c>
      <c r="H123" s="258">
        <f>IFERROR(__xludf.DUMMYFUNCTION("""COMPUTED_VALUE"""),2002545.0)</f>
        <v>2002545</v>
      </c>
      <c r="I123" s="329">
        <f>IFERROR(__xludf.DUMMYFUNCTION("""COMPUTED_VALUE"""),1352.0)</f>
        <v>1352</v>
      </c>
      <c r="J123" s="329">
        <f>IFERROR(__xludf.DUMMYFUNCTION("""COMPUTED_VALUE"""),1287.0)</f>
        <v>1287</v>
      </c>
      <c r="K123" s="329">
        <f>IFERROR(__xludf.DUMMYFUNCTION("""COMPUTED_VALUE"""),89756.0)</f>
        <v>89756</v>
      </c>
      <c r="L123" s="329">
        <f>IFERROR(__xludf.DUMMYFUNCTION("""COMPUTED_VALUE"""),3468.0)</f>
        <v>3468</v>
      </c>
      <c r="M123" s="329">
        <f>IFERROR(__xludf.DUMMYFUNCTION("""COMPUTED_VALUE"""),528171.0)</f>
        <v>528171</v>
      </c>
      <c r="N123" s="329">
        <f>IFERROR(__xludf.DUMMYFUNCTION("""COMPUTED_VALUE"""),617927.0)</f>
        <v>617927</v>
      </c>
      <c r="O123" s="329">
        <f>IFERROR(__xludf.DUMMYFUNCTION("""COMPUTED_VALUE"""),60.0)</f>
        <v>60</v>
      </c>
      <c r="P123" s="329">
        <f>IFERROR(__xludf.DUMMYFUNCTION("""COMPUTED_VALUE"""),6563.0)</f>
        <v>6563</v>
      </c>
      <c r="Q123" s="329">
        <f>IFERROR(__xludf.DUMMYFUNCTION("""COMPUTED_VALUE"""),57.0)</f>
        <v>57</v>
      </c>
      <c r="R123" s="329">
        <f>IFERROR(__xludf.DUMMYFUNCTION("""COMPUTED_VALUE"""),5374.0)</f>
        <v>5374</v>
      </c>
      <c r="S123" s="329">
        <f>IFERROR(__xludf.DUMMYFUNCTION("""COMPUTED_VALUE"""),5.0)</f>
        <v>5</v>
      </c>
      <c r="T123" s="329">
        <f>IFERROR(__xludf.DUMMYFUNCTION("""COMPUTED_VALUE"""),714.0)</f>
        <v>714</v>
      </c>
      <c r="U123" s="329">
        <f>IFERROR(__xludf.DUMMYFUNCTION("""COMPUTED_VALUE"""),475.0)</f>
        <v>475</v>
      </c>
      <c r="V123" s="329">
        <f>IFERROR(__xludf.DUMMYFUNCTION("""COMPUTED_VALUE"""),477.0)</f>
        <v>477</v>
      </c>
      <c r="W123" s="329">
        <f>IFERROR(__xludf.DUMMYFUNCTION("""COMPUTED_VALUE"""),66.0)</f>
        <v>66</v>
      </c>
      <c r="X123" s="329">
        <f>IFERROR(__xludf.DUMMYFUNCTION("""COMPUTED_VALUE"""),49.0)</f>
        <v>49</v>
      </c>
      <c r="Y123" s="329">
        <f>IFERROR(__xludf.DUMMYFUNCTION("""COMPUTED_VALUE"""),11.0)</f>
        <v>11</v>
      </c>
      <c r="Z123" s="329">
        <f>IFERROR(__xludf.DUMMYFUNCTION("""COMPUTED_VALUE"""),1912.0)</f>
        <v>1912</v>
      </c>
      <c r="AA123" s="258">
        <f>IFERROR(__xludf.DUMMYFUNCTION("""COMPUTED_VALUE"""),3196.0)</f>
        <v>3196</v>
      </c>
      <c r="AB123" s="258">
        <f>IFERROR(__xludf.DUMMYFUNCTION("""COMPUTED_VALUE"""),0.0)</f>
        <v>0</v>
      </c>
      <c r="AC123" s="258">
        <f>IFERROR(__xludf.DUMMYFUNCTION("""COMPUTED_VALUE"""),3196.0)</f>
        <v>3196</v>
      </c>
      <c r="AD123" s="258">
        <f>IFERROR(__xludf.DUMMYFUNCTION("""COMPUTED_VALUE"""),22109.0)</f>
        <v>22109</v>
      </c>
      <c r="AE123" s="258">
        <f>IFERROR(__xludf.DUMMYFUNCTION("""COMPUTED_VALUE"""),3196.0)</f>
        <v>3196</v>
      </c>
      <c r="AF123" s="258">
        <f>IFERROR(__xludf.DUMMYFUNCTION("""COMPUTED_VALUE"""),22109.0)</f>
        <v>22109</v>
      </c>
      <c r="AG123" s="258">
        <f>IFERROR(__xludf.DUMMYFUNCTION("""COMPUTED_VALUE"""),0.0)</f>
        <v>0</v>
      </c>
      <c r="AH123" s="258">
        <f>IFERROR(__xludf.DUMMYFUNCTION("""COMPUTED_VALUE"""),0.0)</f>
        <v>0</v>
      </c>
    </row>
    <row r="124">
      <c r="A124" s="328">
        <f>IFERROR(__xludf.DUMMYFUNCTION("""COMPUTED_VALUE"""),44196.0)</f>
        <v>44196</v>
      </c>
      <c r="B124" s="329">
        <f>IFERROR(__xludf.DUMMYFUNCTION("""COMPUTED_VALUE"""),1008.0)</f>
        <v>1008</v>
      </c>
      <c r="C124" s="329">
        <f>IFERROR(__xludf.DUMMYFUNCTION("""COMPUTED_VALUE"""),1301.0)</f>
        <v>1301</v>
      </c>
      <c r="D124" s="329">
        <f>IFERROR(__xludf.DUMMYFUNCTION("""COMPUTED_VALUE"""),109083.0)</f>
        <v>109083</v>
      </c>
      <c r="E124" s="329">
        <f>IFERROR(__xludf.DUMMYFUNCTION("""COMPUTED_VALUE"""),13998.0)</f>
        <v>13998</v>
      </c>
      <c r="F124" s="258">
        <f>IFERROR(__xludf.DUMMYFUNCTION("""COMPUTED_VALUE"""),1908468.0)</f>
        <v>1908468</v>
      </c>
      <c r="G124" s="258">
        <f>IFERROR(__xludf.DUMMYFUNCTION("""COMPUTED_VALUE"""),15006.0)</f>
        <v>15006</v>
      </c>
      <c r="H124" s="258">
        <f>IFERROR(__xludf.DUMMYFUNCTION("""COMPUTED_VALUE"""),2017551.0)</f>
        <v>2017551</v>
      </c>
      <c r="I124" s="329">
        <f>IFERROR(__xludf.DUMMYFUNCTION("""COMPUTED_VALUE"""),875.0)</f>
        <v>875</v>
      </c>
      <c r="J124" s="329">
        <f>IFERROR(__xludf.DUMMYFUNCTION("""COMPUTED_VALUE"""),1149.0)</f>
        <v>1149</v>
      </c>
      <c r="K124" s="329">
        <f>IFERROR(__xludf.DUMMYFUNCTION("""COMPUTED_VALUE"""),90631.0)</f>
        <v>90631</v>
      </c>
      <c r="L124" s="329">
        <f>IFERROR(__xludf.DUMMYFUNCTION("""COMPUTED_VALUE"""),2916.0)</f>
        <v>2916</v>
      </c>
      <c r="M124" s="329">
        <f>IFERROR(__xludf.DUMMYFUNCTION("""COMPUTED_VALUE"""),531087.0)</f>
        <v>531087</v>
      </c>
      <c r="N124" s="329">
        <f>IFERROR(__xludf.DUMMYFUNCTION("""COMPUTED_VALUE"""),621718.0)</f>
        <v>621718</v>
      </c>
      <c r="O124" s="329">
        <f>IFERROR(__xludf.DUMMYFUNCTION("""COMPUTED_VALUE"""),57.0)</f>
        <v>57</v>
      </c>
      <c r="P124" s="329">
        <f>IFERROR(__xludf.DUMMYFUNCTION("""COMPUTED_VALUE"""),6620.0)</f>
        <v>6620</v>
      </c>
      <c r="Q124" s="329">
        <f>IFERROR(__xludf.DUMMYFUNCTION("""COMPUTED_VALUE"""),60.0)</f>
        <v>60</v>
      </c>
      <c r="R124" s="329">
        <f>IFERROR(__xludf.DUMMYFUNCTION("""COMPUTED_VALUE"""),5434.0)</f>
        <v>5434</v>
      </c>
      <c r="S124" s="329">
        <f>IFERROR(__xludf.DUMMYFUNCTION("""COMPUTED_VALUE"""),14.0)</f>
        <v>14</v>
      </c>
      <c r="T124" s="329">
        <f>IFERROR(__xludf.DUMMYFUNCTION("""COMPUTED_VALUE"""),728.0)</f>
        <v>728</v>
      </c>
      <c r="U124" s="329">
        <f>IFERROR(__xludf.DUMMYFUNCTION("""COMPUTED_VALUE"""),458.0)</f>
        <v>458</v>
      </c>
      <c r="V124" s="329">
        <f>IFERROR(__xludf.DUMMYFUNCTION("""COMPUTED_VALUE"""),470.0)</f>
        <v>470</v>
      </c>
      <c r="W124" s="329">
        <f>IFERROR(__xludf.DUMMYFUNCTION("""COMPUTED_VALUE"""),60.0)</f>
        <v>60</v>
      </c>
      <c r="X124" s="329">
        <f>IFERROR(__xludf.DUMMYFUNCTION("""COMPUTED_VALUE"""),44.0)</f>
        <v>44</v>
      </c>
      <c r="Y124" s="329">
        <f>IFERROR(__xludf.DUMMYFUNCTION("""COMPUTED_VALUE"""),19.0)</f>
        <v>19</v>
      </c>
      <c r="Z124" s="329">
        <f>IFERROR(__xludf.DUMMYFUNCTION("""COMPUTED_VALUE"""),1931.0)</f>
        <v>1931</v>
      </c>
      <c r="AA124" s="258">
        <f>IFERROR(__xludf.DUMMYFUNCTION("""COMPUTED_VALUE"""),794.0)</f>
        <v>794</v>
      </c>
      <c r="AB124" s="258">
        <f>IFERROR(__xludf.DUMMYFUNCTION("""COMPUTED_VALUE"""),0.0)</f>
        <v>0</v>
      </c>
      <c r="AC124" s="258">
        <f>IFERROR(__xludf.DUMMYFUNCTION("""COMPUTED_VALUE"""),794.0)</f>
        <v>794</v>
      </c>
      <c r="AD124" s="258">
        <f>IFERROR(__xludf.DUMMYFUNCTION("""COMPUTED_VALUE"""),22903.0)</f>
        <v>22903</v>
      </c>
      <c r="AE124" s="258">
        <f>IFERROR(__xludf.DUMMYFUNCTION("""COMPUTED_VALUE"""),794.0)</f>
        <v>794</v>
      </c>
      <c r="AF124" s="258">
        <f>IFERROR(__xludf.DUMMYFUNCTION("""COMPUTED_VALUE"""),22903.0)</f>
        <v>22903</v>
      </c>
      <c r="AG124" s="258">
        <f>IFERROR(__xludf.DUMMYFUNCTION("""COMPUTED_VALUE"""),0.0)</f>
        <v>0</v>
      </c>
      <c r="AH124" s="258">
        <f>IFERROR(__xludf.DUMMYFUNCTION("""COMPUTED_VALUE"""),0.0)</f>
        <v>0</v>
      </c>
    </row>
    <row r="125">
      <c r="A125" s="328">
        <f>IFERROR(__xludf.DUMMYFUNCTION("""COMPUTED_VALUE"""),44197.0)</f>
        <v>44197</v>
      </c>
      <c r="B125" s="329">
        <f>IFERROR(__xludf.DUMMYFUNCTION("""COMPUTED_VALUE"""),928.0)</f>
        <v>928</v>
      </c>
      <c r="C125" s="329">
        <f>IFERROR(__xludf.DUMMYFUNCTION("""COMPUTED_VALUE"""),1158.0)</f>
        <v>1158</v>
      </c>
      <c r="D125" s="329">
        <f>IFERROR(__xludf.DUMMYFUNCTION("""COMPUTED_VALUE"""),110011.0)</f>
        <v>110011</v>
      </c>
      <c r="E125" s="329">
        <f>IFERROR(__xludf.DUMMYFUNCTION("""COMPUTED_VALUE"""),10823.0)</f>
        <v>10823</v>
      </c>
      <c r="F125" s="258">
        <f>IFERROR(__xludf.DUMMYFUNCTION("""COMPUTED_VALUE"""),1919291.0)</f>
        <v>1919291</v>
      </c>
      <c r="G125" s="258">
        <f>IFERROR(__xludf.DUMMYFUNCTION("""COMPUTED_VALUE"""),11751.0)</f>
        <v>11751</v>
      </c>
      <c r="H125" s="258">
        <f>IFERROR(__xludf.DUMMYFUNCTION("""COMPUTED_VALUE"""),2029302.0)</f>
        <v>2029302</v>
      </c>
      <c r="I125" s="329">
        <f>IFERROR(__xludf.DUMMYFUNCTION("""COMPUTED_VALUE"""),806.0)</f>
        <v>806</v>
      </c>
      <c r="J125" s="329">
        <f>IFERROR(__xludf.DUMMYFUNCTION("""COMPUTED_VALUE"""),1011.0)</f>
        <v>1011</v>
      </c>
      <c r="K125" s="329">
        <f>IFERROR(__xludf.DUMMYFUNCTION("""COMPUTED_VALUE"""),91437.0)</f>
        <v>91437</v>
      </c>
      <c r="L125" s="329">
        <f>IFERROR(__xludf.DUMMYFUNCTION("""COMPUTED_VALUE"""),1924.0)</f>
        <v>1924</v>
      </c>
      <c r="M125" s="329">
        <f>IFERROR(__xludf.DUMMYFUNCTION("""COMPUTED_VALUE"""),533011.0)</f>
        <v>533011</v>
      </c>
      <c r="N125" s="329">
        <f>IFERROR(__xludf.DUMMYFUNCTION("""COMPUTED_VALUE"""),624448.0)</f>
        <v>624448</v>
      </c>
      <c r="O125" s="329">
        <f>IFERROR(__xludf.DUMMYFUNCTION("""COMPUTED_VALUE"""),52.0)</f>
        <v>52</v>
      </c>
      <c r="P125" s="329">
        <f>IFERROR(__xludf.DUMMYFUNCTION("""COMPUTED_VALUE"""),6672.0)</f>
        <v>6672</v>
      </c>
      <c r="Q125" s="329">
        <f>IFERROR(__xludf.DUMMYFUNCTION("""COMPUTED_VALUE"""),47.0)</f>
        <v>47</v>
      </c>
      <c r="R125" s="329">
        <f>IFERROR(__xludf.DUMMYFUNCTION("""COMPUTED_VALUE"""),5481.0)</f>
        <v>5481</v>
      </c>
      <c r="S125" s="329">
        <f>IFERROR(__xludf.DUMMYFUNCTION("""COMPUTED_VALUE"""),9.0)</f>
        <v>9</v>
      </c>
      <c r="T125" s="329">
        <f>IFERROR(__xludf.DUMMYFUNCTION("""COMPUTED_VALUE"""),737.0)</f>
        <v>737</v>
      </c>
      <c r="U125" s="329">
        <f>IFERROR(__xludf.DUMMYFUNCTION("""COMPUTED_VALUE"""),454.0)</f>
        <v>454</v>
      </c>
      <c r="V125" s="329">
        <f>IFERROR(__xludf.DUMMYFUNCTION("""COMPUTED_VALUE"""),462.0)</f>
        <v>462</v>
      </c>
      <c r="W125" s="329">
        <f>IFERROR(__xludf.DUMMYFUNCTION("""COMPUTED_VALUE"""),60.0)</f>
        <v>60</v>
      </c>
      <c r="X125" s="329">
        <f>IFERROR(__xludf.DUMMYFUNCTION("""COMPUTED_VALUE"""),46.0)</f>
        <v>46</v>
      </c>
      <c r="Y125" s="329">
        <f>IFERROR(__xludf.DUMMYFUNCTION("""COMPUTED_VALUE"""),14.0)</f>
        <v>14</v>
      </c>
      <c r="Z125" s="329">
        <f>IFERROR(__xludf.DUMMYFUNCTION("""COMPUTED_VALUE"""),1945.0)</f>
        <v>1945</v>
      </c>
      <c r="AA125" s="258">
        <f>IFERROR(__xludf.DUMMYFUNCTION("""COMPUTED_VALUE"""),63.0)</f>
        <v>63</v>
      </c>
      <c r="AB125" s="258">
        <f>IFERROR(__xludf.DUMMYFUNCTION("""COMPUTED_VALUE"""),0.0)</f>
        <v>0</v>
      </c>
      <c r="AC125" s="258">
        <f>IFERROR(__xludf.DUMMYFUNCTION("""COMPUTED_VALUE"""),63.0)</f>
        <v>63</v>
      </c>
      <c r="AD125" s="258">
        <f>IFERROR(__xludf.DUMMYFUNCTION("""COMPUTED_VALUE"""),22966.0)</f>
        <v>22966</v>
      </c>
      <c r="AE125" s="258">
        <f>IFERROR(__xludf.DUMMYFUNCTION("""COMPUTED_VALUE"""),63.0)</f>
        <v>63</v>
      </c>
      <c r="AF125" s="258">
        <f>IFERROR(__xludf.DUMMYFUNCTION("""COMPUTED_VALUE"""),22966.0)</f>
        <v>22966</v>
      </c>
      <c r="AG125" s="258">
        <f>IFERROR(__xludf.DUMMYFUNCTION("""COMPUTED_VALUE"""),0.0)</f>
        <v>0</v>
      </c>
      <c r="AH125" s="258">
        <f>IFERROR(__xludf.DUMMYFUNCTION("""COMPUTED_VALUE"""),0.0)</f>
        <v>0</v>
      </c>
    </row>
    <row r="126">
      <c r="A126" s="328">
        <f>IFERROR(__xludf.DUMMYFUNCTION("""COMPUTED_VALUE"""),44198.0)</f>
        <v>44198</v>
      </c>
      <c r="B126" s="329">
        <f>IFERROR(__xludf.DUMMYFUNCTION("""COMPUTED_VALUE"""),1027.0)</f>
        <v>1027</v>
      </c>
      <c r="C126" s="329">
        <f>IFERROR(__xludf.DUMMYFUNCTION("""COMPUTED_VALUE"""),988.0)</f>
        <v>988</v>
      </c>
      <c r="D126" s="329">
        <f>IFERROR(__xludf.DUMMYFUNCTION("""COMPUTED_VALUE"""),111038.0)</f>
        <v>111038</v>
      </c>
      <c r="E126" s="329">
        <f>IFERROR(__xludf.DUMMYFUNCTION("""COMPUTED_VALUE"""),9835.0)</f>
        <v>9835</v>
      </c>
      <c r="F126" s="258">
        <f>IFERROR(__xludf.DUMMYFUNCTION("""COMPUTED_VALUE"""),1929126.0)</f>
        <v>1929126</v>
      </c>
      <c r="G126" s="258">
        <f>IFERROR(__xludf.DUMMYFUNCTION("""COMPUTED_VALUE"""),10862.0)</f>
        <v>10862</v>
      </c>
      <c r="H126" s="258">
        <f>IFERROR(__xludf.DUMMYFUNCTION("""COMPUTED_VALUE"""),2040164.0)</f>
        <v>2040164</v>
      </c>
      <c r="I126" s="329">
        <f>IFERROR(__xludf.DUMMYFUNCTION("""COMPUTED_VALUE"""),901.0)</f>
        <v>901</v>
      </c>
      <c r="J126" s="329">
        <f>IFERROR(__xludf.DUMMYFUNCTION("""COMPUTED_VALUE"""),861.0)</f>
        <v>861</v>
      </c>
      <c r="K126" s="329">
        <f>IFERROR(__xludf.DUMMYFUNCTION("""COMPUTED_VALUE"""),92338.0)</f>
        <v>92338</v>
      </c>
      <c r="L126" s="329">
        <f>IFERROR(__xludf.DUMMYFUNCTION("""COMPUTED_VALUE"""),2170.0)</f>
        <v>2170</v>
      </c>
      <c r="M126" s="329">
        <f>IFERROR(__xludf.DUMMYFUNCTION("""COMPUTED_VALUE"""),535181.0)</f>
        <v>535181</v>
      </c>
      <c r="N126" s="329">
        <f>IFERROR(__xludf.DUMMYFUNCTION("""COMPUTED_VALUE"""),627519.0)</f>
        <v>627519</v>
      </c>
      <c r="O126" s="329">
        <f>IFERROR(__xludf.DUMMYFUNCTION("""COMPUTED_VALUE"""),51.0)</f>
        <v>51</v>
      </c>
      <c r="P126" s="329">
        <f>IFERROR(__xludf.DUMMYFUNCTION("""COMPUTED_VALUE"""),6723.0)</f>
        <v>6723</v>
      </c>
      <c r="Q126" s="329">
        <f>IFERROR(__xludf.DUMMYFUNCTION("""COMPUTED_VALUE"""),33.0)</f>
        <v>33</v>
      </c>
      <c r="R126" s="329">
        <f>IFERROR(__xludf.DUMMYFUNCTION("""COMPUTED_VALUE"""),5514.0)</f>
        <v>5514</v>
      </c>
      <c r="S126" s="329">
        <f>IFERROR(__xludf.DUMMYFUNCTION("""COMPUTED_VALUE"""),5.0)</f>
        <v>5</v>
      </c>
      <c r="T126" s="329">
        <f>IFERROR(__xludf.DUMMYFUNCTION("""COMPUTED_VALUE"""),742.0)</f>
        <v>742</v>
      </c>
      <c r="U126" s="329">
        <f>IFERROR(__xludf.DUMMYFUNCTION("""COMPUTED_VALUE"""),467.0)</f>
        <v>467</v>
      </c>
      <c r="V126" s="329">
        <f>IFERROR(__xludf.DUMMYFUNCTION("""COMPUTED_VALUE"""),460.0)</f>
        <v>460</v>
      </c>
      <c r="W126" s="329">
        <f>IFERROR(__xludf.DUMMYFUNCTION("""COMPUTED_VALUE"""),59.0)</f>
        <v>59</v>
      </c>
      <c r="X126" s="329">
        <f>IFERROR(__xludf.DUMMYFUNCTION("""COMPUTED_VALUE"""),42.0)</f>
        <v>42</v>
      </c>
      <c r="Y126" s="329">
        <f>IFERROR(__xludf.DUMMYFUNCTION("""COMPUTED_VALUE"""),13.0)</f>
        <v>13</v>
      </c>
      <c r="Z126" s="329">
        <f>IFERROR(__xludf.DUMMYFUNCTION("""COMPUTED_VALUE"""),1958.0)</f>
        <v>1958</v>
      </c>
      <c r="AA126" s="258">
        <f>IFERROR(__xludf.DUMMYFUNCTION("""COMPUTED_VALUE"""),1746.0)</f>
        <v>1746</v>
      </c>
      <c r="AB126" s="258">
        <f>IFERROR(__xludf.DUMMYFUNCTION("""COMPUTED_VALUE"""),20.0)</f>
        <v>20</v>
      </c>
      <c r="AC126" s="258">
        <f>IFERROR(__xludf.DUMMYFUNCTION("""COMPUTED_VALUE"""),1766.0)</f>
        <v>1766</v>
      </c>
      <c r="AD126" s="258">
        <f>IFERROR(__xludf.DUMMYFUNCTION("""COMPUTED_VALUE"""),24732.0)</f>
        <v>24732</v>
      </c>
      <c r="AE126" s="258">
        <f>IFERROR(__xludf.DUMMYFUNCTION("""COMPUTED_VALUE"""),1746.0)</f>
        <v>1746</v>
      </c>
      <c r="AF126" s="258">
        <f>IFERROR(__xludf.DUMMYFUNCTION("""COMPUTED_VALUE"""),24712.0)</f>
        <v>24712</v>
      </c>
      <c r="AG126" s="258">
        <f>IFERROR(__xludf.DUMMYFUNCTION("""COMPUTED_VALUE"""),20.0)</f>
        <v>20</v>
      </c>
      <c r="AH126" s="258">
        <f>IFERROR(__xludf.DUMMYFUNCTION("""COMPUTED_VALUE"""),20.0)</f>
        <v>20</v>
      </c>
    </row>
    <row r="127">
      <c r="A127" s="328">
        <f>IFERROR(__xludf.DUMMYFUNCTION("""COMPUTED_VALUE"""),44199.0)</f>
        <v>44199</v>
      </c>
      <c r="B127" s="329">
        <f>IFERROR(__xludf.DUMMYFUNCTION("""COMPUTED_VALUE"""),760.0)</f>
        <v>760</v>
      </c>
      <c r="C127" s="329">
        <f>IFERROR(__xludf.DUMMYFUNCTION("""COMPUTED_VALUE"""),905.0)</f>
        <v>905</v>
      </c>
      <c r="D127" s="329">
        <f>IFERROR(__xludf.DUMMYFUNCTION("""COMPUTED_VALUE"""),111798.0)</f>
        <v>111798</v>
      </c>
      <c r="E127" s="329">
        <f>IFERROR(__xludf.DUMMYFUNCTION("""COMPUTED_VALUE"""),8247.0)</f>
        <v>8247</v>
      </c>
      <c r="F127" s="258">
        <f>IFERROR(__xludf.DUMMYFUNCTION("""COMPUTED_VALUE"""),1937373.0)</f>
        <v>1937373</v>
      </c>
      <c r="G127" s="258">
        <f>IFERROR(__xludf.DUMMYFUNCTION("""COMPUTED_VALUE"""),9007.0)</f>
        <v>9007</v>
      </c>
      <c r="H127" s="258">
        <f>IFERROR(__xludf.DUMMYFUNCTION("""COMPUTED_VALUE"""),2049171.0)</f>
        <v>2049171</v>
      </c>
      <c r="I127" s="329">
        <f>IFERROR(__xludf.DUMMYFUNCTION("""COMPUTED_VALUE"""),651.0)</f>
        <v>651</v>
      </c>
      <c r="J127" s="329">
        <f>IFERROR(__xludf.DUMMYFUNCTION("""COMPUTED_VALUE"""),786.0)</f>
        <v>786</v>
      </c>
      <c r="K127" s="329">
        <f>IFERROR(__xludf.DUMMYFUNCTION("""COMPUTED_VALUE"""),92989.0)</f>
        <v>92989</v>
      </c>
      <c r="L127" s="329">
        <f>IFERROR(__xludf.DUMMYFUNCTION("""COMPUTED_VALUE"""),2118.0)</f>
        <v>2118</v>
      </c>
      <c r="M127" s="329">
        <f>IFERROR(__xludf.DUMMYFUNCTION("""COMPUTED_VALUE"""),537299.0)</f>
        <v>537299</v>
      </c>
      <c r="N127" s="329">
        <f>IFERROR(__xludf.DUMMYFUNCTION("""COMPUTED_VALUE"""),630288.0)</f>
        <v>630288</v>
      </c>
      <c r="O127" s="329">
        <f>IFERROR(__xludf.DUMMYFUNCTION("""COMPUTED_VALUE"""),39.0)</f>
        <v>39</v>
      </c>
      <c r="P127" s="329">
        <f>IFERROR(__xludf.DUMMYFUNCTION("""COMPUTED_VALUE"""),6762.0)</f>
        <v>6762</v>
      </c>
      <c r="Q127" s="329">
        <f>IFERROR(__xludf.DUMMYFUNCTION("""COMPUTED_VALUE"""),40.0)</f>
        <v>40</v>
      </c>
      <c r="R127" s="329">
        <f>IFERROR(__xludf.DUMMYFUNCTION("""COMPUTED_VALUE"""),5554.0)</f>
        <v>5554</v>
      </c>
      <c r="S127" s="329">
        <f>IFERROR(__xludf.DUMMYFUNCTION("""COMPUTED_VALUE"""),9.0)</f>
        <v>9</v>
      </c>
      <c r="T127" s="329">
        <f>IFERROR(__xludf.DUMMYFUNCTION("""COMPUTED_VALUE"""),751.0)</f>
        <v>751</v>
      </c>
      <c r="U127" s="329">
        <f>IFERROR(__xludf.DUMMYFUNCTION("""COMPUTED_VALUE"""),457.0)</f>
        <v>457</v>
      </c>
      <c r="V127" s="329">
        <f>IFERROR(__xludf.DUMMYFUNCTION("""COMPUTED_VALUE"""),459.0)</f>
        <v>459</v>
      </c>
      <c r="W127" s="329">
        <f>IFERROR(__xludf.DUMMYFUNCTION("""COMPUTED_VALUE"""),61.0)</f>
        <v>61</v>
      </c>
      <c r="X127" s="329">
        <f>IFERROR(__xludf.DUMMYFUNCTION("""COMPUTED_VALUE"""),42.0)</f>
        <v>42</v>
      </c>
      <c r="Y127" s="329">
        <f>IFERROR(__xludf.DUMMYFUNCTION("""COMPUTED_VALUE"""),17.0)</f>
        <v>17</v>
      </c>
      <c r="Z127" s="329">
        <f>IFERROR(__xludf.DUMMYFUNCTION("""COMPUTED_VALUE"""),1975.0)</f>
        <v>1975</v>
      </c>
      <c r="AA127" s="258">
        <f>IFERROR(__xludf.DUMMYFUNCTION("""COMPUTED_VALUE"""),1723.0)</f>
        <v>1723</v>
      </c>
      <c r="AB127" s="258">
        <f>IFERROR(__xludf.DUMMYFUNCTION("""COMPUTED_VALUE"""),102.0)</f>
        <v>102</v>
      </c>
      <c r="AC127" s="258">
        <f>IFERROR(__xludf.DUMMYFUNCTION("""COMPUTED_VALUE"""),1825.0)</f>
        <v>1825</v>
      </c>
      <c r="AD127" s="258">
        <f>IFERROR(__xludf.DUMMYFUNCTION("""COMPUTED_VALUE"""),26557.0)</f>
        <v>26557</v>
      </c>
      <c r="AE127" s="258">
        <f>IFERROR(__xludf.DUMMYFUNCTION("""COMPUTED_VALUE"""),1723.0)</f>
        <v>1723</v>
      </c>
      <c r="AF127" s="258">
        <f>IFERROR(__xludf.DUMMYFUNCTION("""COMPUTED_VALUE"""),26435.0)</f>
        <v>26435</v>
      </c>
      <c r="AG127" s="258">
        <f>IFERROR(__xludf.DUMMYFUNCTION("""COMPUTED_VALUE"""),102.0)</f>
        <v>102</v>
      </c>
      <c r="AH127" s="258">
        <f>IFERROR(__xludf.DUMMYFUNCTION("""COMPUTED_VALUE"""),122.0)</f>
        <v>122</v>
      </c>
    </row>
    <row r="128">
      <c r="A128" s="328">
        <f>IFERROR(__xludf.DUMMYFUNCTION("""COMPUTED_VALUE"""),44200.0)</f>
        <v>44200</v>
      </c>
      <c r="B128" s="329">
        <f>IFERROR(__xludf.DUMMYFUNCTION("""COMPUTED_VALUE"""),1264.0)</f>
        <v>1264</v>
      </c>
      <c r="C128" s="329">
        <f>IFERROR(__xludf.DUMMYFUNCTION("""COMPUTED_VALUE"""),1017.0)</f>
        <v>1017</v>
      </c>
      <c r="D128" s="329">
        <f>IFERROR(__xludf.DUMMYFUNCTION("""COMPUTED_VALUE"""),113062.0)</f>
        <v>113062</v>
      </c>
      <c r="E128" s="329">
        <f>IFERROR(__xludf.DUMMYFUNCTION("""COMPUTED_VALUE"""),11850.0)</f>
        <v>11850</v>
      </c>
      <c r="F128" s="258">
        <f>IFERROR(__xludf.DUMMYFUNCTION("""COMPUTED_VALUE"""),1949223.0)</f>
        <v>1949223</v>
      </c>
      <c r="G128" s="258">
        <f>IFERROR(__xludf.DUMMYFUNCTION("""COMPUTED_VALUE"""),13114.0)</f>
        <v>13114</v>
      </c>
      <c r="H128" s="258">
        <f>IFERROR(__xludf.DUMMYFUNCTION("""COMPUTED_VALUE"""),2062285.0)</f>
        <v>2062285</v>
      </c>
      <c r="I128" s="329">
        <f>IFERROR(__xludf.DUMMYFUNCTION("""COMPUTED_VALUE"""),1129.0)</f>
        <v>1129</v>
      </c>
      <c r="J128" s="329">
        <f>IFERROR(__xludf.DUMMYFUNCTION("""COMPUTED_VALUE"""),894.0)</f>
        <v>894</v>
      </c>
      <c r="K128" s="329">
        <f>IFERROR(__xludf.DUMMYFUNCTION("""COMPUTED_VALUE"""),94118.0)</f>
        <v>94118</v>
      </c>
      <c r="L128" s="329">
        <f>IFERROR(__xludf.DUMMYFUNCTION("""COMPUTED_VALUE"""),2955.0)</f>
        <v>2955</v>
      </c>
      <c r="M128" s="329">
        <f>IFERROR(__xludf.DUMMYFUNCTION("""COMPUTED_VALUE"""),540254.0)</f>
        <v>540254</v>
      </c>
      <c r="N128" s="329">
        <f>IFERROR(__xludf.DUMMYFUNCTION("""COMPUTED_VALUE"""),634372.0)</f>
        <v>634372</v>
      </c>
      <c r="O128" s="329">
        <f>IFERROR(__xludf.DUMMYFUNCTION("""COMPUTED_VALUE"""),68.0)</f>
        <v>68</v>
      </c>
      <c r="P128" s="329">
        <f>IFERROR(__xludf.DUMMYFUNCTION("""COMPUTED_VALUE"""),6830.0)</f>
        <v>6830</v>
      </c>
      <c r="Q128" s="329">
        <f>IFERROR(__xludf.DUMMYFUNCTION("""COMPUTED_VALUE"""),60.0)</f>
        <v>60</v>
      </c>
      <c r="R128" s="329">
        <f>IFERROR(__xludf.DUMMYFUNCTION("""COMPUTED_VALUE"""),5614.0)</f>
        <v>5614</v>
      </c>
      <c r="S128" s="329">
        <f>IFERROR(__xludf.DUMMYFUNCTION("""COMPUTED_VALUE"""),12.0)</f>
        <v>12</v>
      </c>
      <c r="T128" s="329">
        <f>IFERROR(__xludf.DUMMYFUNCTION("""COMPUTED_VALUE"""),763.0)</f>
        <v>763</v>
      </c>
      <c r="U128" s="329">
        <f>IFERROR(__xludf.DUMMYFUNCTION("""COMPUTED_VALUE"""),453.0)</f>
        <v>453</v>
      </c>
      <c r="V128" s="329">
        <f>IFERROR(__xludf.DUMMYFUNCTION("""COMPUTED_VALUE"""),459.0)</f>
        <v>459</v>
      </c>
      <c r="W128" s="329">
        <f>IFERROR(__xludf.DUMMYFUNCTION("""COMPUTED_VALUE"""),64.0)</f>
        <v>64</v>
      </c>
      <c r="X128" s="329">
        <f>IFERROR(__xludf.DUMMYFUNCTION("""COMPUTED_VALUE"""),42.0)</f>
        <v>42</v>
      </c>
      <c r="Y128" s="329">
        <f>IFERROR(__xludf.DUMMYFUNCTION("""COMPUTED_VALUE"""),19.0)</f>
        <v>19</v>
      </c>
      <c r="Z128" s="329">
        <f>IFERROR(__xludf.DUMMYFUNCTION("""COMPUTED_VALUE"""),1994.0)</f>
        <v>1994</v>
      </c>
      <c r="AA128" s="258">
        <f>IFERROR(__xludf.DUMMYFUNCTION("""COMPUTED_VALUE"""),2336.0)</f>
        <v>2336</v>
      </c>
      <c r="AB128" s="258">
        <f>IFERROR(__xludf.DUMMYFUNCTION("""COMPUTED_VALUE"""),282.0)</f>
        <v>282</v>
      </c>
      <c r="AC128" s="258">
        <f>IFERROR(__xludf.DUMMYFUNCTION("""COMPUTED_VALUE"""),2618.0)</f>
        <v>2618</v>
      </c>
      <c r="AD128" s="258">
        <f>IFERROR(__xludf.DUMMYFUNCTION("""COMPUTED_VALUE"""),29175.0)</f>
        <v>29175</v>
      </c>
      <c r="AE128" s="258">
        <f>IFERROR(__xludf.DUMMYFUNCTION("""COMPUTED_VALUE"""),2336.0)</f>
        <v>2336</v>
      </c>
      <c r="AF128" s="258">
        <f>IFERROR(__xludf.DUMMYFUNCTION("""COMPUTED_VALUE"""),28771.0)</f>
        <v>28771</v>
      </c>
      <c r="AG128" s="258">
        <f>IFERROR(__xludf.DUMMYFUNCTION("""COMPUTED_VALUE"""),282.0)</f>
        <v>282</v>
      </c>
      <c r="AH128" s="258">
        <f>IFERROR(__xludf.DUMMYFUNCTION("""COMPUTED_VALUE"""),404.0)</f>
        <v>404</v>
      </c>
    </row>
    <row r="129">
      <c r="A129" s="328">
        <f>IFERROR(__xludf.DUMMYFUNCTION("""COMPUTED_VALUE"""),44201.0)</f>
        <v>44201</v>
      </c>
      <c r="B129" s="329">
        <f>IFERROR(__xludf.DUMMYFUNCTION("""COMPUTED_VALUE"""),1882.0)</f>
        <v>1882</v>
      </c>
      <c r="C129" s="329">
        <f>IFERROR(__xludf.DUMMYFUNCTION("""COMPUTED_VALUE"""),1302.0)</f>
        <v>1302</v>
      </c>
      <c r="D129" s="329">
        <f>IFERROR(__xludf.DUMMYFUNCTION("""COMPUTED_VALUE"""),114944.0)</f>
        <v>114944</v>
      </c>
      <c r="E129" s="329">
        <f>IFERROR(__xludf.DUMMYFUNCTION("""COMPUTED_VALUE"""),19204.0)</f>
        <v>19204</v>
      </c>
      <c r="F129" s="258">
        <f>IFERROR(__xludf.DUMMYFUNCTION("""COMPUTED_VALUE"""),1968427.0)</f>
        <v>1968427</v>
      </c>
      <c r="G129" s="258">
        <f>IFERROR(__xludf.DUMMYFUNCTION("""COMPUTED_VALUE"""),21086.0)</f>
        <v>21086</v>
      </c>
      <c r="H129" s="258">
        <f>IFERROR(__xludf.DUMMYFUNCTION("""COMPUTED_VALUE"""),2083371.0)</f>
        <v>2083371</v>
      </c>
      <c r="I129" s="329">
        <f>IFERROR(__xludf.DUMMYFUNCTION("""COMPUTED_VALUE"""),1622.0)</f>
        <v>1622</v>
      </c>
      <c r="J129" s="329">
        <f>IFERROR(__xludf.DUMMYFUNCTION("""COMPUTED_VALUE"""),1134.0)</f>
        <v>1134</v>
      </c>
      <c r="K129" s="329">
        <f>IFERROR(__xludf.DUMMYFUNCTION("""COMPUTED_VALUE"""),95740.0)</f>
        <v>95740</v>
      </c>
      <c r="L129" s="329">
        <f>IFERROR(__xludf.DUMMYFUNCTION("""COMPUTED_VALUE"""),3855.0)</f>
        <v>3855</v>
      </c>
      <c r="M129" s="329">
        <f>IFERROR(__xludf.DUMMYFUNCTION("""COMPUTED_VALUE"""),544109.0)</f>
        <v>544109</v>
      </c>
      <c r="N129" s="329">
        <f>IFERROR(__xludf.DUMMYFUNCTION("""COMPUTED_VALUE"""),639849.0)</f>
        <v>639849</v>
      </c>
      <c r="O129" s="329">
        <f>IFERROR(__xludf.DUMMYFUNCTION("""COMPUTED_VALUE"""),57.0)</f>
        <v>57</v>
      </c>
      <c r="P129" s="329">
        <f>IFERROR(__xludf.DUMMYFUNCTION("""COMPUTED_VALUE"""),6887.0)</f>
        <v>6887</v>
      </c>
      <c r="Q129" s="329">
        <f>IFERROR(__xludf.DUMMYFUNCTION("""COMPUTED_VALUE"""),55.0)</f>
        <v>55</v>
      </c>
      <c r="R129" s="329">
        <f>IFERROR(__xludf.DUMMYFUNCTION("""COMPUTED_VALUE"""),5669.0)</f>
        <v>5669</v>
      </c>
      <c r="S129" s="329">
        <f>IFERROR(__xludf.DUMMYFUNCTION("""COMPUTED_VALUE"""),7.0)</f>
        <v>7</v>
      </c>
      <c r="T129" s="329">
        <f>IFERROR(__xludf.DUMMYFUNCTION("""COMPUTED_VALUE"""),770.0)</f>
        <v>770</v>
      </c>
      <c r="U129" s="329">
        <f>IFERROR(__xludf.DUMMYFUNCTION("""COMPUTED_VALUE"""),448.0)</f>
        <v>448</v>
      </c>
      <c r="V129" s="329">
        <f>IFERROR(__xludf.DUMMYFUNCTION("""COMPUTED_VALUE"""),453.0)</f>
        <v>453</v>
      </c>
      <c r="W129" s="329">
        <f>IFERROR(__xludf.DUMMYFUNCTION("""COMPUTED_VALUE"""),63.0)</f>
        <v>63</v>
      </c>
      <c r="X129" s="329">
        <f>IFERROR(__xludf.DUMMYFUNCTION("""COMPUTED_VALUE"""),41.0)</f>
        <v>41</v>
      </c>
      <c r="Y129" s="329">
        <f>IFERROR(__xludf.DUMMYFUNCTION("""COMPUTED_VALUE"""),13.0)</f>
        <v>13</v>
      </c>
      <c r="Z129" s="329">
        <f>IFERROR(__xludf.DUMMYFUNCTION("""COMPUTED_VALUE"""),2007.0)</f>
        <v>2007</v>
      </c>
      <c r="AA129" s="258">
        <f>IFERROR(__xludf.DUMMYFUNCTION("""COMPUTED_VALUE"""),2514.0)</f>
        <v>2514</v>
      </c>
      <c r="AB129" s="258">
        <f>IFERROR(__xludf.DUMMYFUNCTION("""COMPUTED_VALUE"""),239.0)</f>
        <v>239</v>
      </c>
      <c r="AC129" s="258">
        <f>IFERROR(__xludf.DUMMYFUNCTION("""COMPUTED_VALUE"""),2753.0)</f>
        <v>2753</v>
      </c>
      <c r="AD129" s="258">
        <f>IFERROR(__xludf.DUMMYFUNCTION("""COMPUTED_VALUE"""),31928.0)</f>
        <v>31928</v>
      </c>
      <c r="AE129" s="258">
        <f>IFERROR(__xludf.DUMMYFUNCTION("""COMPUTED_VALUE"""),2514.0)</f>
        <v>2514</v>
      </c>
      <c r="AF129" s="258">
        <f>IFERROR(__xludf.DUMMYFUNCTION("""COMPUTED_VALUE"""),31285.0)</f>
        <v>31285</v>
      </c>
      <c r="AG129" s="258">
        <f>IFERROR(__xludf.DUMMYFUNCTION("""COMPUTED_VALUE"""),239.0)</f>
        <v>239</v>
      </c>
      <c r="AH129" s="258">
        <f>IFERROR(__xludf.DUMMYFUNCTION("""COMPUTED_VALUE"""),643.0)</f>
        <v>643</v>
      </c>
    </row>
    <row r="130">
      <c r="A130" s="328">
        <f>IFERROR(__xludf.DUMMYFUNCTION("""COMPUTED_VALUE"""),44202.0)</f>
        <v>44202</v>
      </c>
      <c r="B130" s="329">
        <f>IFERROR(__xludf.DUMMYFUNCTION("""COMPUTED_VALUE"""),1372.0)</f>
        <v>1372</v>
      </c>
      <c r="C130" s="329">
        <f>IFERROR(__xludf.DUMMYFUNCTION("""COMPUTED_VALUE"""),1506.0)</f>
        <v>1506</v>
      </c>
      <c r="D130" s="329">
        <f>IFERROR(__xludf.DUMMYFUNCTION("""COMPUTED_VALUE"""),116316.0)</f>
        <v>116316</v>
      </c>
      <c r="E130" s="329">
        <f>IFERROR(__xludf.DUMMYFUNCTION("""COMPUTED_VALUE"""),18324.0)</f>
        <v>18324</v>
      </c>
      <c r="F130" s="258">
        <f>IFERROR(__xludf.DUMMYFUNCTION("""COMPUTED_VALUE"""),1986751.0)</f>
        <v>1986751</v>
      </c>
      <c r="G130" s="258">
        <f>IFERROR(__xludf.DUMMYFUNCTION("""COMPUTED_VALUE"""),19696.0)</f>
        <v>19696</v>
      </c>
      <c r="H130" s="258">
        <f>IFERROR(__xludf.DUMMYFUNCTION("""COMPUTED_VALUE"""),2103067.0)</f>
        <v>2103067</v>
      </c>
      <c r="I130" s="329">
        <f>IFERROR(__xludf.DUMMYFUNCTION("""COMPUTED_VALUE"""),1223.0)</f>
        <v>1223</v>
      </c>
      <c r="J130" s="329">
        <f>IFERROR(__xludf.DUMMYFUNCTION("""COMPUTED_VALUE"""),1325.0)</f>
        <v>1325</v>
      </c>
      <c r="K130" s="329">
        <f>IFERROR(__xludf.DUMMYFUNCTION("""COMPUTED_VALUE"""),96963.0)</f>
        <v>96963</v>
      </c>
      <c r="L130" s="329">
        <f>IFERROR(__xludf.DUMMYFUNCTION("""COMPUTED_VALUE"""),3058.0)</f>
        <v>3058</v>
      </c>
      <c r="M130" s="329">
        <f>IFERROR(__xludf.DUMMYFUNCTION("""COMPUTED_VALUE"""),547167.0)</f>
        <v>547167</v>
      </c>
      <c r="N130" s="329">
        <f>IFERROR(__xludf.DUMMYFUNCTION("""COMPUTED_VALUE"""),644130.0)</f>
        <v>644130</v>
      </c>
      <c r="O130" s="329">
        <f>IFERROR(__xludf.DUMMYFUNCTION("""COMPUTED_VALUE"""),59.0)</f>
        <v>59</v>
      </c>
      <c r="P130" s="329">
        <f>IFERROR(__xludf.DUMMYFUNCTION("""COMPUTED_VALUE"""),6946.0)</f>
        <v>6946</v>
      </c>
      <c r="Q130" s="329">
        <f>IFERROR(__xludf.DUMMYFUNCTION("""COMPUTED_VALUE"""),60.0)</f>
        <v>60</v>
      </c>
      <c r="R130" s="329">
        <f>IFERROR(__xludf.DUMMYFUNCTION("""COMPUTED_VALUE"""),5729.0)</f>
        <v>5729</v>
      </c>
      <c r="S130" s="329">
        <f>IFERROR(__xludf.DUMMYFUNCTION("""COMPUTED_VALUE"""),12.0)</f>
        <v>12</v>
      </c>
      <c r="T130" s="329">
        <f>IFERROR(__xludf.DUMMYFUNCTION("""COMPUTED_VALUE"""),782.0)</f>
        <v>782</v>
      </c>
      <c r="U130" s="329">
        <f>IFERROR(__xludf.DUMMYFUNCTION("""COMPUTED_VALUE"""),435.0)</f>
        <v>435</v>
      </c>
      <c r="V130" s="329">
        <f>IFERROR(__xludf.DUMMYFUNCTION("""COMPUTED_VALUE"""),445.0)</f>
        <v>445</v>
      </c>
      <c r="W130" s="329">
        <f>IFERROR(__xludf.DUMMYFUNCTION("""COMPUTED_VALUE"""),58.0)</f>
        <v>58</v>
      </c>
      <c r="X130" s="329">
        <f>IFERROR(__xludf.DUMMYFUNCTION("""COMPUTED_VALUE"""),39.0)</f>
        <v>39</v>
      </c>
      <c r="Y130" s="329">
        <f>IFERROR(__xludf.DUMMYFUNCTION("""COMPUTED_VALUE"""),19.0)</f>
        <v>19</v>
      </c>
      <c r="Z130" s="329">
        <f>IFERROR(__xludf.DUMMYFUNCTION("""COMPUTED_VALUE"""),2026.0)</f>
        <v>2026</v>
      </c>
      <c r="AA130" s="258">
        <f>IFERROR(__xludf.DUMMYFUNCTION("""COMPUTED_VALUE"""),1634.0)</f>
        <v>1634</v>
      </c>
      <c r="AB130" s="258">
        <f>IFERROR(__xludf.DUMMYFUNCTION("""COMPUTED_VALUE"""),469.0)</f>
        <v>469</v>
      </c>
      <c r="AC130" s="258">
        <f>IFERROR(__xludf.DUMMYFUNCTION("""COMPUTED_VALUE"""),2103.0)</f>
        <v>2103</v>
      </c>
      <c r="AD130" s="258">
        <f>IFERROR(__xludf.DUMMYFUNCTION("""COMPUTED_VALUE"""),34031.0)</f>
        <v>34031</v>
      </c>
      <c r="AE130" s="258">
        <f>IFERROR(__xludf.DUMMYFUNCTION("""COMPUTED_VALUE"""),1634.0)</f>
        <v>1634</v>
      </c>
      <c r="AF130" s="258">
        <f>IFERROR(__xludf.DUMMYFUNCTION("""COMPUTED_VALUE"""),32919.0)</f>
        <v>32919</v>
      </c>
      <c r="AG130" s="258">
        <f>IFERROR(__xludf.DUMMYFUNCTION("""COMPUTED_VALUE"""),469.0)</f>
        <v>469</v>
      </c>
      <c r="AH130" s="258">
        <f>IFERROR(__xludf.DUMMYFUNCTION("""COMPUTED_VALUE"""),1112.0)</f>
        <v>1112</v>
      </c>
    </row>
    <row r="131">
      <c r="A131" s="328">
        <f>IFERROR(__xludf.DUMMYFUNCTION("""COMPUTED_VALUE"""),44203.0)</f>
        <v>44203</v>
      </c>
      <c r="B131" s="329">
        <f>IFERROR(__xludf.DUMMYFUNCTION("""COMPUTED_VALUE"""),1262.0)</f>
        <v>1262</v>
      </c>
      <c r="C131" s="329">
        <f>IFERROR(__xludf.DUMMYFUNCTION("""COMPUTED_VALUE"""),1505.0)</f>
        <v>1505</v>
      </c>
      <c r="D131" s="329">
        <f>IFERROR(__xludf.DUMMYFUNCTION("""COMPUTED_VALUE"""),117578.0)</f>
        <v>117578</v>
      </c>
      <c r="E131" s="329">
        <f>IFERROR(__xludf.DUMMYFUNCTION("""COMPUTED_VALUE"""),17441.0)</f>
        <v>17441</v>
      </c>
      <c r="F131" s="258">
        <f>IFERROR(__xludf.DUMMYFUNCTION("""COMPUTED_VALUE"""),2004192.0)</f>
        <v>2004192</v>
      </c>
      <c r="G131" s="258">
        <f>IFERROR(__xludf.DUMMYFUNCTION("""COMPUTED_VALUE"""),18703.0)</f>
        <v>18703</v>
      </c>
      <c r="H131" s="258">
        <f>IFERROR(__xludf.DUMMYFUNCTION("""COMPUTED_VALUE"""),2121770.0)</f>
        <v>2121770</v>
      </c>
      <c r="I131" s="329">
        <f>IFERROR(__xludf.DUMMYFUNCTION("""COMPUTED_VALUE"""),1121.0)</f>
        <v>1121</v>
      </c>
      <c r="J131" s="329">
        <f>IFERROR(__xludf.DUMMYFUNCTION("""COMPUTED_VALUE"""),1322.0)</f>
        <v>1322</v>
      </c>
      <c r="K131" s="329">
        <f>IFERROR(__xludf.DUMMYFUNCTION("""COMPUTED_VALUE"""),98084.0)</f>
        <v>98084</v>
      </c>
      <c r="L131" s="329">
        <f>IFERROR(__xludf.DUMMYFUNCTION("""COMPUTED_VALUE"""),3263.0)</f>
        <v>3263</v>
      </c>
      <c r="M131" s="329">
        <f>IFERROR(__xludf.DUMMYFUNCTION("""COMPUTED_VALUE"""),550430.0)</f>
        <v>550430</v>
      </c>
      <c r="N131" s="329">
        <f>IFERROR(__xludf.DUMMYFUNCTION("""COMPUTED_VALUE"""),648514.0)</f>
        <v>648514</v>
      </c>
      <c r="O131" s="329">
        <f>IFERROR(__xludf.DUMMYFUNCTION("""COMPUTED_VALUE"""),51.0)</f>
        <v>51</v>
      </c>
      <c r="P131" s="329">
        <f>IFERROR(__xludf.DUMMYFUNCTION("""COMPUTED_VALUE"""),6997.0)</f>
        <v>6997</v>
      </c>
      <c r="Q131" s="329">
        <f>IFERROR(__xludf.DUMMYFUNCTION("""COMPUTED_VALUE"""),55.0)</f>
        <v>55</v>
      </c>
      <c r="R131" s="329">
        <f>IFERROR(__xludf.DUMMYFUNCTION("""COMPUTED_VALUE"""),5784.0)</f>
        <v>5784</v>
      </c>
      <c r="S131" s="329">
        <f>IFERROR(__xludf.DUMMYFUNCTION("""COMPUTED_VALUE"""),4.0)</f>
        <v>4</v>
      </c>
      <c r="T131" s="329">
        <f>IFERROR(__xludf.DUMMYFUNCTION("""COMPUTED_VALUE"""),786.0)</f>
        <v>786</v>
      </c>
      <c r="U131" s="329">
        <f>IFERROR(__xludf.DUMMYFUNCTION("""COMPUTED_VALUE"""),427.0)</f>
        <v>427</v>
      </c>
      <c r="V131" s="329">
        <f>IFERROR(__xludf.DUMMYFUNCTION("""COMPUTED_VALUE"""),437.0)</f>
        <v>437</v>
      </c>
      <c r="W131" s="329">
        <f>IFERROR(__xludf.DUMMYFUNCTION("""COMPUTED_VALUE"""),57.0)</f>
        <v>57</v>
      </c>
      <c r="X131" s="329">
        <f>IFERROR(__xludf.DUMMYFUNCTION("""COMPUTED_VALUE"""),36.0)</f>
        <v>36</v>
      </c>
      <c r="Y131" s="329">
        <f>IFERROR(__xludf.DUMMYFUNCTION("""COMPUTED_VALUE"""),11.0)</f>
        <v>11</v>
      </c>
      <c r="Z131" s="329">
        <f>IFERROR(__xludf.DUMMYFUNCTION("""COMPUTED_VALUE"""),2037.0)</f>
        <v>2037</v>
      </c>
      <c r="AA131" s="258">
        <f>IFERROR(__xludf.DUMMYFUNCTION("""COMPUTED_VALUE"""),1746.0)</f>
        <v>1746</v>
      </c>
      <c r="AB131" s="258">
        <f>IFERROR(__xludf.DUMMYFUNCTION("""COMPUTED_VALUE"""),705.0)</f>
        <v>705</v>
      </c>
      <c r="AC131" s="258">
        <f>IFERROR(__xludf.DUMMYFUNCTION("""COMPUTED_VALUE"""),2451.0)</f>
        <v>2451</v>
      </c>
      <c r="AD131" s="258">
        <f>IFERROR(__xludf.DUMMYFUNCTION("""COMPUTED_VALUE"""),36482.0)</f>
        <v>36482</v>
      </c>
      <c r="AE131" s="258">
        <f>IFERROR(__xludf.DUMMYFUNCTION("""COMPUTED_VALUE"""),1746.0)</f>
        <v>1746</v>
      </c>
      <c r="AF131" s="258">
        <f>IFERROR(__xludf.DUMMYFUNCTION("""COMPUTED_VALUE"""),34665.0)</f>
        <v>34665</v>
      </c>
      <c r="AG131" s="258">
        <f>IFERROR(__xludf.DUMMYFUNCTION("""COMPUTED_VALUE"""),705.0)</f>
        <v>705</v>
      </c>
      <c r="AH131" s="258">
        <f>IFERROR(__xludf.DUMMYFUNCTION("""COMPUTED_VALUE"""),1817.0)</f>
        <v>1817</v>
      </c>
    </row>
    <row r="132">
      <c r="A132" s="328">
        <f>IFERROR(__xludf.DUMMYFUNCTION("""COMPUTED_VALUE"""),44204.0)</f>
        <v>44204</v>
      </c>
      <c r="B132" s="329">
        <f>IFERROR(__xludf.DUMMYFUNCTION("""COMPUTED_VALUE"""),1421.0)</f>
        <v>1421</v>
      </c>
      <c r="C132" s="329">
        <f>IFERROR(__xludf.DUMMYFUNCTION("""COMPUTED_VALUE"""),1352.0)</f>
        <v>1352</v>
      </c>
      <c r="D132" s="329">
        <f>IFERROR(__xludf.DUMMYFUNCTION("""COMPUTED_VALUE"""),118999.0)</f>
        <v>118999</v>
      </c>
      <c r="E132" s="329">
        <f>IFERROR(__xludf.DUMMYFUNCTION("""COMPUTED_VALUE"""),20467.0)</f>
        <v>20467</v>
      </c>
      <c r="F132" s="258">
        <f>IFERROR(__xludf.DUMMYFUNCTION("""COMPUTED_VALUE"""),2024659.0)</f>
        <v>2024659</v>
      </c>
      <c r="G132" s="258">
        <f>IFERROR(__xludf.DUMMYFUNCTION("""COMPUTED_VALUE"""),21888.0)</f>
        <v>21888</v>
      </c>
      <c r="H132" s="258">
        <f>IFERROR(__xludf.DUMMYFUNCTION("""COMPUTED_VALUE"""),2143658.0)</f>
        <v>2143658</v>
      </c>
      <c r="I132" s="329">
        <f>IFERROR(__xludf.DUMMYFUNCTION("""COMPUTED_VALUE"""),1241.0)</f>
        <v>1241</v>
      </c>
      <c r="J132" s="329">
        <f>IFERROR(__xludf.DUMMYFUNCTION("""COMPUTED_VALUE"""),1195.0)</f>
        <v>1195</v>
      </c>
      <c r="K132" s="329">
        <f>IFERROR(__xludf.DUMMYFUNCTION("""COMPUTED_VALUE"""),99325.0)</f>
        <v>99325</v>
      </c>
      <c r="L132" s="329">
        <f>IFERROR(__xludf.DUMMYFUNCTION("""COMPUTED_VALUE"""),3881.0)</f>
        <v>3881</v>
      </c>
      <c r="M132" s="329">
        <f>IFERROR(__xludf.DUMMYFUNCTION("""COMPUTED_VALUE"""),554311.0)</f>
        <v>554311</v>
      </c>
      <c r="N132" s="329">
        <f>IFERROR(__xludf.DUMMYFUNCTION("""COMPUTED_VALUE"""),653636.0)</f>
        <v>653636</v>
      </c>
      <c r="O132" s="329">
        <f>IFERROR(__xludf.DUMMYFUNCTION("""COMPUTED_VALUE"""),56.0)</f>
        <v>56</v>
      </c>
      <c r="P132" s="329">
        <f>IFERROR(__xludf.DUMMYFUNCTION("""COMPUTED_VALUE"""),7053.0)</f>
        <v>7053</v>
      </c>
      <c r="Q132" s="329">
        <f>IFERROR(__xludf.DUMMYFUNCTION("""COMPUTED_VALUE"""),51.0)</f>
        <v>51</v>
      </c>
      <c r="R132" s="329">
        <f>IFERROR(__xludf.DUMMYFUNCTION("""COMPUTED_VALUE"""),5835.0)</f>
        <v>5835</v>
      </c>
      <c r="S132" s="329">
        <f>IFERROR(__xludf.DUMMYFUNCTION("""COMPUTED_VALUE"""),6.0)</f>
        <v>6</v>
      </c>
      <c r="T132" s="329">
        <f>IFERROR(__xludf.DUMMYFUNCTION("""COMPUTED_VALUE"""),792.0)</f>
        <v>792</v>
      </c>
      <c r="U132" s="329">
        <f>IFERROR(__xludf.DUMMYFUNCTION("""COMPUTED_VALUE"""),426.0)</f>
        <v>426</v>
      </c>
      <c r="V132" s="329">
        <f>IFERROR(__xludf.DUMMYFUNCTION("""COMPUTED_VALUE"""),429.0)</f>
        <v>429</v>
      </c>
      <c r="W132" s="329">
        <f>IFERROR(__xludf.DUMMYFUNCTION("""COMPUTED_VALUE"""),54.0)</f>
        <v>54</v>
      </c>
      <c r="X132" s="329">
        <f>IFERROR(__xludf.DUMMYFUNCTION("""COMPUTED_VALUE"""),35.0)</f>
        <v>35</v>
      </c>
      <c r="Y132" s="329">
        <f>IFERROR(__xludf.DUMMYFUNCTION("""COMPUTED_VALUE"""),13.0)</f>
        <v>13</v>
      </c>
      <c r="Z132" s="329">
        <f>IFERROR(__xludf.DUMMYFUNCTION("""COMPUTED_VALUE"""),2050.0)</f>
        <v>2050</v>
      </c>
      <c r="AA132" s="258">
        <f>IFERROR(__xludf.DUMMYFUNCTION("""COMPUTED_VALUE"""),1788.0)</f>
        <v>1788</v>
      </c>
      <c r="AB132" s="258">
        <f>IFERROR(__xludf.DUMMYFUNCTION("""COMPUTED_VALUE"""),1553.0)</f>
        <v>1553</v>
      </c>
      <c r="AC132" s="258">
        <f>IFERROR(__xludf.DUMMYFUNCTION("""COMPUTED_VALUE"""),3341.0)</f>
        <v>3341</v>
      </c>
      <c r="AD132" s="258">
        <f>IFERROR(__xludf.DUMMYFUNCTION("""COMPUTED_VALUE"""),39823.0)</f>
        <v>39823</v>
      </c>
      <c r="AE132" s="258">
        <f>IFERROR(__xludf.DUMMYFUNCTION("""COMPUTED_VALUE"""),1788.0)</f>
        <v>1788</v>
      </c>
      <c r="AF132" s="258">
        <f>IFERROR(__xludf.DUMMYFUNCTION("""COMPUTED_VALUE"""),36453.0)</f>
        <v>36453</v>
      </c>
      <c r="AG132" s="258">
        <f>IFERROR(__xludf.DUMMYFUNCTION("""COMPUTED_VALUE"""),1553.0)</f>
        <v>1553</v>
      </c>
      <c r="AH132" s="258">
        <f>IFERROR(__xludf.DUMMYFUNCTION("""COMPUTED_VALUE"""),3370.0)</f>
        <v>3370</v>
      </c>
    </row>
    <row r="133">
      <c r="A133" s="328">
        <f>IFERROR(__xludf.DUMMYFUNCTION("""COMPUTED_VALUE"""),44205.0)</f>
        <v>44205</v>
      </c>
      <c r="B133" s="329">
        <f>IFERROR(__xludf.DUMMYFUNCTION("""COMPUTED_VALUE"""),1287.0)</f>
        <v>1287</v>
      </c>
      <c r="C133" s="329">
        <f>IFERROR(__xludf.DUMMYFUNCTION("""COMPUTED_VALUE"""),1323.0)</f>
        <v>1323</v>
      </c>
      <c r="D133" s="329">
        <f>IFERROR(__xludf.DUMMYFUNCTION("""COMPUTED_VALUE"""),120286.0)</f>
        <v>120286</v>
      </c>
      <c r="E133" s="329">
        <f>IFERROR(__xludf.DUMMYFUNCTION("""COMPUTED_VALUE"""),17328.0)</f>
        <v>17328</v>
      </c>
      <c r="F133" s="258">
        <f>IFERROR(__xludf.DUMMYFUNCTION("""COMPUTED_VALUE"""),2041987.0)</f>
        <v>2041987</v>
      </c>
      <c r="G133" s="258">
        <f>IFERROR(__xludf.DUMMYFUNCTION("""COMPUTED_VALUE"""),18615.0)</f>
        <v>18615</v>
      </c>
      <c r="H133" s="258">
        <f>IFERROR(__xludf.DUMMYFUNCTION("""COMPUTED_VALUE"""),2162273.0)</f>
        <v>2162273</v>
      </c>
      <c r="I133" s="329">
        <f>IFERROR(__xludf.DUMMYFUNCTION("""COMPUTED_VALUE"""),1084.0)</f>
        <v>1084</v>
      </c>
      <c r="J133" s="329">
        <f>IFERROR(__xludf.DUMMYFUNCTION("""COMPUTED_VALUE"""),1149.0)</f>
        <v>1149</v>
      </c>
      <c r="K133" s="329">
        <f>IFERROR(__xludf.DUMMYFUNCTION("""COMPUTED_VALUE"""),100409.0)</f>
        <v>100409</v>
      </c>
      <c r="L133" s="329">
        <f>IFERROR(__xludf.DUMMYFUNCTION("""COMPUTED_VALUE"""),3394.0)</f>
        <v>3394</v>
      </c>
      <c r="M133" s="329">
        <f>IFERROR(__xludf.DUMMYFUNCTION("""COMPUTED_VALUE"""),557705.0)</f>
        <v>557705</v>
      </c>
      <c r="N133" s="329">
        <f>IFERROR(__xludf.DUMMYFUNCTION("""COMPUTED_VALUE"""),658114.0)</f>
        <v>658114</v>
      </c>
      <c r="O133" s="329">
        <f>IFERROR(__xludf.DUMMYFUNCTION("""COMPUTED_VALUE"""),65.0)</f>
        <v>65</v>
      </c>
      <c r="P133" s="329">
        <f>IFERROR(__xludf.DUMMYFUNCTION("""COMPUTED_VALUE"""),7118.0)</f>
        <v>7118</v>
      </c>
      <c r="Q133" s="329">
        <f>IFERROR(__xludf.DUMMYFUNCTION("""COMPUTED_VALUE"""),39.0)</f>
        <v>39</v>
      </c>
      <c r="R133" s="329">
        <f>IFERROR(__xludf.DUMMYFUNCTION("""COMPUTED_VALUE"""),5874.0)</f>
        <v>5874</v>
      </c>
      <c r="S133" s="329">
        <f>IFERROR(__xludf.DUMMYFUNCTION("""COMPUTED_VALUE"""),6.0)</f>
        <v>6</v>
      </c>
      <c r="T133" s="329">
        <f>IFERROR(__xludf.DUMMYFUNCTION("""COMPUTED_VALUE"""),798.0)</f>
        <v>798</v>
      </c>
      <c r="U133" s="329">
        <f>IFERROR(__xludf.DUMMYFUNCTION("""COMPUTED_VALUE"""),446.0)</f>
        <v>446</v>
      </c>
      <c r="V133" s="329">
        <f>IFERROR(__xludf.DUMMYFUNCTION("""COMPUTED_VALUE"""),433.0)</f>
        <v>433</v>
      </c>
      <c r="W133" s="329">
        <f>IFERROR(__xludf.DUMMYFUNCTION("""COMPUTED_VALUE"""),52.0)</f>
        <v>52</v>
      </c>
      <c r="X133" s="329">
        <f>IFERROR(__xludf.DUMMYFUNCTION("""COMPUTED_VALUE"""),33.0)</f>
        <v>33</v>
      </c>
      <c r="Y133" s="329">
        <f>IFERROR(__xludf.DUMMYFUNCTION("""COMPUTED_VALUE"""),15.0)</f>
        <v>15</v>
      </c>
      <c r="Z133" s="329">
        <f>IFERROR(__xludf.DUMMYFUNCTION("""COMPUTED_VALUE"""),2065.0)</f>
        <v>2065</v>
      </c>
      <c r="AA133" s="258">
        <f>IFERROR(__xludf.DUMMYFUNCTION("""COMPUTED_VALUE"""),1472.0)</f>
        <v>1472</v>
      </c>
      <c r="AB133" s="258">
        <f>IFERROR(__xludf.DUMMYFUNCTION("""COMPUTED_VALUE"""),696.0)</f>
        <v>696</v>
      </c>
      <c r="AC133" s="258">
        <f>IFERROR(__xludf.DUMMYFUNCTION("""COMPUTED_VALUE"""),2168.0)</f>
        <v>2168</v>
      </c>
      <c r="AD133" s="258">
        <f>IFERROR(__xludf.DUMMYFUNCTION("""COMPUTED_VALUE"""),41991.0)</f>
        <v>41991</v>
      </c>
      <c r="AE133" s="258">
        <f>IFERROR(__xludf.DUMMYFUNCTION("""COMPUTED_VALUE"""),1472.0)</f>
        <v>1472</v>
      </c>
      <c r="AF133" s="258">
        <f>IFERROR(__xludf.DUMMYFUNCTION("""COMPUTED_VALUE"""),37925.0)</f>
        <v>37925</v>
      </c>
      <c r="AG133" s="258">
        <f>IFERROR(__xludf.DUMMYFUNCTION("""COMPUTED_VALUE"""),696.0)</f>
        <v>696</v>
      </c>
      <c r="AH133" s="258">
        <f>IFERROR(__xludf.DUMMYFUNCTION("""COMPUTED_VALUE"""),4066.0)</f>
        <v>4066</v>
      </c>
    </row>
    <row r="134">
      <c r="A134" s="328">
        <f>IFERROR(__xludf.DUMMYFUNCTION("""COMPUTED_VALUE"""),44206.0)</f>
        <v>44206</v>
      </c>
      <c r="B134" s="329">
        <f>IFERROR(__xludf.DUMMYFUNCTION("""COMPUTED_VALUE"""),739.0)</f>
        <v>739</v>
      </c>
      <c r="C134" s="329">
        <f>IFERROR(__xludf.DUMMYFUNCTION("""COMPUTED_VALUE"""),1149.0)</f>
        <v>1149</v>
      </c>
      <c r="D134" s="329">
        <f>IFERROR(__xludf.DUMMYFUNCTION("""COMPUTED_VALUE"""),121025.0)</f>
        <v>121025</v>
      </c>
      <c r="E134" s="329">
        <f>IFERROR(__xludf.DUMMYFUNCTION("""COMPUTED_VALUE"""),8781.0)</f>
        <v>8781</v>
      </c>
      <c r="F134" s="258">
        <f>IFERROR(__xludf.DUMMYFUNCTION("""COMPUTED_VALUE"""),2050768.0)</f>
        <v>2050768</v>
      </c>
      <c r="G134" s="258">
        <f>IFERROR(__xludf.DUMMYFUNCTION("""COMPUTED_VALUE"""),9520.0)</f>
        <v>9520</v>
      </c>
      <c r="H134" s="258">
        <f>IFERROR(__xludf.DUMMYFUNCTION("""COMPUTED_VALUE"""),2171793.0)</f>
        <v>2171793</v>
      </c>
      <c r="I134" s="329">
        <f>IFERROR(__xludf.DUMMYFUNCTION("""COMPUTED_VALUE"""),666.0)</f>
        <v>666</v>
      </c>
      <c r="J134" s="329">
        <f>IFERROR(__xludf.DUMMYFUNCTION("""COMPUTED_VALUE"""),997.0)</f>
        <v>997</v>
      </c>
      <c r="K134" s="329">
        <f>IFERROR(__xludf.DUMMYFUNCTION("""COMPUTED_VALUE"""),101075.0)</f>
        <v>101075</v>
      </c>
      <c r="L134" s="329">
        <f>IFERROR(__xludf.DUMMYFUNCTION("""COMPUTED_VALUE"""),2072.0)</f>
        <v>2072</v>
      </c>
      <c r="M134" s="329">
        <f>IFERROR(__xludf.DUMMYFUNCTION("""COMPUTED_VALUE"""),559777.0)</f>
        <v>559777</v>
      </c>
      <c r="N134" s="329">
        <f>IFERROR(__xludf.DUMMYFUNCTION("""COMPUTED_VALUE"""),660852.0)</f>
        <v>660852</v>
      </c>
      <c r="O134" s="329">
        <f>IFERROR(__xludf.DUMMYFUNCTION("""COMPUTED_VALUE"""),45.0)</f>
        <v>45</v>
      </c>
      <c r="P134" s="329">
        <f>IFERROR(__xludf.DUMMYFUNCTION("""COMPUTED_VALUE"""),7163.0)</f>
        <v>7163</v>
      </c>
      <c r="Q134" s="329">
        <f>IFERROR(__xludf.DUMMYFUNCTION("""COMPUTED_VALUE"""),40.0)</f>
        <v>40</v>
      </c>
      <c r="R134" s="329">
        <f>IFERROR(__xludf.DUMMYFUNCTION("""COMPUTED_VALUE"""),5914.0)</f>
        <v>5914</v>
      </c>
      <c r="S134" s="329">
        <f>IFERROR(__xludf.DUMMYFUNCTION("""COMPUTED_VALUE"""),5.0)</f>
        <v>5</v>
      </c>
      <c r="T134" s="329">
        <f>IFERROR(__xludf.DUMMYFUNCTION("""COMPUTED_VALUE"""),803.0)</f>
        <v>803</v>
      </c>
      <c r="U134" s="329">
        <f>IFERROR(__xludf.DUMMYFUNCTION("""COMPUTED_VALUE"""),446.0)</f>
        <v>446</v>
      </c>
      <c r="V134" s="329">
        <f>IFERROR(__xludf.DUMMYFUNCTION("""COMPUTED_VALUE"""),439.0)</f>
        <v>439</v>
      </c>
      <c r="W134" s="329">
        <f>IFERROR(__xludf.DUMMYFUNCTION("""COMPUTED_VALUE"""),55.0)</f>
        <v>55</v>
      </c>
      <c r="X134" s="329">
        <f>IFERROR(__xludf.DUMMYFUNCTION("""COMPUTED_VALUE"""),34.0)</f>
        <v>34</v>
      </c>
      <c r="Y134" s="329">
        <f>IFERROR(__xludf.DUMMYFUNCTION("""COMPUTED_VALUE"""),15.0)</f>
        <v>15</v>
      </c>
      <c r="Z134" s="329">
        <f>IFERROR(__xludf.DUMMYFUNCTION("""COMPUTED_VALUE"""),2080.0)</f>
        <v>2080</v>
      </c>
      <c r="AA134" s="258">
        <f>IFERROR(__xludf.DUMMYFUNCTION("""COMPUTED_VALUE"""),339.0)</f>
        <v>339</v>
      </c>
      <c r="AB134" s="258">
        <f>IFERROR(__xludf.DUMMYFUNCTION("""COMPUTED_VALUE"""),761.0)</f>
        <v>761</v>
      </c>
      <c r="AC134" s="258">
        <f>IFERROR(__xludf.DUMMYFUNCTION("""COMPUTED_VALUE"""),1100.0)</f>
        <v>1100</v>
      </c>
      <c r="AD134" s="258">
        <f>IFERROR(__xludf.DUMMYFUNCTION("""COMPUTED_VALUE"""),43091.0)</f>
        <v>43091</v>
      </c>
      <c r="AE134" s="258">
        <f>IFERROR(__xludf.DUMMYFUNCTION("""COMPUTED_VALUE"""),339.0)</f>
        <v>339</v>
      </c>
      <c r="AF134" s="258">
        <f>IFERROR(__xludf.DUMMYFUNCTION("""COMPUTED_VALUE"""),38264.0)</f>
        <v>38264</v>
      </c>
      <c r="AG134" s="258">
        <f>IFERROR(__xludf.DUMMYFUNCTION("""COMPUTED_VALUE"""),761.0)</f>
        <v>761</v>
      </c>
      <c r="AH134" s="258">
        <f>IFERROR(__xludf.DUMMYFUNCTION("""COMPUTED_VALUE"""),4827.0)</f>
        <v>4827</v>
      </c>
    </row>
    <row r="135">
      <c r="A135" s="328">
        <f>IFERROR(__xludf.DUMMYFUNCTION("""COMPUTED_VALUE"""),44207.0)</f>
        <v>44207</v>
      </c>
      <c r="B135" s="329">
        <f>IFERROR(__xludf.DUMMYFUNCTION("""COMPUTED_VALUE"""),1016.0)</f>
        <v>1016</v>
      </c>
      <c r="C135" s="329">
        <f>IFERROR(__xludf.DUMMYFUNCTION("""COMPUTED_VALUE"""),1014.0)</f>
        <v>1014</v>
      </c>
      <c r="D135" s="329">
        <f>IFERROR(__xludf.DUMMYFUNCTION("""COMPUTED_VALUE"""),122041.0)</f>
        <v>122041</v>
      </c>
      <c r="E135" s="329">
        <f>IFERROR(__xludf.DUMMYFUNCTION("""COMPUTED_VALUE"""),13399.0)</f>
        <v>13399</v>
      </c>
      <c r="F135" s="258">
        <f>IFERROR(__xludf.DUMMYFUNCTION("""COMPUTED_VALUE"""),2064167.0)</f>
        <v>2064167</v>
      </c>
      <c r="G135" s="258">
        <f>IFERROR(__xludf.DUMMYFUNCTION("""COMPUTED_VALUE"""),14415.0)</f>
        <v>14415</v>
      </c>
      <c r="H135" s="258">
        <f>IFERROR(__xludf.DUMMYFUNCTION("""COMPUTED_VALUE"""),2186208.0)</f>
        <v>2186208</v>
      </c>
      <c r="I135" s="329">
        <f>IFERROR(__xludf.DUMMYFUNCTION("""COMPUTED_VALUE"""),896.0)</f>
        <v>896</v>
      </c>
      <c r="J135" s="329">
        <f>IFERROR(__xludf.DUMMYFUNCTION("""COMPUTED_VALUE"""),882.0)</f>
        <v>882</v>
      </c>
      <c r="K135" s="329">
        <f>IFERROR(__xludf.DUMMYFUNCTION("""COMPUTED_VALUE"""),101971.0)</f>
        <v>101971</v>
      </c>
      <c r="L135" s="329">
        <f>IFERROR(__xludf.DUMMYFUNCTION("""COMPUTED_VALUE"""),3361.0)</f>
        <v>3361</v>
      </c>
      <c r="M135" s="329">
        <f>IFERROR(__xludf.DUMMYFUNCTION("""COMPUTED_VALUE"""),563138.0)</f>
        <v>563138</v>
      </c>
      <c r="N135" s="329">
        <f>IFERROR(__xludf.DUMMYFUNCTION("""COMPUTED_VALUE"""),665109.0)</f>
        <v>665109</v>
      </c>
      <c r="O135" s="329">
        <f>IFERROR(__xludf.DUMMYFUNCTION("""COMPUTED_VALUE"""),64.0)</f>
        <v>64</v>
      </c>
      <c r="P135" s="329">
        <f>IFERROR(__xludf.DUMMYFUNCTION("""COMPUTED_VALUE"""),7227.0)</f>
        <v>7227</v>
      </c>
      <c r="Q135" s="329">
        <f>IFERROR(__xludf.DUMMYFUNCTION("""COMPUTED_VALUE"""),50.0)</f>
        <v>50</v>
      </c>
      <c r="R135" s="329">
        <f>IFERROR(__xludf.DUMMYFUNCTION("""COMPUTED_VALUE"""),5964.0)</f>
        <v>5964</v>
      </c>
      <c r="S135" s="329">
        <f>IFERROR(__xludf.DUMMYFUNCTION("""COMPUTED_VALUE"""),9.0)</f>
        <v>9</v>
      </c>
      <c r="T135" s="329">
        <f>IFERROR(__xludf.DUMMYFUNCTION("""COMPUTED_VALUE"""),812.0)</f>
        <v>812</v>
      </c>
      <c r="U135" s="329">
        <f>IFERROR(__xludf.DUMMYFUNCTION("""COMPUTED_VALUE"""),451.0)</f>
        <v>451</v>
      </c>
      <c r="V135" s="329">
        <f>IFERROR(__xludf.DUMMYFUNCTION("""COMPUTED_VALUE"""),448.0)</f>
        <v>448</v>
      </c>
      <c r="W135" s="329">
        <f>IFERROR(__xludf.DUMMYFUNCTION("""COMPUTED_VALUE"""),54.0)</f>
        <v>54</v>
      </c>
      <c r="X135" s="329">
        <f>IFERROR(__xludf.DUMMYFUNCTION("""COMPUTED_VALUE"""),36.0)</f>
        <v>36</v>
      </c>
      <c r="Y135" s="329">
        <f>IFERROR(__xludf.DUMMYFUNCTION("""COMPUTED_VALUE"""),22.0)</f>
        <v>22</v>
      </c>
      <c r="Z135" s="329">
        <f>IFERROR(__xludf.DUMMYFUNCTION("""COMPUTED_VALUE"""),2102.0)</f>
        <v>2102</v>
      </c>
      <c r="AA135" s="258">
        <f>IFERROR(__xludf.DUMMYFUNCTION("""COMPUTED_VALUE"""),1311.0)</f>
        <v>1311</v>
      </c>
      <c r="AB135" s="258">
        <f>IFERROR(__xludf.DUMMYFUNCTION("""COMPUTED_VALUE"""),1513.0)</f>
        <v>1513</v>
      </c>
      <c r="AC135" s="258">
        <f>IFERROR(__xludf.DUMMYFUNCTION("""COMPUTED_VALUE"""),2824.0)</f>
        <v>2824</v>
      </c>
      <c r="AD135" s="258">
        <f>IFERROR(__xludf.DUMMYFUNCTION("""COMPUTED_VALUE"""),45915.0)</f>
        <v>45915</v>
      </c>
      <c r="AE135" s="258">
        <f>IFERROR(__xludf.DUMMYFUNCTION("""COMPUTED_VALUE"""),1311.0)</f>
        <v>1311</v>
      </c>
      <c r="AF135" s="258">
        <f>IFERROR(__xludf.DUMMYFUNCTION("""COMPUTED_VALUE"""),39575.0)</f>
        <v>39575</v>
      </c>
      <c r="AG135" s="258">
        <f>IFERROR(__xludf.DUMMYFUNCTION("""COMPUTED_VALUE"""),1513.0)</f>
        <v>1513</v>
      </c>
      <c r="AH135" s="258">
        <f>IFERROR(__xludf.DUMMYFUNCTION("""COMPUTED_VALUE"""),6340.0)</f>
        <v>6340</v>
      </c>
    </row>
    <row r="136">
      <c r="A136" s="328">
        <f>IFERROR(__xludf.DUMMYFUNCTION("""COMPUTED_VALUE"""),44208.0)</f>
        <v>44208</v>
      </c>
      <c r="B136" s="329">
        <f>IFERROR(__xludf.DUMMYFUNCTION("""COMPUTED_VALUE"""),1116.0)</f>
        <v>1116</v>
      </c>
      <c r="C136" s="329">
        <f>IFERROR(__xludf.DUMMYFUNCTION("""COMPUTED_VALUE"""),957.0)</f>
        <v>957</v>
      </c>
      <c r="D136" s="329">
        <f>IFERROR(__xludf.DUMMYFUNCTION("""COMPUTED_VALUE"""),123157.0)</f>
        <v>123157</v>
      </c>
      <c r="E136" s="329">
        <f>IFERROR(__xludf.DUMMYFUNCTION("""COMPUTED_VALUE"""),18313.0)</f>
        <v>18313</v>
      </c>
      <c r="F136" s="258">
        <f>IFERROR(__xludf.DUMMYFUNCTION("""COMPUTED_VALUE"""),2082480.0)</f>
        <v>2082480</v>
      </c>
      <c r="G136" s="258">
        <f>IFERROR(__xludf.DUMMYFUNCTION("""COMPUTED_VALUE"""),19429.0)</f>
        <v>19429</v>
      </c>
      <c r="H136" s="258">
        <f>IFERROR(__xludf.DUMMYFUNCTION("""COMPUTED_VALUE"""),2205637.0)</f>
        <v>2205637</v>
      </c>
      <c r="I136" s="329">
        <f>IFERROR(__xludf.DUMMYFUNCTION("""COMPUTED_VALUE"""),952.0)</f>
        <v>952</v>
      </c>
      <c r="J136" s="329">
        <f>IFERROR(__xludf.DUMMYFUNCTION("""COMPUTED_VALUE"""),838.0)</f>
        <v>838</v>
      </c>
      <c r="K136" s="329">
        <f>IFERROR(__xludf.DUMMYFUNCTION("""COMPUTED_VALUE"""),102923.0)</f>
        <v>102923</v>
      </c>
      <c r="L136" s="329">
        <f>IFERROR(__xludf.DUMMYFUNCTION("""COMPUTED_VALUE"""),3690.0)</f>
        <v>3690</v>
      </c>
      <c r="M136" s="329">
        <f>IFERROR(__xludf.DUMMYFUNCTION("""COMPUTED_VALUE"""),566828.0)</f>
        <v>566828</v>
      </c>
      <c r="N136" s="329">
        <f>IFERROR(__xludf.DUMMYFUNCTION("""COMPUTED_VALUE"""),669751.0)</f>
        <v>669751</v>
      </c>
      <c r="O136" s="329">
        <f>IFERROR(__xludf.DUMMYFUNCTION("""COMPUTED_VALUE"""),61.0)</f>
        <v>61</v>
      </c>
      <c r="P136" s="329">
        <f>IFERROR(__xludf.DUMMYFUNCTION("""COMPUTED_VALUE"""),7288.0)</f>
        <v>7288</v>
      </c>
      <c r="Q136" s="329">
        <f>IFERROR(__xludf.DUMMYFUNCTION("""COMPUTED_VALUE"""),76.0)</f>
        <v>76</v>
      </c>
      <c r="R136" s="329">
        <f>IFERROR(__xludf.DUMMYFUNCTION("""COMPUTED_VALUE"""),6040.0)</f>
        <v>6040</v>
      </c>
      <c r="S136" s="329">
        <f>IFERROR(__xludf.DUMMYFUNCTION("""COMPUTED_VALUE"""),8.0)</f>
        <v>8</v>
      </c>
      <c r="T136" s="329">
        <f>IFERROR(__xludf.DUMMYFUNCTION("""COMPUTED_VALUE"""),820.0)</f>
        <v>820</v>
      </c>
      <c r="U136" s="329">
        <f>IFERROR(__xludf.DUMMYFUNCTION("""COMPUTED_VALUE"""),428.0)</f>
        <v>428</v>
      </c>
      <c r="V136" s="329">
        <f>IFERROR(__xludf.DUMMYFUNCTION("""COMPUTED_VALUE"""),442.0)</f>
        <v>442</v>
      </c>
      <c r="W136" s="329">
        <f>IFERROR(__xludf.DUMMYFUNCTION("""COMPUTED_VALUE"""),56.0)</f>
        <v>56</v>
      </c>
      <c r="X136" s="329">
        <f>IFERROR(__xludf.DUMMYFUNCTION("""COMPUTED_VALUE"""),37.0)</f>
        <v>37</v>
      </c>
      <c r="Y136" s="329">
        <f>IFERROR(__xludf.DUMMYFUNCTION("""COMPUTED_VALUE"""),15.0)</f>
        <v>15</v>
      </c>
      <c r="Z136" s="329">
        <f>IFERROR(__xludf.DUMMYFUNCTION("""COMPUTED_VALUE"""),2117.0)</f>
        <v>2117</v>
      </c>
      <c r="AA136" s="258">
        <f>IFERROR(__xludf.DUMMYFUNCTION("""COMPUTED_VALUE"""),1906.0)</f>
        <v>1906</v>
      </c>
      <c r="AB136" s="258">
        <f>IFERROR(__xludf.DUMMYFUNCTION("""COMPUTED_VALUE"""),1290.0)</f>
        <v>1290</v>
      </c>
      <c r="AC136" s="258">
        <f>IFERROR(__xludf.DUMMYFUNCTION("""COMPUTED_VALUE"""),3196.0)</f>
        <v>3196</v>
      </c>
      <c r="AD136" s="258">
        <f>IFERROR(__xludf.DUMMYFUNCTION("""COMPUTED_VALUE"""),49111.0)</f>
        <v>49111</v>
      </c>
      <c r="AE136" s="258">
        <f>IFERROR(__xludf.DUMMYFUNCTION("""COMPUTED_VALUE"""),1906.0)</f>
        <v>1906</v>
      </c>
      <c r="AF136" s="258">
        <f>IFERROR(__xludf.DUMMYFUNCTION("""COMPUTED_VALUE"""),41481.0)</f>
        <v>41481</v>
      </c>
      <c r="AG136" s="258">
        <f>IFERROR(__xludf.DUMMYFUNCTION("""COMPUTED_VALUE"""),1290.0)</f>
        <v>1290</v>
      </c>
      <c r="AH136" s="258">
        <f>IFERROR(__xludf.DUMMYFUNCTION("""COMPUTED_VALUE"""),7630.0)</f>
        <v>7630</v>
      </c>
    </row>
    <row r="137">
      <c r="A137" s="328">
        <f>IFERROR(__xludf.DUMMYFUNCTION("""COMPUTED_VALUE"""),44209.0)</f>
        <v>44209</v>
      </c>
      <c r="B137" s="329">
        <f>IFERROR(__xludf.DUMMYFUNCTION("""COMPUTED_VALUE"""),1034.0)</f>
        <v>1034</v>
      </c>
      <c r="C137" s="329">
        <f>IFERROR(__xludf.DUMMYFUNCTION("""COMPUTED_VALUE"""),1055.0)</f>
        <v>1055</v>
      </c>
      <c r="D137" s="329">
        <f>IFERROR(__xludf.DUMMYFUNCTION("""COMPUTED_VALUE"""),124191.0)</f>
        <v>124191</v>
      </c>
      <c r="E137" s="329">
        <f>IFERROR(__xludf.DUMMYFUNCTION("""COMPUTED_VALUE"""),19973.0)</f>
        <v>19973</v>
      </c>
      <c r="F137" s="258">
        <f>IFERROR(__xludf.DUMMYFUNCTION("""COMPUTED_VALUE"""),2102453.0)</f>
        <v>2102453</v>
      </c>
      <c r="G137" s="258">
        <f>IFERROR(__xludf.DUMMYFUNCTION("""COMPUTED_VALUE"""),21007.0)</f>
        <v>21007</v>
      </c>
      <c r="H137" s="258">
        <f>IFERROR(__xludf.DUMMYFUNCTION("""COMPUTED_VALUE"""),2226644.0)</f>
        <v>2226644</v>
      </c>
      <c r="I137" s="329">
        <f>IFERROR(__xludf.DUMMYFUNCTION("""COMPUTED_VALUE"""),886.0)</f>
        <v>886</v>
      </c>
      <c r="J137" s="329">
        <f>IFERROR(__xludf.DUMMYFUNCTION("""COMPUTED_VALUE"""),911.0)</f>
        <v>911</v>
      </c>
      <c r="K137" s="329">
        <f>IFERROR(__xludf.DUMMYFUNCTION("""COMPUTED_VALUE"""),103809.0)</f>
        <v>103809</v>
      </c>
      <c r="L137" s="329">
        <f>IFERROR(__xludf.DUMMYFUNCTION("""COMPUTED_VALUE"""),3903.0)</f>
        <v>3903</v>
      </c>
      <c r="M137" s="329">
        <f>IFERROR(__xludf.DUMMYFUNCTION("""COMPUTED_VALUE"""),570731.0)</f>
        <v>570731</v>
      </c>
      <c r="N137" s="329">
        <f>IFERROR(__xludf.DUMMYFUNCTION("""COMPUTED_VALUE"""),674540.0)</f>
        <v>674540</v>
      </c>
      <c r="O137" s="329">
        <f>IFERROR(__xludf.DUMMYFUNCTION("""COMPUTED_VALUE"""),67.0)</f>
        <v>67</v>
      </c>
      <c r="P137" s="329">
        <f>IFERROR(__xludf.DUMMYFUNCTION("""COMPUTED_VALUE"""),7355.0)</f>
        <v>7355</v>
      </c>
      <c r="Q137" s="329">
        <f>IFERROR(__xludf.DUMMYFUNCTION("""COMPUTED_VALUE"""),57.0)</f>
        <v>57</v>
      </c>
      <c r="R137" s="329">
        <f>IFERROR(__xludf.DUMMYFUNCTION("""COMPUTED_VALUE"""),6097.0)</f>
        <v>6097</v>
      </c>
      <c r="S137" s="329">
        <f>IFERROR(__xludf.DUMMYFUNCTION("""COMPUTED_VALUE"""),5.0)</f>
        <v>5</v>
      </c>
      <c r="T137" s="329">
        <f>IFERROR(__xludf.DUMMYFUNCTION("""COMPUTED_VALUE"""),825.0)</f>
        <v>825</v>
      </c>
      <c r="U137" s="329">
        <f>IFERROR(__xludf.DUMMYFUNCTION("""COMPUTED_VALUE"""),433.0)</f>
        <v>433</v>
      </c>
      <c r="V137" s="329">
        <f>IFERROR(__xludf.DUMMYFUNCTION("""COMPUTED_VALUE"""),437.0)</f>
        <v>437</v>
      </c>
      <c r="W137" s="329">
        <f>IFERROR(__xludf.DUMMYFUNCTION("""COMPUTED_VALUE"""),56.0)</f>
        <v>56</v>
      </c>
      <c r="X137" s="329">
        <f>IFERROR(__xludf.DUMMYFUNCTION("""COMPUTED_VALUE"""),37.0)</f>
        <v>37</v>
      </c>
      <c r="Y137" s="329">
        <f>IFERROR(__xludf.DUMMYFUNCTION("""COMPUTED_VALUE"""),11.0)</f>
        <v>11</v>
      </c>
      <c r="Z137" s="329">
        <f>IFERROR(__xludf.DUMMYFUNCTION("""COMPUTED_VALUE"""),2128.0)</f>
        <v>2128</v>
      </c>
      <c r="AA137" s="258">
        <f>IFERROR(__xludf.DUMMYFUNCTION("""COMPUTED_VALUE"""),1304.0)</f>
        <v>1304</v>
      </c>
      <c r="AB137" s="258">
        <f>IFERROR(__xludf.DUMMYFUNCTION("""COMPUTED_VALUE"""),1217.0)</f>
        <v>1217</v>
      </c>
      <c r="AC137" s="258">
        <f>IFERROR(__xludf.DUMMYFUNCTION("""COMPUTED_VALUE"""),2521.0)</f>
        <v>2521</v>
      </c>
      <c r="AD137" s="258">
        <f>IFERROR(__xludf.DUMMYFUNCTION("""COMPUTED_VALUE"""),51632.0)</f>
        <v>51632</v>
      </c>
      <c r="AE137" s="258">
        <f>IFERROR(__xludf.DUMMYFUNCTION("""COMPUTED_VALUE"""),1304.0)</f>
        <v>1304</v>
      </c>
      <c r="AF137" s="258">
        <f>IFERROR(__xludf.DUMMYFUNCTION("""COMPUTED_VALUE"""),42785.0)</f>
        <v>42785</v>
      </c>
      <c r="AG137" s="258">
        <f>IFERROR(__xludf.DUMMYFUNCTION("""COMPUTED_VALUE"""),1217.0)</f>
        <v>1217</v>
      </c>
      <c r="AH137" s="258">
        <f>IFERROR(__xludf.DUMMYFUNCTION("""COMPUTED_VALUE"""),8847.0)</f>
        <v>8847</v>
      </c>
    </row>
    <row r="138">
      <c r="A138" s="328">
        <f>IFERROR(__xludf.DUMMYFUNCTION("""COMPUTED_VALUE"""),44210.0)</f>
        <v>44210</v>
      </c>
      <c r="B138" s="329">
        <f>IFERROR(__xludf.DUMMYFUNCTION("""COMPUTED_VALUE"""),1145.0)</f>
        <v>1145</v>
      </c>
      <c r="C138" s="329">
        <f>IFERROR(__xludf.DUMMYFUNCTION("""COMPUTED_VALUE"""),1098.0)</f>
        <v>1098</v>
      </c>
      <c r="D138" s="329">
        <f>IFERROR(__xludf.DUMMYFUNCTION("""COMPUTED_VALUE"""),125336.0)</f>
        <v>125336</v>
      </c>
      <c r="E138" s="329">
        <f>IFERROR(__xludf.DUMMYFUNCTION("""COMPUTED_VALUE"""),20572.0)</f>
        <v>20572</v>
      </c>
      <c r="F138" s="258">
        <f>IFERROR(__xludf.DUMMYFUNCTION("""COMPUTED_VALUE"""),2123025.0)</f>
        <v>2123025</v>
      </c>
      <c r="G138" s="258">
        <f>IFERROR(__xludf.DUMMYFUNCTION("""COMPUTED_VALUE"""),21717.0)</f>
        <v>21717</v>
      </c>
      <c r="H138" s="258">
        <f>IFERROR(__xludf.DUMMYFUNCTION("""COMPUTED_VALUE"""),2248361.0)</f>
        <v>2248361</v>
      </c>
      <c r="I138" s="329">
        <f>IFERROR(__xludf.DUMMYFUNCTION("""COMPUTED_VALUE"""),997.0)</f>
        <v>997</v>
      </c>
      <c r="J138" s="329">
        <f>IFERROR(__xludf.DUMMYFUNCTION("""COMPUTED_VALUE"""),945.0)</f>
        <v>945</v>
      </c>
      <c r="K138" s="329">
        <f>IFERROR(__xludf.DUMMYFUNCTION("""COMPUTED_VALUE"""),104806.0)</f>
        <v>104806</v>
      </c>
      <c r="L138" s="329">
        <f>IFERROR(__xludf.DUMMYFUNCTION("""COMPUTED_VALUE"""),3962.0)</f>
        <v>3962</v>
      </c>
      <c r="M138" s="329">
        <f>IFERROR(__xludf.DUMMYFUNCTION("""COMPUTED_VALUE"""),574693.0)</f>
        <v>574693</v>
      </c>
      <c r="N138" s="329">
        <f>IFERROR(__xludf.DUMMYFUNCTION("""COMPUTED_VALUE"""),679499.0)</f>
        <v>679499</v>
      </c>
      <c r="O138" s="329">
        <f>IFERROR(__xludf.DUMMYFUNCTION("""COMPUTED_VALUE"""),64.0)</f>
        <v>64</v>
      </c>
      <c r="P138" s="329">
        <f>IFERROR(__xludf.DUMMYFUNCTION("""COMPUTED_VALUE"""),7419.0)</f>
        <v>7419</v>
      </c>
      <c r="Q138" s="329">
        <f>IFERROR(__xludf.DUMMYFUNCTION("""COMPUTED_VALUE"""),60.0)</f>
        <v>60</v>
      </c>
      <c r="R138" s="329">
        <f>IFERROR(__xludf.DUMMYFUNCTION("""COMPUTED_VALUE"""),6157.0)</f>
        <v>6157</v>
      </c>
      <c r="S138" s="329">
        <f>IFERROR(__xludf.DUMMYFUNCTION("""COMPUTED_VALUE"""),5.0)</f>
        <v>5</v>
      </c>
      <c r="T138" s="329">
        <f>IFERROR(__xludf.DUMMYFUNCTION("""COMPUTED_VALUE"""),830.0)</f>
        <v>830</v>
      </c>
      <c r="U138" s="329">
        <f>IFERROR(__xludf.DUMMYFUNCTION("""COMPUTED_VALUE"""),432.0)</f>
        <v>432</v>
      </c>
      <c r="V138" s="329">
        <f>IFERROR(__xludf.DUMMYFUNCTION("""COMPUTED_VALUE"""),431.0)</f>
        <v>431</v>
      </c>
      <c r="W138" s="329">
        <f>IFERROR(__xludf.DUMMYFUNCTION("""COMPUTED_VALUE"""),58.0)</f>
        <v>58</v>
      </c>
      <c r="X138" s="329">
        <f>IFERROR(__xludf.DUMMYFUNCTION("""COMPUTED_VALUE"""),40.0)</f>
        <v>40</v>
      </c>
      <c r="Y138" s="329">
        <f>IFERROR(__xludf.DUMMYFUNCTION("""COMPUTED_VALUE"""),10.0)</f>
        <v>10</v>
      </c>
      <c r="Z138" s="329">
        <f>IFERROR(__xludf.DUMMYFUNCTION("""COMPUTED_VALUE"""),2138.0)</f>
        <v>2138</v>
      </c>
      <c r="AA138" s="258">
        <f>IFERROR(__xludf.DUMMYFUNCTION("""COMPUTED_VALUE"""),2332.0)</f>
        <v>2332</v>
      </c>
      <c r="AB138" s="258">
        <f>IFERROR(__xludf.DUMMYFUNCTION("""COMPUTED_VALUE"""),596.0)</f>
        <v>596</v>
      </c>
      <c r="AC138" s="258">
        <f>IFERROR(__xludf.DUMMYFUNCTION("""COMPUTED_VALUE"""),2928.0)</f>
        <v>2928</v>
      </c>
      <c r="AD138" s="258">
        <f>IFERROR(__xludf.DUMMYFUNCTION("""COMPUTED_VALUE"""),54560.0)</f>
        <v>54560</v>
      </c>
      <c r="AE138" s="258">
        <f>IFERROR(__xludf.DUMMYFUNCTION("""COMPUTED_VALUE"""),2332.0)</f>
        <v>2332</v>
      </c>
      <c r="AF138" s="258">
        <f>IFERROR(__xludf.DUMMYFUNCTION("""COMPUTED_VALUE"""),45117.0)</f>
        <v>45117</v>
      </c>
      <c r="AG138" s="258">
        <f>IFERROR(__xludf.DUMMYFUNCTION("""COMPUTED_VALUE"""),596.0)</f>
        <v>596</v>
      </c>
      <c r="AH138" s="258">
        <f>IFERROR(__xludf.DUMMYFUNCTION("""COMPUTED_VALUE"""),9443.0)</f>
        <v>9443</v>
      </c>
    </row>
    <row r="139">
      <c r="A139" s="328">
        <f>IFERROR(__xludf.DUMMYFUNCTION("""COMPUTED_VALUE"""),44211.0)</f>
        <v>44211</v>
      </c>
      <c r="B139" s="329">
        <f>IFERROR(__xludf.DUMMYFUNCTION("""COMPUTED_VALUE"""),1101.0)</f>
        <v>1101</v>
      </c>
      <c r="C139" s="329">
        <f>IFERROR(__xludf.DUMMYFUNCTION("""COMPUTED_VALUE"""),1093.0)</f>
        <v>1093</v>
      </c>
      <c r="D139" s="329">
        <f>IFERROR(__xludf.DUMMYFUNCTION("""COMPUTED_VALUE"""),126437.0)</f>
        <v>126437</v>
      </c>
      <c r="E139" s="329">
        <f>IFERROR(__xludf.DUMMYFUNCTION("""COMPUTED_VALUE"""),17565.0)</f>
        <v>17565</v>
      </c>
      <c r="F139" s="258">
        <f>IFERROR(__xludf.DUMMYFUNCTION("""COMPUTED_VALUE"""),2140590.0)</f>
        <v>2140590</v>
      </c>
      <c r="G139" s="258">
        <f>IFERROR(__xludf.DUMMYFUNCTION("""COMPUTED_VALUE"""),18666.0)</f>
        <v>18666</v>
      </c>
      <c r="H139" s="258">
        <f>IFERROR(__xludf.DUMMYFUNCTION("""COMPUTED_VALUE"""),2267027.0)</f>
        <v>2267027</v>
      </c>
      <c r="I139" s="329">
        <f>IFERROR(__xludf.DUMMYFUNCTION("""COMPUTED_VALUE"""),953.0)</f>
        <v>953</v>
      </c>
      <c r="J139" s="329">
        <f>IFERROR(__xludf.DUMMYFUNCTION("""COMPUTED_VALUE"""),945.0)</f>
        <v>945</v>
      </c>
      <c r="K139" s="329">
        <f>IFERROR(__xludf.DUMMYFUNCTION("""COMPUTED_VALUE"""),105759.0)</f>
        <v>105759</v>
      </c>
      <c r="L139" s="329">
        <f>IFERROR(__xludf.DUMMYFUNCTION("""COMPUTED_VALUE"""),3279.0)</f>
        <v>3279</v>
      </c>
      <c r="M139" s="329">
        <f>IFERROR(__xludf.DUMMYFUNCTION("""COMPUTED_VALUE"""),577972.0)</f>
        <v>577972</v>
      </c>
      <c r="N139" s="329">
        <f>IFERROR(__xludf.DUMMYFUNCTION("""COMPUTED_VALUE"""),683731.0)</f>
        <v>683731</v>
      </c>
      <c r="O139" s="329">
        <f>IFERROR(__xludf.DUMMYFUNCTION("""COMPUTED_VALUE"""),61.0)</f>
        <v>61</v>
      </c>
      <c r="P139" s="329">
        <f>IFERROR(__xludf.DUMMYFUNCTION("""COMPUTED_VALUE"""),7480.0)</f>
        <v>7480</v>
      </c>
      <c r="Q139" s="329">
        <f>IFERROR(__xludf.DUMMYFUNCTION("""COMPUTED_VALUE"""),73.0)</f>
        <v>73</v>
      </c>
      <c r="R139" s="329">
        <f>IFERROR(__xludf.DUMMYFUNCTION("""COMPUTED_VALUE"""),6230.0)</f>
        <v>6230</v>
      </c>
      <c r="S139" s="329">
        <f>IFERROR(__xludf.DUMMYFUNCTION("""COMPUTED_VALUE"""),8.0)</f>
        <v>8</v>
      </c>
      <c r="T139" s="329">
        <f>IFERROR(__xludf.DUMMYFUNCTION("""COMPUTED_VALUE"""),838.0)</f>
        <v>838</v>
      </c>
      <c r="U139" s="329">
        <f>IFERROR(__xludf.DUMMYFUNCTION("""COMPUTED_VALUE"""),412.0)</f>
        <v>412</v>
      </c>
      <c r="V139" s="329">
        <f>IFERROR(__xludf.DUMMYFUNCTION("""COMPUTED_VALUE"""),426.0)</f>
        <v>426</v>
      </c>
      <c r="W139" s="329">
        <f>IFERROR(__xludf.DUMMYFUNCTION("""COMPUTED_VALUE"""),57.0)</f>
        <v>57</v>
      </c>
      <c r="X139" s="329">
        <f>IFERROR(__xludf.DUMMYFUNCTION("""COMPUTED_VALUE"""),38.0)</f>
        <v>38</v>
      </c>
      <c r="Y139" s="329">
        <f>IFERROR(__xludf.DUMMYFUNCTION("""COMPUTED_VALUE"""),16.0)</f>
        <v>16</v>
      </c>
      <c r="Z139" s="329">
        <f>IFERROR(__xludf.DUMMYFUNCTION("""COMPUTED_VALUE"""),2154.0)</f>
        <v>2154</v>
      </c>
      <c r="AA139" s="258">
        <f>IFERROR(__xludf.DUMMYFUNCTION("""COMPUTED_VALUE"""),1601.0)</f>
        <v>1601</v>
      </c>
      <c r="AB139" s="258">
        <f>IFERROR(__xludf.DUMMYFUNCTION("""COMPUTED_VALUE"""),576.0)</f>
        <v>576</v>
      </c>
      <c r="AC139" s="258">
        <f>IFERROR(__xludf.DUMMYFUNCTION("""COMPUTED_VALUE"""),2177.0)</f>
        <v>2177</v>
      </c>
      <c r="AD139" s="258">
        <f>IFERROR(__xludf.DUMMYFUNCTION("""COMPUTED_VALUE"""),56737.0)</f>
        <v>56737</v>
      </c>
      <c r="AE139" s="258">
        <f>IFERROR(__xludf.DUMMYFUNCTION("""COMPUTED_VALUE"""),1601.0)</f>
        <v>1601</v>
      </c>
      <c r="AF139" s="258">
        <f>IFERROR(__xludf.DUMMYFUNCTION("""COMPUTED_VALUE"""),46718.0)</f>
        <v>46718</v>
      </c>
      <c r="AG139" s="258">
        <f>IFERROR(__xludf.DUMMYFUNCTION("""COMPUTED_VALUE"""),576.0)</f>
        <v>576</v>
      </c>
      <c r="AH139" s="258">
        <f>IFERROR(__xludf.DUMMYFUNCTION("""COMPUTED_VALUE"""),10019.0)</f>
        <v>10019</v>
      </c>
    </row>
    <row r="140">
      <c r="A140" s="328">
        <f>IFERROR(__xludf.DUMMYFUNCTION("""COMPUTED_VALUE"""),44212.0)</f>
        <v>44212</v>
      </c>
      <c r="B140" s="329">
        <f>IFERROR(__xludf.DUMMYFUNCTION("""COMPUTED_VALUE"""),920.0)</f>
        <v>920</v>
      </c>
      <c r="C140" s="329">
        <f>IFERROR(__xludf.DUMMYFUNCTION("""COMPUTED_VALUE"""),1055.0)</f>
        <v>1055</v>
      </c>
      <c r="D140" s="329">
        <f>IFERROR(__xludf.DUMMYFUNCTION("""COMPUTED_VALUE"""),127357.0)</f>
        <v>127357</v>
      </c>
      <c r="E140" s="329">
        <f>IFERROR(__xludf.DUMMYFUNCTION("""COMPUTED_VALUE"""),16699.0)</f>
        <v>16699</v>
      </c>
      <c r="F140" s="258">
        <f>IFERROR(__xludf.DUMMYFUNCTION("""COMPUTED_VALUE"""),2157289.0)</f>
        <v>2157289</v>
      </c>
      <c r="G140" s="258">
        <f>IFERROR(__xludf.DUMMYFUNCTION("""COMPUTED_VALUE"""),17619.0)</f>
        <v>17619</v>
      </c>
      <c r="H140" s="258">
        <f>IFERROR(__xludf.DUMMYFUNCTION("""COMPUTED_VALUE"""),2284646.0)</f>
        <v>2284646</v>
      </c>
      <c r="I140" s="329">
        <f>IFERROR(__xludf.DUMMYFUNCTION("""COMPUTED_VALUE"""),768.0)</f>
        <v>768</v>
      </c>
      <c r="J140" s="329">
        <f>IFERROR(__xludf.DUMMYFUNCTION("""COMPUTED_VALUE"""),906.0)</f>
        <v>906</v>
      </c>
      <c r="K140" s="329">
        <f>IFERROR(__xludf.DUMMYFUNCTION("""COMPUTED_VALUE"""),106527.0)</f>
        <v>106527</v>
      </c>
      <c r="L140" s="329">
        <f>IFERROR(__xludf.DUMMYFUNCTION("""COMPUTED_VALUE"""),2837.0)</f>
        <v>2837</v>
      </c>
      <c r="M140" s="329">
        <f>IFERROR(__xludf.DUMMYFUNCTION("""COMPUTED_VALUE"""),580809.0)</f>
        <v>580809</v>
      </c>
      <c r="N140" s="329">
        <f>IFERROR(__xludf.DUMMYFUNCTION("""COMPUTED_VALUE"""),687336.0)</f>
        <v>687336</v>
      </c>
      <c r="O140" s="329">
        <f>IFERROR(__xludf.DUMMYFUNCTION("""COMPUTED_VALUE"""),56.0)</f>
        <v>56</v>
      </c>
      <c r="P140" s="329">
        <f>IFERROR(__xludf.DUMMYFUNCTION("""COMPUTED_VALUE"""),7536.0)</f>
        <v>7536</v>
      </c>
      <c r="Q140" s="329">
        <f>IFERROR(__xludf.DUMMYFUNCTION("""COMPUTED_VALUE"""),51.0)</f>
        <v>51</v>
      </c>
      <c r="R140" s="329">
        <f>IFERROR(__xludf.DUMMYFUNCTION("""COMPUTED_VALUE"""),6281.0)</f>
        <v>6281</v>
      </c>
      <c r="S140" s="329">
        <f>IFERROR(__xludf.DUMMYFUNCTION("""COMPUTED_VALUE"""),3.0)</f>
        <v>3</v>
      </c>
      <c r="T140" s="329">
        <f>IFERROR(__xludf.DUMMYFUNCTION("""COMPUTED_VALUE"""),841.0)</f>
        <v>841</v>
      </c>
      <c r="U140" s="329">
        <f>IFERROR(__xludf.DUMMYFUNCTION("""COMPUTED_VALUE"""),414.0)</f>
        <v>414</v>
      </c>
      <c r="V140" s="329">
        <f>IFERROR(__xludf.DUMMYFUNCTION("""COMPUTED_VALUE"""),419.0)</f>
        <v>419</v>
      </c>
      <c r="W140" s="329">
        <f>IFERROR(__xludf.DUMMYFUNCTION("""COMPUTED_VALUE"""),59.0)</f>
        <v>59</v>
      </c>
      <c r="X140" s="329">
        <f>IFERROR(__xludf.DUMMYFUNCTION("""COMPUTED_VALUE"""),43.0)</f>
        <v>43</v>
      </c>
      <c r="Y140" s="329">
        <f>IFERROR(__xludf.DUMMYFUNCTION("""COMPUTED_VALUE"""),15.0)</f>
        <v>15</v>
      </c>
      <c r="Z140" s="329">
        <f>IFERROR(__xludf.DUMMYFUNCTION("""COMPUTED_VALUE"""),2169.0)</f>
        <v>2169</v>
      </c>
      <c r="AA140" s="258">
        <f>IFERROR(__xludf.DUMMYFUNCTION("""COMPUTED_VALUE"""),2257.0)</f>
        <v>2257</v>
      </c>
      <c r="AB140" s="258">
        <f>IFERROR(__xludf.DUMMYFUNCTION("""COMPUTED_VALUE"""),594.0)</f>
        <v>594</v>
      </c>
      <c r="AC140" s="258">
        <f>IFERROR(__xludf.DUMMYFUNCTION("""COMPUTED_VALUE"""),2851.0)</f>
        <v>2851</v>
      </c>
      <c r="AD140" s="258">
        <f>IFERROR(__xludf.DUMMYFUNCTION("""COMPUTED_VALUE"""),59588.0)</f>
        <v>59588</v>
      </c>
      <c r="AE140" s="258">
        <f>IFERROR(__xludf.DUMMYFUNCTION("""COMPUTED_VALUE"""),2257.0)</f>
        <v>2257</v>
      </c>
      <c r="AF140" s="258">
        <f>IFERROR(__xludf.DUMMYFUNCTION("""COMPUTED_VALUE"""),48975.0)</f>
        <v>48975</v>
      </c>
      <c r="AG140" s="258">
        <f>IFERROR(__xludf.DUMMYFUNCTION("""COMPUTED_VALUE"""),594.0)</f>
        <v>594</v>
      </c>
      <c r="AH140" s="258">
        <f>IFERROR(__xludf.DUMMYFUNCTION("""COMPUTED_VALUE"""),10613.0)</f>
        <v>10613</v>
      </c>
    </row>
    <row r="141">
      <c r="A141" s="328">
        <f>IFERROR(__xludf.DUMMYFUNCTION("""COMPUTED_VALUE"""),44213.0)</f>
        <v>44213</v>
      </c>
      <c r="B141" s="329">
        <f>IFERROR(__xludf.DUMMYFUNCTION("""COMPUTED_VALUE"""),626.0)</f>
        <v>626</v>
      </c>
      <c r="C141" s="329">
        <f>IFERROR(__xludf.DUMMYFUNCTION("""COMPUTED_VALUE"""),882.0)</f>
        <v>882</v>
      </c>
      <c r="D141" s="329">
        <f>IFERROR(__xludf.DUMMYFUNCTION("""COMPUTED_VALUE"""),127983.0)</f>
        <v>127983</v>
      </c>
      <c r="E141" s="329">
        <f>IFERROR(__xludf.DUMMYFUNCTION("""COMPUTED_VALUE"""),10063.0)</f>
        <v>10063</v>
      </c>
      <c r="F141" s="258">
        <f>IFERROR(__xludf.DUMMYFUNCTION("""COMPUTED_VALUE"""),2167352.0)</f>
        <v>2167352</v>
      </c>
      <c r="G141" s="258">
        <f>IFERROR(__xludf.DUMMYFUNCTION("""COMPUTED_VALUE"""),10689.0)</f>
        <v>10689</v>
      </c>
      <c r="H141" s="258">
        <f>IFERROR(__xludf.DUMMYFUNCTION("""COMPUTED_VALUE"""),2295335.0)</f>
        <v>2295335</v>
      </c>
      <c r="I141" s="329">
        <f>IFERROR(__xludf.DUMMYFUNCTION("""COMPUTED_VALUE"""),515.0)</f>
        <v>515</v>
      </c>
      <c r="J141" s="329">
        <f>IFERROR(__xludf.DUMMYFUNCTION("""COMPUTED_VALUE"""),745.0)</f>
        <v>745</v>
      </c>
      <c r="K141" s="329">
        <f>IFERROR(__xludf.DUMMYFUNCTION("""COMPUTED_VALUE"""),107042.0)</f>
        <v>107042</v>
      </c>
      <c r="L141" s="329">
        <f>IFERROR(__xludf.DUMMYFUNCTION("""COMPUTED_VALUE"""),1786.0)</f>
        <v>1786</v>
      </c>
      <c r="M141" s="329">
        <f>IFERROR(__xludf.DUMMYFUNCTION("""COMPUTED_VALUE"""),582595.0)</f>
        <v>582595</v>
      </c>
      <c r="N141" s="329">
        <f>IFERROR(__xludf.DUMMYFUNCTION("""COMPUTED_VALUE"""),689637.0)</f>
        <v>689637</v>
      </c>
      <c r="O141" s="329">
        <f>IFERROR(__xludf.DUMMYFUNCTION("""COMPUTED_VALUE"""),47.0)</f>
        <v>47</v>
      </c>
      <c r="P141" s="329">
        <f>IFERROR(__xludf.DUMMYFUNCTION("""COMPUTED_VALUE"""),7583.0)</f>
        <v>7583</v>
      </c>
      <c r="Q141" s="329">
        <f>IFERROR(__xludf.DUMMYFUNCTION("""COMPUTED_VALUE"""),41.0)</f>
        <v>41</v>
      </c>
      <c r="R141" s="329">
        <f>IFERROR(__xludf.DUMMYFUNCTION("""COMPUTED_VALUE"""),6322.0)</f>
        <v>6322</v>
      </c>
      <c r="S141" s="329">
        <f>IFERROR(__xludf.DUMMYFUNCTION("""COMPUTED_VALUE"""),4.0)</f>
        <v>4</v>
      </c>
      <c r="T141" s="329">
        <f>IFERROR(__xludf.DUMMYFUNCTION("""COMPUTED_VALUE"""),845.0)</f>
        <v>845</v>
      </c>
      <c r="U141" s="329">
        <f>IFERROR(__xludf.DUMMYFUNCTION("""COMPUTED_VALUE"""),416.0)</f>
        <v>416</v>
      </c>
      <c r="V141" s="329">
        <f>IFERROR(__xludf.DUMMYFUNCTION("""COMPUTED_VALUE"""),414.0)</f>
        <v>414</v>
      </c>
      <c r="W141" s="329">
        <f>IFERROR(__xludf.DUMMYFUNCTION("""COMPUTED_VALUE"""),57.0)</f>
        <v>57</v>
      </c>
      <c r="X141" s="329">
        <f>IFERROR(__xludf.DUMMYFUNCTION("""COMPUTED_VALUE"""),42.0)</f>
        <v>42</v>
      </c>
      <c r="Y141" s="329">
        <f>IFERROR(__xludf.DUMMYFUNCTION("""COMPUTED_VALUE"""),8.0)</f>
        <v>8</v>
      </c>
      <c r="Z141" s="329">
        <f>IFERROR(__xludf.DUMMYFUNCTION("""COMPUTED_VALUE"""),2177.0)</f>
        <v>2177</v>
      </c>
      <c r="AA141" s="258">
        <f>IFERROR(__xludf.DUMMYFUNCTION("""COMPUTED_VALUE"""),335.0)</f>
        <v>335</v>
      </c>
      <c r="AB141" s="258">
        <f>IFERROR(__xludf.DUMMYFUNCTION("""COMPUTED_VALUE"""),208.0)</f>
        <v>208</v>
      </c>
      <c r="AC141" s="258">
        <f>IFERROR(__xludf.DUMMYFUNCTION("""COMPUTED_VALUE"""),543.0)</f>
        <v>543</v>
      </c>
      <c r="AD141" s="258">
        <f>IFERROR(__xludf.DUMMYFUNCTION("""COMPUTED_VALUE"""),60131.0)</f>
        <v>60131</v>
      </c>
      <c r="AE141" s="258">
        <f>IFERROR(__xludf.DUMMYFUNCTION("""COMPUTED_VALUE"""),335.0)</f>
        <v>335</v>
      </c>
      <c r="AF141" s="258">
        <f>IFERROR(__xludf.DUMMYFUNCTION("""COMPUTED_VALUE"""),49310.0)</f>
        <v>49310</v>
      </c>
      <c r="AG141" s="258">
        <f>IFERROR(__xludf.DUMMYFUNCTION("""COMPUTED_VALUE"""),208.0)</f>
        <v>208</v>
      </c>
      <c r="AH141" s="258">
        <f>IFERROR(__xludf.DUMMYFUNCTION("""COMPUTED_VALUE"""),10821.0)</f>
        <v>10821</v>
      </c>
    </row>
    <row r="142">
      <c r="A142" s="328">
        <f>IFERROR(__xludf.DUMMYFUNCTION("""COMPUTED_VALUE"""),44214.0)</f>
        <v>44214</v>
      </c>
      <c r="B142" s="329">
        <f>IFERROR(__xludf.DUMMYFUNCTION("""COMPUTED_VALUE"""),559.0)</f>
        <v>559</v>
      </c>
      <c r="C142" s="329">
        <f>IFERROR(__xludf.DUMMYFUNCTION("""COMPUTED_VALUE"""),702.0)</f>
        <v>702</v>
      </c>
      <c r="D142" s="329">
        <f>IFERROR(__xludf.DUMMYFUNCTION("""COMPUTED_VALUE"""),128542.0)</f>
        <v>128542</v>
      </c>
      <c r="E142" s="329">
        <f>IFERROR(__xludf.DUMMYFUNCTION("""COMPUTED_VALUE"""),8810.0)</f>
        <v>8810</v>
      </c>
      <c r="F142" s="258">
        <f>IFERROR(__xludf.DUMMYFUNCTION("""COMPUTED_VALUE"""),2176162.0)</f>
        <v>2176162</v>
      </c>
      <c r="G142" s="258">
        <f>IFERROR(__xludf.DUMMYFUNCTION("""COMPUTED_VALUE"""),9369.0)</f>
        <v>9369</v>
      </c>
      <c r="H142" s="258">
        <f>IFERROR(__xludf.DUMMYFUNCTION("""COMPUTED_VALUE"""),2304704.0)</f>
        <v>2304704</v>
      </c>
      <c r="I142" s="329">
        <f>IFERROR(__xludf.DUMMYFUNCTION("""COMPUTED_VALUE"""),470.0)</f>
        <v>470</v>
      </c>
      <c r="J142" s="329">
        <f>IFERROR(__xludf.DUMMYFUNCTION("""COMPUTED_VALUE"""),584.0)</f>
        <v>584</v>
      </c>
      <c r="K142" s="329">
        <f>IFERROR(__xludf.DUMMYFUNCTION("""COMPUTED_VALUE"""),107512.0)</f>
        <v>107512</v>
      </c>
      <c r="L142" s="329">
        <f>IFERROR(__xludf.DUMMYFUNCTION("""COMPUTED_VALUE"""),1384.0)</f>
        <v>1384</v>
      </c>
      <c r="M142" s="329">
        <f>IFERROR(__xludf.DUMMYFUNCTION("""COMPUTED_VALUE"""),583979.0)</f>
        <v>583979</v>
      </c>
      <c r="N142" s="329">
        <f>IFERROR(__xludf.DUMMYFUNCTION("""COMPUTED_VALUE"""),691491.0)</f>
        <v>691491</v>
      </c>
      <c r="O142" s="329">
        <f>IFERROR(__xludf.DUMMYFUNCTION("""COMPUTED_VALUE"""),60.0)</f>
        <v>60</v>
      </c>
      <c r="P142" s="329">
        <f>IFERROR(__xludf.DUMMYFUNCTION("""COMPUTED_VALUE"""),7643.0)</f>
        <v>7643</v>
      </c>
      <c r="Q142" s="329">
        <f>IFERROR(__xludf.DUMMYFUNCTION("""COMPUTED_VALUE"""),43.0)</f>
        <v>43</v>
      </c>
      <c r="R142" s="329">
        <f>IFERROR(__xludf.DUMMYFUNCTION("""COMPUTED_VALUE"""),6365.0)</f>
        <v>6365</v>
      </c>
      <c r="S142" s="329">
        <f>IFERROR(__xludf.DUMMYFUNCTION("""COMPUTED_VALUE"""),8.0)</f>
        <v>8</v>
      </c>
      <c r="T142" s="329">
        <f>IFERROR(__xludf.DUMMYFUNCTION("""COMPUTED_VALUE"""),853.0)</f>
        <v>853</v>
      </c>
      <c r="U142" s="329">
        <f>IFERROR(__xludf.DUMMYFUNCTION("""COMPUTED_VALUE"""),425.0)</f>
        <v>425</v>
      </c>
      <c r="V142" s="329">
        <f>IFERROR(__xludf.DUMMYFUNCTION("""COMPUTED_VALUE"""),418.0)</f>
        <v>418</v>
      </c>
      <c r="W142" s="329">
        <f>IFERROR(__xludf.DUMMYFUNCTION("""COMPUTED_VALUE"""),56.0)</f>
        <v>56</v>
      </c>
      <c r="X142" s="329">
        <f>IFERROR(__xludf.DUMMYFUNCTION("""COMPUTED_VALUE"""),40.0)</f>
        <v>40</v>
      </c>
      <c r="Y142" s="329">
        <f>IFERROR(__xludf.DUMMYFUNCTION("""COMPUTED_VALUE"""),19.0)</f>
        <v>19</v>
      </c>
      <c r="Z142" s="329">
        <f>IFERROR(__xludf.DUMMYFUNCTION("""COMPUTED_VALUE"""),2196.0)</f>
        <v>2196</v>
      </c>
      <c r="AA142" s="258">
        <f>IFERROR(__xludf.DUMMYFUNCTION("""COMPUTED_VALUE"""),1213.0)</f>
        <v>1213</v>
      </c>
      <c r="AB142" s="258">
        <f>IFERROR(__xludf.DUMMYFUNCTION("""COMPUTED_VALUE"""),1064.0)</f>
        <v>1064</v>
      </c>
      <c r="AC142" s="258">
        <f>IFERROR(__xludf.DUMMYFUNCTION("""COMPUTED_VALUE"""),2277.0)</f>
        <v>2277</v>
      </c>
      <c r="AD142" s="258">
        <f>IFERROR(__xludf.DUMMYFUNCTION("""COMPUTED_VALUE"""),62408.0)</f>
        <v>62408</v>
      </c>
      <c r="AE142" s="258">
        <f>IFERROR(__xludf.DUMMYFUNCTION("""COMPUTED_VALUE"""),1213.0)</f>
        <v>1213</v>
      </c>
      <c r="AF142" s="258">
        <f>IFERROR(__xludf.DUMMYFUNCTION("""COMPUTED_VALUE"""),50523.0)</f>
        <v>50523</v>
      </c>
      <c r="AG142" s="258">
        <f>IFERROR(__xludf.DUMMYFUNCTION("""COMPUTED_VALUE"""),1064.0)</f>
        <v>1064</v>
      </c>
      <c r="AH142" s="258">
        <f>IFERROR(__xludf.DUMMYFUNCTION("""COMPUTED_VALUE"""),11885.0)</f>
        <v>11885</v>
      </c>
    </row>
    <row r="143">
      <c r="A143" s="328">
        <f>IFERROR(__xludf.DUMMYFUNCTION("""COMPUTED_VALUE"""),44215.0)</f>
        <v>44215</v>
      </c>
      <c r="B143" s="329">
        <f>IFERROR(__xludf.DUMMYFUNCTION("""COMPUTED_VALUE"""),954.0)</f>
        <v>954</v>
      </c>
      <c r="C143" s="329">
        <f>IFERROR(__xludf.DUMMYFUNCTION("""COMPUTED_VALUE"""),713.0)</f>
        <v>713</v>
      </c>
      <c r="D143" s="329">
        <f>IFERROR(__xludf.DUMMYFUNCTION("""COMPUTED_VALUE"""),129496.0)</f>
        <v>129496</v>
      </c>
      <c r="E143" s="329">
        <f>IFERROR(__xludf.DUMMYFUNCTION("""COMPUTED_VALUE"""),18644.0)</f>
        <v>18644</v>
      </c>
      <c r="F143" s="258">
        <f>IFERROR(__xludf.DUMMYFUNCTION("""COMPUTED_VALUE"""),2194806.0)</f>
        <v>2194806</v>
      </c>
      <c r="G143" s="258">
        <f>IFERROR(__xludf.DUMMYFUNCTION("""COMPUTED_VALUE"""),19598.0)</f>
        <v>19598</v>
      </c>
      <c r="H143" s="258">
        <f>IFERROR(__xludf.DUMMYFUNCTION("""COMPUTED_VALUE"""),2324302.0)</f>
        <v>2324302</v>
      </c>
      <c r="I143" s="329">
        <f>IFERROR(__xludf.DUMMYFUNCTION("""COMPUTED_VALUE"""),853.0)</f>
        <v>853</v>
      </c>
      <c r="J143" s="329">
        <f>IFERROR(__xludf.DUMMYFUNCTION("""COMPUTED_VALUE"""),613.0)</f>
        <v>613</v>
      </c>
      <c r="K143" s="329">
        <f>IFERROR(__xludf.DUMMYFUNCTION("""COMPUTED_VALUE"""),108365.0)</f>
        <v>108365</v>
      </c>
      <c r="L143" s="329">
        <f>IFERROR(__xludf.DUMMYFUNCTION("""COMPUTED_VALUE"""),3144.0)</f>
        <v>3144</v>
      </c>
      <c r="M143" s="329">
        <f>IFERROR(__xludf.DUMMYFUNCTION("""COMPUTED_VALUE"""),587123.0)</f>
        <v>587123</v>
      </c>
      <c r="N143" s="329">
        <f>IFERROR(__xludf.DUMMYFUNCTION("""COMPUTED_VALUE"""),695488.0)</f>
        <v>695488</v>
      </c>
      <c r="O143" s="329">
        <f>IFERROR(__xludf.DUMMYFUNCTION("""COMPUTED_VALUE"""),68.0)</f>
        <v>68</v>
      </c>
      <c r="P143" s="329">
        <f>IFERROR(__xludf.DUMMYFUNCTION("""COMPUTED_VALUE"""),7711.0)</f>
        <v>7711</v>
      </c>
      <c r="Q143" s="329">
        <f>IFERROR(__xludf.DUMMYFUNCTION("""COMPUTED_VALUE"""),60.0)</f>
        <v>60</v>
      </c>
      <c r="R143" s="329">
        <f>IFERROR(__xludf.DUMMYFUNCTION("""COMPUTED_VALUE"""),6425.0)</f>
        <v>6425</v>
      </c>
      <c r="S143" s="329">
        <f>IFERROR(__xludf.DUMMYFUNCTION("""COMPUTED_VALUE"""),9.0)</f>
        <v>9</v>
      </c>
      <c r="T143" s="329">
        <f>IFERROR(__xludf.DUMMYFUNCTION("""COMPUTED_VALUE"""),862.0)</f>
        <v>862</v>
      </c>
      <c r="U143" s="329">
        <f>IFERROR(__xludf.DUMMYFUNCTION("""COMPUTED_VALUE"""),424.0)</f>
        <v>424</v>
      </c>
      <c r="V143" s="329">
        <f>IFERROR(__xludf.DUMMYFUNCTION("""COMPUTED_VALUE"""),422.0)</f>
        <v>422</v>
      </c>
      <c r="W143" s="329">
        <f>IFERROR(__xludf.DUMMYFUNCTION("""COMPUTED_VALUE"""),58.0)</f>
        <v>58</v>
      </c>
      <c r="X143" s="329">
        <f>IFERROR(__xludf.DUMMYFUNCTION("""COMPUTED_VALUE"""),40.0)</f>
        <v>40</v>
      </c>
      <c r="Y143" s="329">
        <f>IFERROR(__xludf.DUMMYFUNCTION("""COMPUTED_VALUE"""),13.0)</f>
        <v>13</v>
      </c>
      <c r="Z143" s="329">
        <f>IFERROR(__xludf.DUMMYFUNCTION("""COMPUTED_VALUE"""),2209.0)</f>
        <v>2209</v>
      </c>
      <c r="AA143" s="258">
        <f>IFERROR(__xludf.DUMMYFUNCTION("""COMPUTED_VALUE"""),1487.0)</f>
        <v>1487</v>
      </c>
      <c r="AB143" s="258">
        <f>IFERROR(__xludf.DUMMYFUNCTION("""COMPUTED_VALUE"""),722.0)</f>
        <v>722</v>
      </c>
      <c r="AC143" s="258">
        <f>IFERROR(__xludf.DUMMYFUNCTION("""COMPUTED_VALUE"""),2209.0)</f>
        <v>2209</v>
      </c>
      <c r="AD143" s="258">
        <f>IFERROR(__xludf.DUMMYFUNCTION("""COMPUTED_VALUE"""),64617.0)</f>
        <v>64617</v>
      </c>
      <c r="AE143" s="258">
        <f>IFERROR(__xludf.DUMMYFUNCTION("""COMPUTED_VALUE"""),1487.0)</f>
        <v>1487</v>
      </c>
      <c r="AF143" s="258">
        <f>IFERROR(__xludf.DUMMYFUNCTION("""COMPUTED_VALUE"""),52010.0)</f>
        <v>52010</v>
      </c>
      <c r="AG143" s="258">
        <f>IFERROR(__xludf.DUMMYFUNCTION("""COMPUTED_VALUE"""),722.0)</f>
        <v>722</v>
      </c>
      <c r="AH143" s="258">
        <f>IFERROR(__xludf.DUMMYFUNCTION("""COMPUTED_VALUE"""),12607.0)</f>
        <v>12607</v>
      </c>
    </row>
    <row r="144">
      <c r="A144" s="328">
        <f>IFERROR(__xludf.DUMMYFUNCTION("""COMPUTED_VALUE"""),44216.0)</f>
        <v>44216</v>
      </c>
      <c r="B144" s="329">
        <f>IFERROR(__xludf.DUMMYFUNCTION("""COMPUTED_VALUE"""),967.0)</f>
        <v>967</v>
      </c>
      <c r="C144" s="329">
        <f>IFERROR(__xludf.DUMMYFUNCTION("""COMPUTED_VALUE"""),827.0)</f>
        <v>827</v>
      </c>
      <c r="D144" s="329">
        <f>IFERROR(__xludf.DUMMYFUNCTION("""COMPUTED_VALUE"""),130463.0)</f>
        <v>130463</v>
      </c>
      <c r="E144" s="329">
        <f>IFERROR(__xludf.DUMMYFUNCTION("""COMPUTED_VALUE"""),22631.0)</f>
        <v>22631</v>
      </c>
      <c r="F144" s="258">
        <f>IFERROR(__xludf.DUMMYFUNCTION("""COMPUTED_VALUE"""),2217437.0)</f>
        <v>2217437</v>
      </c>
      <c r="G144" s="258">
        <f>IFERROR(__xludf.DUMMYFUNCTION("""COMPUTED_VALUE"""),23598.0)</f>
        <v>23598</v>
      </c>
      <c r="H144" s="258">
        <f>IFERROR(__xludf.DUMMYFUNCTION("""COMPUTED_VALUE"""),2347900.0)</f>
        <v>2347900</v>
      </c>
      <c r="I144" s="329">
        <f>IFERROR(__xludf.DUMMYFUNCTION("""COMPUTED_VALUE"""),852.0)</f>
        <v>852</v>
      </c>
      <c r="J144" s="329">
        <f>IFERROR(__xludf.DUMMYFUNCTION("""COMPUTED_VALUE"""),725.0)</f>
        <v>725</v>
      </c>
      <c r="K144" s="329">
        <f>IFERROR(__xludf.DUMMYFUNCTION("""COMPUTED_VALUE"""),109217.0)</f>
        <v>109217</v>
      </c>
      <c r="L144" s="329">
        <f>IFERROR(__xludf.DUMMYFUNCTION("""COMPUTED_VALUE"""),3368.0)</f>
        <v>3368</v>
      </c>
      <c r="M144" s="329">
        <f>IFERROR(__xludf.DUMMYFUNCTION("""COMPUTED_VALUE"""),590491.0)</f>
        <v>590491</v>
      </c>
      <c r="N144" s="329">
        <f>IFERROR(__xludf.DUMMYFUNCTION("""COMPUTED_VALUE"""),699708.0)</f>
        <v>699708</v>
      </c>
      <c r="O144" s="329">
        <f>IFERROR(__xludf.DUMMYFUNCTION("""COMPUTED_VALUE"""),46.0)</f>
        <v>46</v>
      </c>
      <c r="P144" s="329">
        <f>IFERROR(__xludf.DUMMYFUNCTION("""COMPUTED_VALUE"""),7757.0)</f>
        <v>7757</v>
      </c>
      <c r="Q144" s="329">
        <f>IFERROR(__xludf.DUMMYFUNCTION("""COMPUTED_VALUE"""),66.0)</f>
        <v>66</v>
      </c>
      <c r="R144" s="329">
        <f>IFERROR(__xludf.DUMMYFUNCTION("""COMPUTED_VALUE"""),6491.0)</f>
        <v>6491</v>
      </c>
      <c r="S144" s="329">
        <f>IFERROR(__xludf.DUMMYFUNCTION("""COMPUTED_VALUE"""),11.0)</f>
        <v>11</v>
      </c>
      <c r="T144" s="329">
        <f>IFERROR(__xludf.DUMMYFUNCTION("""COMPUTED_VALUE"""),873.0)</f>
        <v>873</v>
      </c>
      <c r="U144" s="329">
        <f>IFERROR(__xludf.DUMMYFUNCTION("""COMPUTED_VALUE"""),393.0)</f>
        <v>393</v>
      </c>
      <c r="V144" s="329">
        <f>IFERROR(__xludf.DUMMYFUNCTION("""COMPUTED_VALUE"""),414.0)</f>
        <v>414</v>
      </c>
      <c r="W144" s="329">
        <f>IFERROR(__xludf.DUMMYFUNCTION("""COMPUTED_VALUE"""),52.0)</f>
        <v>52</v>
      </c>
      <c r="X144" s="329">
        <f>IFERROR(__xludf.DUMMYFUNCTION("""COMPUTED_VALUE"""),34.0)</f>
        <v>34</v>
      </c>
      <c r="Y144" s="329">
        <f>IFERROR(__xludf.DUMMYFUNCTION("""COMPUTED_VALUE"""),25.0)</f>
        <v>25</v>
      </c>
      <c r="Z144" s="329">
        <f>IFERROR(__xludf.DUMMYFUNCTION("""COMPUTED_VALUE"""),2234.0)</f>
        <v>2234</v>
      </c>
      <c r="AA144" s="258">
        <f>IFERROR(__xludf.DUMMYFUNCTION("""COMPUTED_VALUE"""),1956.0)</f>
        <v>1956</v>
      </c>
      <c r="AB144" s="258">
        <f>IFERROR(__xludf.DUMMYFUNCTION("""COMPUTED_VALUE"""),795.0)</f>
        <v>795</v>
      </c>
      <c r="AC144" s="258">
        <f>IFERROR(__xludf.DUMMYFUNCTION("""COMPUTED_VALUE"""),2751.0)</f>
        <v>2751</v>
      </c>
      <c r="AD144" s="258">
        <f>IFERROR(__xludf.DUMMYFUNCTION("""COMPUTED_VALUE"""),67368.0)</f>
        <v>67368</v>
      </c>
      <c r="AE144" s="258">
        <f>IFERROR(__xludf.DUMMYFUNCTION("""COMPUTED_VALUE"""),1956.0)</f>
        <v>1956</v>
      </c>
      <c r="AF144" s="258">
        <f>IFERROR(__xludf.DUMMYFUNCTION("""COMPUTED_VALUE"""),53966.0)</f>
        <v>53966</v>
      </c>
      <c r="AG144" s="258">
        <f>IFERROR(__xludf.DUMMYFUNCTION("""COMPUTED_VALUE"""),795.0)</f>
        <v>795</v>
      </c>
      <c r="AH144" s="258">
        <f>IFERROR(__xludf.DUMMYFUNCTION("""COMPUTED_VALUE"""),13402.0)</f>
        <v>13402</v>
      </c>
    </row>
    <row r="145">
      <c r="A145" s="328">
        <f>IFERROR(__xludf.DUMMYFUNCTION("""COMPUTED_VALUE"""),44217.0)</f>
        <v>44217</v>
      </c>
      <c r="B145" s="329">
        <f>IFERROR(__xludf.DUMMYFUNCTION("""COMPUTED_VALUE"""),1183.0)</f>
        <v>1183</v>
      </c>
      <c r="C145" s="329">
        <f>IFERROR(__xludf.DUMMYFUNCTION("""COMPUTED_VALUE"""),1035.0)</f>
        <v>1035</v>
      </c>
      <c r="D145" s="329">
        <f>IFERROR(__xludf.DUMMYFUNCTION("""COMPUTED_VALUE"""),131646.0)</f>
        <v>131646</v>
      </c>
      <c r="E145" s="329">
        <f>IFERROR(__xludf.DUMMYFUNCTION("""COMPUTED_VALUE"""),24195.0)</f>
        <v>24195</v>
      </c>
      <c r="F145" s="258">
        <f>IFERROR(__xludf.DUMMYFUNCTION("""COMPUTED_VALUE"""),2241632.0)</f>
        <v>2241632</v>
      </c>
      <c r="G145" s="258">
        <f>IFERROR(__xludf.DUMMYFUNCTION("""COMPUTED_VALUE"""),25378.0)</f>
        <v>25378</v>
      </c>
      <c r="H145" s="258">
        <f>IFERROR(__xludf.DUMMYFUNCTION("""COMPUTED_VALUE"""),2373278.0)</f>
        <v>2373278</v>
      </c>
      <c r="I145" s="329">
        <f>IFERROR(__xludf.DUMMYFUNCTION("""COMPUTED_VALUE"""),1015.0)</f>
        <v>1015</v>
      </c>
      <c r="J145" s="329">
        <f>IFERROR(__xludf.DUMMYFUNCTION("""COMPUTED_VALUE"""),907.0)</f>
        <v>907</v>
      </c>
      <c r="K145" s="329">
        <f>IFERROR(__xludf.DUMMYFUNCTION("""COMPUTED_VALUE"""),110232.0)</f>
        <v>110232</v>
      </c>
      <c r="L145" s="329">
        <f>IFERROR(__xludf.DUMMYFUNCTION("""COMPUTED_VALUE"""),3904.0)</f>
        <v>3904</v>
      </c>
      <c r="M145" s="329">
        <f>IFERROR(__xludf.DUMMYFUNCTION("""COMPUTED_VALUE"""),594395.0)</f>
        <v>594395</v>
      </c>
      <c r="N145" s="329">
        <f>IFERROR(__xludf.DUMMYFUNCTION("""COMPUTED_VALUE"""),704627.0)</f>
        <v>704627</v>
      </c>
      <c r="O145" s="329">
        <f>IFERROR(__xludf.DUMMYFUNCTION("""COMPUTED_VALUE"""),55.0)</f>
        <v>55</v>
      </c>
      <c r="P145" s="329">
        <f>IFERROR(__xludf.DUMMYFUNCTION("""COMPUTED_VALUE"""),7812.0)</f>
        <v>7812</v>
      </c>
      <c r="Q145" s="329">
        <f>IFERROR(__xludf.DUMMYFUNCTION("""COMPUTED_VALUE"""),59.0)</f>
        <v>59</v>
      </c>
      <c r="R145" s="329">
        <f>IFERROR(__xludf.DUMMYFUNCTION("""COMPUTED_VALUE"""),6550.0)</f>
        <v>6550</v>
      </c>
      <c r="S145" s="329">
        <f>IFERROR(__xludf.DUMMYFUNCTION("""COMPUTED_VALUE"""),5.0)</f>
        <v>5</v>
      </c>
      <c r="T145" s="329">
        <f>IFERROR(__xludf.DUMMYFUNCTION("""COMPUTED_VALUE"""),878.0)</f>
        <v>878</v>
      </c>
      <c r="U145" s="329">
        <f>IFERROR(__xludf.DUMMYFUNCTION("""COMPUTED_VALUE"""),384.0)</f>
        <v>384</v>
      </c>
      <c r="V145" s="329">
        <f>IFERROR(__xludf.DUMMYFUNCTION("""COMPUTED_VALUE"""),400.0)</f>
        <v>400</v>
      </c>
      <c r="W145" s="329">
        <f>IFERROR(__xludf.DUMMYFUNCTION("""COMPUTED_VALUE"""),52.0)</f>
        <v>52</v>
      </c>
      <c r="X145" s="329">
        <f>IFERROR(__xludf.DUMMYFUNCTION("""COMPUTED_VALUE"""),32.0)</f>
        <v>32</v>
      </c>
      <c r="Y145" s="329">
        <f>IFERROR(__xludf.DUMMYFUNCTION("""COMPUTED_VALUE"""),10.0)</f>
        <v>10</v>
      </c>
      <c r="Z145" s="329">
        <f>IFERROR(__xludf.DUMMYFUNCTION("""COMPUTED_VALUE"""),2244.0)</f>
        <v>2244</v>
      </c>
      <c r="AA145" s="258">
        <f>IFERROR(__xludf.DUMMYFUNCTION("""COMPUTED_VALUE"""),2380.0)</f>
        <v>2380</v>
      </c>
      <c r="AB145" s="258">
        <f>IFERROR(__xludf.DUMMYFUNCTION("""COMPUTED_VALUE"""),345.0)</f>
        <v>345</v>
      </c>
      <c r="AC145" s="258">
        <f>IFERROR(__xludf.DUMMYFUNCTION("""COMPUTED_VALUE"""),2725.0)</f>
        <v>2725</v>
      </c>
      <c r="AD145" s="258">
        <f>IFERROR(__xludf.DUMMYFUNCTION("""COMPUTED_VALUE"""),70093.0)</f>
        <v>70093</v>
      </c>
      <c r="AE145" s="258">
        <f>IFERROR(__xludf.DUMMYFUNCTION("""COMPUTED_VALUE"""),2380.0)</f>
        <v>2380</v>
      </c>
      <c r="AF145" s="258">
        <f>IFERROR(__xludf.DUMMYFUNCTION("""COMPUTED_VALUE"""),56346.0)</f>
        <v>56346</v>
      </c>
      <c r="AG145" s="258">
        <f>IFERROR(__xludf.DUMMYFUNCTION("""COMPUTED_VALUE"""),345.0)</f>
        <v>345</v>
      </c>
      <c r="AH145" s="258">
        <f>IFERROR(__xludf.DUMMYFUNCTION("""COMPUTED_VALUE"""),13747.0)</f>
        <v>13747</v>
      </c>
    </row>
    <row r="146">
      <c r="A146" s="328">
        <f>IFERROR(__xludf.DUMMYFUNCTION("""COMPUTED_VALUE"""),44218.0)</f>
        <v>44218</v>
      </c>
      <c r="B146" s="329">
        <f>IFERROR(__xludf.DUMMYFUNCTION("""COMPUTED_VALUE"""),872.0)</f>
        <v>872</v>
      </c>
      <c r="C146" s="329">
        <f>IFERROR(__xludf.DUMMYFUNCTION("""COMPUTED_VALUE"""),1007.0)</f>
        <v>1007</v>
      </c>
      <c r="D146" s="329">
        <f>IFERROR(__xludf.DUMMYFUNCTION("""COMPUTED_VALUE"""),132518.0)</f>
        <v>132518</v>
      </c>
      <c r="E146" s="329">
        <f>IFERROR(__xludf.DUMMYFUNCTION("""COMPUTED_VALUE"""),19821.0)</f>
        <v>19821</v>
      </c>
      <c r="F146" s="258">
        <f>IFERROR(__xludf.DUMMYFUNCTION("""COMPUTED_VALUE"""),2261453.0)</f>
        <v>2261453</v>
      </c>
      <c r="G146" s="258">
        <f>IFERROR(__xludf.DUMMYFUNCTION("""COMPUTED_VALUE"""),20693.0)</f>
        <v>20693</v>
      </c>
      <c r="H146" s="258">
        <f>IFERROR(__xludf.DUMMYFUNCTION("""COMPUTED_VALUE"""),2393971.0)</f>
        <v>2393971</v>
      </c>
      <c r="I146" s="329">
        <f>IFERROR(__xludf.DUMMYFUNCTION("""COMPUTED_VALUE"""),758.0)</f>
        <v>758</v>
      </c>
      <c r="J146" s="329">
        <f>IFERROR(__xludf.DUMMYFUNCTION("""COMPUTED_VALUE"""),875.0)</f>
        <v>875</v>
      </c>
      <c r="K146" s="329">
        <f>IFERROR(__xludf.DUMMYFUNCTION("""COMPUTED_VALUE"""),110990.0)</f>
        <v>110990</v>
      </c>
      <c r="L146" s="329">
        <f>IFERROR(__xludf.DUMMYFUNCTION("""COMPUTED_VALUE"""),3038.0)</f>
        <v>3038</v>
      </c>
      <c r="M146" s="329">
        <f>IFERROR(__xludf.DUMMYFUNCTION("""COMPUTED_VALUE"""),597433.0)</f>
        <v>597433</v>
      </c>
      <c r="N146" s="329">
        <f>IFERROR(__xludf.DUMMYFUNCTION("""COMPUTED_VALUE"""),708423.0)</f>
        <v>708423</v>
      </c>
      <c r="O146" s="329">
        <f>IFERROR(__xludf.DUMMYFUNCTION("""COMPUTED_VALUE"""),54.0)</f>
        <v>54</v>
      </c>
      <c r="P146" s="329">
        <f>IFERROR(__xludf.DUMMYFUNCTION("""COMPUTED_VALUE"""),7866.0)</f>
        <v>7866</v>
      </c>
      <c r="Q146" s="329">
        <f>IFERROR(__xludf.DUMMYFUNCTION("""COMPUTED_VALUE"""),58.0)</f>
        <v>58</v>
      </c>
      <c r="R146" s="329">
        <f>IFERROR(__xludf.DUMMYFUNCTION("""COMPUTED_VALUE"""),6608.0)</f>
        <v>6608</v>
      </c>
      <c r="S146" s="329">
        <f>IFERROR(__xludf.DUMMYFUNCTION("""COMPUTED_VALUE"""),10.0)</f>
        <v>10</v>
      </c>
      <c r="T146" s="329">
        <f>IFERROR(__xludf.DUMMYFUNCTION("""COMPUTED_VALUE"""),888.0)</f>
        <v>888</v>
      </c>
      <c r="U146" s="329">
        <f>IFERROR(__xludf.DUMMYFUNCTION("""COMPUTED_VALUE"""),370.0)</f>
        <v>370</v>
      </c>
      <c r="V146" s="329">
        <f>IFERROR(__xludf.DUMMYFUNCTION("""COMPUTED_VALUE"""),382.0)</f>
        <v>382</v>
      </c>
      <c r="W146" s="329">
        <f>IFERROR(__xludf.DUMMYFUNCTION("""COMPUTED_VALUE"""),55.0)</f>
        <v>55</v>
      </c>
      <c r="X146" s="329">
        <f>IFERROR(__xludf.DUMMYFUNCTION("""COMPUTED_VALUE"""),34.0)</f>
        <v>34</v>
      </c>
      <c r="Y146" s="329">
        <f>IFERROR(__xludf.DUMMYFUNCTION("""COMPUTED_VALUE"""),16.0)</f>
        <v>16</v>
      </c>
      <c r="Z146" s="329">
        <f>IFERROR(__xludf.DUMMYFUNCTION("""COMPUTED_VALUE"""),2260.0)</f>
        <v>2260</v>
      </c>
      <c r="AA146" s="258">
        <f>IFERROR(__xludf.DUMMYFUNCTION("""COMPUTED_VALUE"""),2494.0)</f>
        <v>2494</v>
      </c>
      <c r="AB146" s="258">
        <f>IFERROR(__xludf.DUMMYFUNCTION("""COMPUTED_VALUE"""),310.0)</f>
        <v>310</v>
      </c>
      <c r="AC146" s="258">
        <f>IFERROR(__xludf.DUMMYFUNCTION("""COMPUTED_VALUE"""),2804.0)</f>
        <v>2804</v>
      </c>
      <c r="AD146" s="258">
        <f>IFERROR(__xludf.DUMMYFUNCTION("""COMPUTED_VALUE"""),72897.0)</f>
        <v>72897</v>
      </c>
      <c r="AE146" s="258">
        <f>IFERROR(__xludf.DUMMYFUNCTION("""COMPUTED_VALUE"""),2494.0)</f>
        <v>2494</v>
      </c>
      <c r="AF146" s="258">
        <f>IFERROR(__xludf.DUMMYFUNCTION("""COMPUTED_VALUE"""),58840.0)</f>
        <v>58840</v>
      </c>
      <c r="AG146" s="258">
        <f>IFERROR(__xludf.DUMMYFUNCTION("""COMPUTED_VALUE"""),310.0)</f>
        <v>310</v>
      </c>
      <c r="AH146" s="258">
        <f>IFERROR(__xludf.DUMMYFUNCTION("""COMPUTED_VALUE"""),14057.0)</f>
        <v>14057</v>
      </c>
    </row>
    <row r="147">
      <c r="A147" s="328">
        <f>IFERROR(__xludf.DUMMYFUNCTION("""COMPUTED_VALUE"""),44219.0)</f>
        <v>44219</v>
      </c>
      <c r="B147" s="329">
        <f>IFERROR(__xludf.DUMMYFUNCTION("""COMPUTED_VALUE"""),909.0)</f>
        <v>909</v>
      </c>
      <c r="C147" s="329">
        <f>IFERROR(__xludf.DUMMYFUNCTION("""COMPUTED_VALUE"""),988.0)</f>
        <v>988</v>
      </c>
      <c r="D147" s="329">
        <f>IFERROR(__xludf.DUMMYFUNCTION("""COMPUTED_VALUE"""),133427.0)</f>
        <v>133427</v>
      </c>
      <c r="E147" s="329">
        <f>IFERROR(__xludf.DUMMYFUNCTION("""COMPUTED_VALUE"""),19073.0)</f>
        <v>19073</v>
      </c>
      <c r="F147" s="258">
        <f>IFERROR(__xludf.DUMMYFUNCTION("""COMPUTED_VALUE"""),2280526.0)</f>
        <v>2280526</v>
      </c>
      <c r="G147" s="258">
        <f>IFERROR(__xludf.DUMMYFUNCTION("""COMPUTED_VALUE"""),19982.0)</f>
        <v>19982</v>
      </c>
      <c r="H147" s="258">
        <f>IFERROR(__xludf.DUMMYFUNCTION("""COMPUTED_VALUE"""),2413953.0)</f>
        <v>2413953</v>
      </c>
      <c r="I147" s="329">
        <f>IFERROR(__xludf.DUMMYFUNCTION("""COMPUTED_VALUE"""),778.0)</f>
        <v>778</v>
      </c>
      <c r="J147" s="329">
        <f>IFERROR(__xludf.DUMMYFUNCTION("""COMPUTED_VALUE"""),850.0)</f>
        <v>850</v>
      </c>
      <c r="K147" s="329">
        <f>IFERROR(__xludf.DUMMYFUNCTION("""COMPUTED_VALUE"""),111768.0)</f>
        <v>111768</v>
      </c>
      <c r="L147" s="329">
        <f>IFERROR(__xludf.DUMMYFUNCTION("""COMPUTED_VALUE"""),3067.0)</f>
        <v>3067</v>
      </c>
      <c r="M147" s="329">
        <f>IFERROR(__xludf.DUMMYFUNCTION("""COMPUTED_VALUE"""),600500.0)</f>
        <v>600500</v>
      </c>
      <c r="N147" s="329">
        <f>IFERROR(__xludf.DUMMYFUNCTION("""COMPUTED_VALUE"""),712268.0)</f>
        <v>712268</v>
      </c>
      <c r="O147" s="329">
        <f>IFERROR(__xludf.DUMMYFUNCTION("""COMPUTED_VALUE"""),57.0)</f>
        <v>57</v>
      </c>
      <c r="P147" s="329">
        <f>IFERROR(__xludf.DUMMYFUNCTION("""COMPUTED_VALUE"""),7923.0)</f>
        <v>7923</v>
      </c>
      <c r="Q147" s="329">
        <f>IFERROR(__xludf.DUMMYFUNCTION("""COMPUTED_VALUE"""),32.0)</f>
        <v>32</v>
      </c>
      <c r="R147" s="329">
        <f>IFERROR(__xludf.DUMMYFUNCTION("""COMPUTED_VALUE"""),6640.0)</f>
        <v>6640</v>
      </c>
      <c r="S147" s="329">
        <f>IFERROR(__xludf.DUMMYFUNCTION("""COMPUTED_VALUE"""),3.0)</f>
        <v>3</v>
      </c>
      <c r="T147" s="329">
        <f>IFERROR(__xludf.DUMMYFUNCTION("""COMPUTED_VALUE"""),891.0)</f>
        <v>891</v>
      </c>
      <c r="U147" s="329">
        <f>IFERROR(__xludf.DUMMYFUNCTION("""COMPUTED_VALUE"""),392.0)</f>
        <v>392</v>
      </c>
      <c r="V147" s="329">
        <f>IFERROR(__xludf.DUMMYFUNCTION("""COMPUTED_VALUE"""),382.0)</f>
        <v>382</v>
      </c>
      <c r="W147" s="329">
        <f>IFERROR(__xludf.DUMMYFUNCTION("""COMPUTED_VALUE"""),60.0)</f>
        <v>60</v>
      </c>
      <c r="X147" s="329">
        <f>IFERROR(__xludf.DUMMYFUNCTION("""COMPUTED_VALUE"""),35.0)</f>
        <v>35</v>
      </c>
      <c r="Y147" s="329">
        <f>IFERROR(__xludf.DUMMYFUNCTION("""COMPUTED_VALUE"""),8.0)</f>
        <v>8</v>
      </c>
      <c r="Z147" s="329">
        <f>IFERROR(__xludf.DUMMYFUNCTION("""COMPUTED_VALUE"""),2268.0)</f>
        <v>2268</v>
      </c>
      <c r="AA147" s="258">
        <f>IFERROR(__xludf.DUMMYFUNCTION("""COMPUTED_VALUE"""),2497.0)</f>
        <v>2497</v>
      </c>
      <c r="AB147" s="258">
        <f>IFERROR(__xludf.DUMMYFUNCTION("""COMPUTED_VALUE"""),599.0)</f>
        <v>599</v>
      </c>
      <c r="AC147" s="258">
        <f>IFERROR(__xludf.DUMMYFUNCTION("""COMPUTED_VALUE"""),3096.0)</f>
        <v>3096</v>
      </c>
      <c r="AD147" s="258">
        <f>IFERROR(__xludf.DUMMYFUNCTION("""COMPUTED_VALUE"""),75993.0)</f>
        <v>75993</v>
      </c>
      <c r="AE147" s="258">
        <f>IFERROR(__xludf.DUMMYFUNCTION("""COMPUTED_VALUE"""),2497.0)</f>
        <v>2497</v>
      </c>
      <c r="AF147" s="258">
        <f>IFERROR(__xludf.DUMMYFUNCTION("""COMPUTED_VALUE"""),61337.0)</f>
        <v>61337</v>
      </c>
      <c r="AG147" s="258">
        <f>IFERROR(__xludf.DUMMYFUNCTION("""COMPUTED_VALUE"""),599.0)</f>
        <v>599</v>
      </c>
      <c r="AH147" s="258">
        <f>IFERROR(__xludf.DUMMYFUNCTION("""COMPUTED_VALUE"""),14656.0)</f>
        <v>14656</v>
      </c>
    </row>
    <row r="148">
      <c r="A148" s="328">
        <f>IFERROR(__xludf.DUMMYFUNCTION("""COMPUTED_VALUE"""),44220.0)</f>
        <v>44220</v>
      </c>
      <c r="B148" s="329">
        <f>IFERROR(__xludf.DUMMYFUNCTION("""COMPUTED_VALUE"""),405.0)</f>
        <v>405</v>
      </c>
      <c r="C148" s="329">
        <f>IFERROR(__xludf.DUMMYFUNCTION("""COMPUTED_VALUE"""),729.0)</f>
        <v>729</v>
      </c>
      <c r="D148" s="329">
        <f>IFERROR(__xludf.DUMMYFUNCTION("""COMPUTED_VALUE"""),133832.0)</f>
        <v>133832</v>
      </c>
      <c r="E148" s="329">
        <f>IFERROR(__xludf.DUMMYFUNCTION("""COMPUTED_VALUE"""),8969.0)</f>
        <v>8969</v>
      </c>
      <c r="F148" s="258">
        <f>IFERROR(__xludf.DUMMYFUNCTION("""COMPUTED_VALUE"""),2289495.0)</f>
        <v>2289495</v>
      </c>
      <c r="G148" s="258">
        <f>IFERROR(__xludf.DUMMYFUNCTION("""COMPUTED_VALUE"""),9374.0)</f>
        <v>9374</v>
      </c>
      <c r="H148" s="258">
        <f>IFERROR(__xludf.DUMMYFUNCTION("""COMPUTED_VALUE"""),2423327.0)</f>
        <v>2423327</v>
      </c>
      <c r="I148" s="329">
        <f>IFERROR(__xludf.DUMMYFUNCTION("""COMPUTED_VALUE"""),341.0)</f>
        <v>341</v>
      </c>
      <c r="J148" s="329">
        <f>IFERROR(__xludf.DUMMYFUNCTION("""COMPUTED_VALUE"""),626.0)</f>
        <v>626</v>
      </c>
      <c r="K148" s="329">
        <f>IFERROR(__xludf.DUMMYFUNCTION("""COMPUTED_VALUE"""),112109.0)</f>
        <v>112109</v>
      </c>
      <c r="L148" s="329">
        <f>IFERROR(__xludf.DUMMYFUNCTION("""COMPUTED_VALUE"""),1200.0)</f>
        <v>1200</v>
      </c>
      <c r="M148" s="329">
        <f>IFERROR(__xludf.DUMMYFUNCTION("""COMPUTED_VALUE"""),601700.0)</f>
        <v>601700</v>
      </c>
      <c r="N148" s="329">
        <f>IFERROR(__xludf.DUMMYFUNCTION("""COMPUTED_VALUE"""),713809.0)</f>
        <v>713809</v>
      </c>
      <c r="O148" s="329">
        <f>IFERROR(__xludf.DUMMYFUNCTION("""COMPUTED_VALUE"""),43.0)</f>
        <v>43</v>
      </c>
      <c r="P148" s="329">
        <f>IFERROR(__xludf.DUMMYFUNCTION("""COMPUTED_VALUE"""),7966.0)</f>
        <v>7966</v>
      </c>
      <c r="Q148" s="329">
        <f>IFERROR(__xludf.DUMMYFUNCTION("""COMPUTED_VALUE"""),43.0)</f>
        <v>43</v>
      </c>
      <c r="R148" s="329">
        <f>IFERROR(__xludf.DUMMYFUNCTION("""COMPUTED_VALUE"""),6683.0)</f>
        <v>6683</v>
      </c>
      <c r="S148" s="329">
        <f>IFERROR(__xludf.DUMMYFUNCTION("""COMPUTED_VALUE"""),9.0)</f>
        <v>9</v>
      </c>
      <c r="T148" s="329">
        <f>IFERROR(__xludf.DUMMYFUNCTION("""COMPUTED_VALUE"""),900.0)</f>
        <v>900</v>
      </c>
      <c r="U148" s="329">
        <f>IFERROR(__xludf.DUMMYFUNCTION("""COMPUTED_VALUE"""),383.0)</f>
        <v>383</v>
      </c>
      <c r="V148" s="329">
        <f>IFERROR(__xludf.DUMMYFUNCTION("""COMPUTED_VALUE"""),382.0)</f>
        <v>382</v>
      </c>
      <c r="W148" s="329">
        <f>IFERROR(__xludf.DUMMYFUNCTION("""COMPUTED_VALUE"""),60.0)</f>
        <v>60</v>
      </c>
      <c r="X148" s="329">
        <f>IFERROR(__xludf.DUMMYFUNCTION("""COMPUTED_VALUE"""),38.0)</f>
        <v>38</v>
      </c>
      <c r="Y148" s="329">
        <f>IFERROR(__xludf.DUMMYFUNCTION("""COMPUTED_VALUE"""),16.0)</f>
        <v>16</v>
      </c>
      <c r="Z148" s="329">
        <f>IFERROR(__xludf.DUMMYFUNCTION("""COMPUTED_VALUE"""),2284.0)</f>
        <v>2284</v>
      </c>
      <c r="AA148" s="258">
        <f>IFERROR(__xludf.DUMMYFUNCTION("""COMPUTED_VALUE"""),739.0)</f>
        <v>739</v>
      </c>
      <c r="AB148" s="258">
        <f>IFERROR(__xludf.DUMMYFUNCTION("""COMPUTED_VALUE"""),1050.0)</f>
        <v>1050</v>
      </c>
      <c r="AC148" s="258">
        <f>IFERROR(__xludf.DUMMYFUNCTION("""COMPUTED_VALUE"""),1789.0)</f>
        <v>1789</v>
      </c>
      <c r="AD148" s="258">
        <f>IFERROR(__xludf.DUMMYFUNCTION("""COMPUTED_VALUE"""),77782.0)</f>
        <v>77782</v>
      </c>
      <c r="AE148" s="258">
        <f>IFERROR(__xludf.DUMMYFUNCTION("""COMPUTED_VALUE"""),739.0)</f>
        <v>739</v>
      </c>
      <c r="AF148" s="258">
        <f>IFERROR(__xludf.DUMMYFUNCTION("""COMPUTED_VALUE"""),62076.0)</f>
        <v>62076</v>
      </c>
      <c r="AG148" s="258">
        <f>IFERROR(__xludf.DUMMYFUNCTION("""COMPUTED_VALUE"""),1050.0)</f>
        <v>1050</v>
      </c>
      <c r="AH148" s="258">
        <f>IFERROR(__xludf.DUMMYFUNCTION("""COMPUTED_VALUE"""),15706.0)</f>
        <v>15706</v>
      </c>
    </row>
    <row r="149">
      <c r="A149" s="328">
        <f>IFERROR(__xludf.DUMMYFUNCTION("""COMPUTED_VALUE"""),44221.0)</f>
        <v>44221</v>
      </c>
      <c r="B149" s="329">
        <f>IFERROR(__xludf.DUMMYFUNCTION("""COMPUTED_VALUE"""),806.0)</f>
        <v>806</v>
      </c>
      <c r="C149" s="329">
        <f>IFERROR(__xludf.DUMMYFUNCTION("""COMPUTED_VALUE"""),707.0)</f>
        <v>707</v>
      </c>
      <c r="D149" s="329">
        <f>IFERROR(__xludf.DUMMYFUNCTION("""COMPUTED_VALUE"""),134638.0)</f>
        <v>134638</v>
      </c>
      <c r="E149" s="329">
        <f>IFERROR(__xludf.DUMMYFUNCTION("""COMPUTED_VALUE"""),13387.0)</f>
        <v>13387</v>
      </c>
      <c r="F149" s="258">
        <f>IFERROR(__xludf.DUMMYFUNCTION("""COMPUTED_VALUE"""),2302882.0)</f>
        <v>2302882</v>
      </c>
      <c r="G149" s="258">
        <f>IFERROR(__xludf.DUMMYFUNCTION("""COMPUTED_VALUE"""),14193.0)</f>
        <v>14193</v>
      </c>
      <c r="H149" s="258">
        <f>IFERROR(__xludf.DUMMYFUNCTION("""COMPUTED_VALUE"""),2437520.0)</f>
        <v>2437520</v>
      </c>
      <c r="I149" s="329">
        <f>IFERROR(__xludf.DUMMYFUNCTION("""COMPUTED_VALUE"""),687.0)</f>
        <v>687</v>
      </c>
      <c r="J149" s="329">
        <f>IFERROR(__xludf.DUMMYFUNCTION("""COMPUTED_VALUE"""),602.0)</f>
        <v>602</v>
      </c>
      <c r="K149" s="329">
        <f>IFERROR(__xludf.DUMMYFUNCTION("""COMPUTED_VALUE"""),112796.0)</f>
        <v>112796</v>
      </c>
      <c r="L149" s="329">
        <f>IFERROR(__xludf.DUMMYFUNCTION("""COMPUTED_VALUE"""),2588.0)</f>
        <v>2588</v>
      </c>
      <c r="M149" s="329">
        <f>IFERROR(__xludf.DUMMYFUNCTION("""COMPUTED_VALUE"""),604288.0)</f>
        <v>604288</v>
      </c>
      <c r="N149" s="329">
        <f>IFERROR(__xludf.DUMMYFUNCTION("""COMPUTED_VALUE"""),717084.0)</f>
        <v>717084</v>
      </c>
      <c r="O149" s="329">
        <f>IFERROR(__xludf.DUMMYFUNCTION("""COMPUTED_VALUE"""),48.0)</f>
        <v>48</v>
      </c>
      <c r="P149" s="329">
        <f>IFERROR(__xludf.DUMMYFUNCTION("""COMPUTED_VALUE"""),8014.0)</f>
        <v>8014</v>
      </c>
      <c r="Q149" s="329">
        <f>IFERROR(__xludf.DUMMYFUNCTION("""COMPUTED_VALUE"""),55.0)</f>
        <v>55</v>
      </c>
      <c r="R149" s="329">
        <f>IFERROR(__xludf.DUMMYFUNCTION("""COMPUTED_VALUE"""),6738.0)</f>
        <v>6738</v>
      </c>
      <c r="S149" s="329">
        <f>IFERROR(__xludf.DUMMYFUNCTION("""COMPUTED_VALUE"""),5.0)</f>
        <v>5</v>
      </c>
      <c r="T149" s="329">
        <f>IFERROR(__xludf.DUMMYFUNCTION("""COMPUTED_VALUE"""),905.0)</f>
        <v>905</v>
      </c>
      <c r="U149" s="329">
        <f>IFERROR(__xludf.DUMMYFUNCTION("""COMPUTED_VALUE"""),371.0)</f>
        <v>371</v>
      </c>
      <c r="V149" s="329">
        <f>IFERROR(__xludf.DUMMYFUNCTION("""COMPUTED_VALUE"""),382.0)</f>
        <v>382</v>
      </c>
      <c r="W149" s="329">
        <f>IFERROR(__xludf.DUMMYFUNCTION("""COMPUTED_VALUE"""),60.0)</f>
        <v>60</v>
      </c>
      <c r="X149" s="329">
        <f>IFERROR(__xludf.DUMMYFUNCTION("""COMPUTED_VALUE"""),39.0)</f>
        <v>39</v>
      </c>
      <c r="Y149" s="329">
        <f>IFERROR(__xludf.DUMMYFUNCTION("""COMPUTED_VALUE"""),14.0)</f>
        <v>14</v>
      </c>
      <c r="Z149" s="329">
        <f>IFERROR(__xludf.DUMMYFUNCTION("""COMPUTED_VALUE"""),2298.0)</f>
        <v>2298</v>
      </c>
      <c r="AA149" s="258">
        <f>IFERROR(__xludf.DUMMYFUNCTION("""COMPUTED_VALUE"""),2024.0)</f>
        <v>2024</v>
      </c>
      <c r="AB149" s="258">
        <f>IFERROR(__xludf.DUMMYFUNCTION("""COMPUTED_VALUE"""),2783.0)</f>
        <v>2783</v>
      </c>
      <c r="AC149" s="258">
        <f>IFERROR(__xludf.DUMMYFUNCTION("""COMPUTED_VALUE"""),4807.0)</f>
        <v>4807</v>
      </c>
      <c r="AD149" s="258">
        <f>IFERROR(__xludf.DUMMYFUNCTION("""COMPUTED_VALUE"""),82589.0)</f>
        <v>82589</v>
      </c>
      <c r="AE149" s="258">
        <f>IFERROR(__xludf.DUMMYFUNCTION("""COMPUTED_VALUE"""),2024.0)</f>
        <v>2024</v>
      </c>
      <c r="AF149" s="258">
        <f>IFERROR(__xludf.DUMMYFUNCTION("""COMPUTED_VALUE"""),64100.0)</f>
        <v>64100</v>
      </c>
      <c r="AG149" s="258">
        <f>IFERROR(__xludf.DUMMYFUNCTION("""COMPUTED_VALUE"""),2783.0)</f>
        <v>2783</v>
      </c>
      <c r="AH149" s="258">
        <f>IFERROR(__xludf.DUMMYFUNCTION("""COMPUTED_VALUE"""),18489.0)</f>
        <v>18489</v>
      </c>
    </row>
    <row r="150">
      <c r="A150" s="328">
        <f>IFERROR(__xludf.DUMMYFUNCTION("""COMPUTED_VALUE"""),44222.0)</f>
        <v>44222</v>
      </c>
      <c r="B150" s="329">
        <f>IFERROR(__xludf.DUMMYFUNCTION("""COMPUTED_VALUE"""),725.0)</f>
        <v>725</v>
      </c>
      <c r="C150" s="329">
        <f>IFERROR(__xludf.DUMMYFUNCTION("""COMPUTED_VALUE"""),645.0)</f>
        <v>645</v>
      </c>
      <c r="D150" s="329">
        <f>IFERROR(__xludf.DUMMYFUNCTION("""COMPUTED_VALUE"""),135363.0)</f>
        <v>135363</v>
      </c>
      <c r="E150" s="329">
        <f>IFERROR(__xludf.DUMMYFUNCTION("""COMPUTED_VALUE"""),20058.0)</f>
        <v>20058</v>
      </c>
      <c r="F150" s="258">
        <f>IFERROR(__xludf.DUMMYFUNCTION("""COMPUTED_VALUE"""),2322940.0)</f>
        <v>2322940</v>
      </c>
      <c r="G150" s="258">
        <f>IFERROR(__xludf.DUMMYFUNCTION("""COMPUTED_VALUE"""),20783.0)</f>
        <v>20783</v>
      </c>
      <c r="H150" s="258">
        <f>IFERROR(__xludf.DUMMYFUNCTION("""COMPUTED_VALUE"""),2458303.0)</f>
        <v>2458303</v>
      </c>
      <c r="I150" s="329">
        <f>IFERROR(__xludf.DUMMYFUNCTION("""COMPUTED_VALUE"""),641.0)</f>
        <v>641</v>
      </c>
      <c r="J150" s="329">
        <f>IFERROR(__xludf.DUMMYFUNCTION("""COMPUTED_VALUE"""),556.0)</f>
        <v>556</v>
      </c>
      <c r="K150" s="329">
        <f>IFERROR(__xludf.DUMMYFUNCTION("""COMPUTED_VALUE"""),113437.0)</f>
        <v>113437</v>
      </c>
      <c r="L150" s="329">
        <f>IFERROR(__xludf.DUMMYFUNCTION("""COMPUTED_VALUE"""),3345.0)</f>
        <v>3345</v>
      </c>
      <c r="M150" s="329">
        <f>IFERROR(__xludf.DUMMYFUNCTION("""COMPUTED_VALUE"""),607633.0)</f>
        <v>607633</v>
      </c>
      <c r="N150" s="329">
        <f>IFERROR(__xludf.DUMMYFUNCTION("""COMPUTED_VALUE"""),721070.0)</f>
        <v>721070</v>
      </c>
      <c r="O150" s="329">
        <f>IFERROR(__xludf.DUMMYFUNCTION("""COMPUTED_VALUE"""),49.0)</f>
        <v>49</v>
      </c>
      <c r="P150" s="329">
        <f>IFERROR(__xludf.DUMMYFUNCTION("""COMPUTED_VALUE"""),8063.0)</f>
        <v>8063</v>
      </c>
      <c r="Q150" s="329">
        <f>IFERROR(__xludf.DUMMYFUNCTION("""COMPUTED_VALUE"""),47.0)</f>
        <v>47</v>
      </c>
      <c r="R150" s="329">
        <f>IFERROR(__xludf.DUMMYFUNCTION("""COMPUTED_VALUE"""),6785.0)</f>
        <v>6785</v>
      </c>
      <c r="S150" s="329">
        <f>IFERROR(__xludf.DUMMYFUNCTION("""COMPUTED_VALUE"""),9.0)</f>
        <v>9</v>
      </c>
      <c r="T150" s="329">
        <f>IFERROR(__xludf.DUMMYFUNCTION("""COMPUTED_VALUE"""),914.0)</f>
        <v>914</v>
      </c>
      <c r="U150" s="329">
        <f>IFERROR(__xludf.DUMMYFUNCTION("""COMPUTED_VALUE"""),364.0)</f>
        <v>364</v>
      </c>
      <c r="V150" s="329">
        <f>IFERROR(__xludf.DUMMYFUNCTION("""COMPUTED_VALUE"""),373.0)</f>
        <v>373</v>
      </c>
      <c r="W150" s="329">
        <f>IFERROR(__xludf.DUMMYFUNCTION("""COMPUTED_VALUE"""),57.0)</f>
        <v>57</v>
      </c>
      <c r="X150" s="329">
        <f>IFERROR(__xludf.DUMMYFUNCTION("""COMPUTED_VALUE"""),36.0)</f>
        <v>36</v>
      </c>
      <c r="Y150" s="329">
        <f>IFERROR(__xludf.DUMMYFUNCTION("""COMPUTED_VALUE"""),12.0)</f>
        <v>12</v>
      </c>
      <c r="Z150" s="329">
        <f>IFERROR(__xludf.DUMMYFUNCTION("""COMPUTED_VALUE"""),2310.0)</f>
        <v>2310</v>
      </c>
      <c r="AA150" s="258">
        <f>IFERROR(__xludf.DUMMYFUNCTION("""COMPUTED_VALUE"""),1554.0)</f>
        <v>1554</v>
      </c>
      <c r="AB150" s="258">
        <f>IFERROR(__xludf.DUMMYFUNCTION("""COMPUTED_VALUE"""),2617.0)</f>
        <v>2617</v>
      </c>
      <c r="AC150" s="258">
        <f>IFERROR(__xludf.DUMMYFUNCTION("""COMPUTED_VALUE"""),4171.0)</f>
        <v>4171</v>
      </c>
      <c r="AD150" s="258">
        <f>IFERROR(__xludf.DUMMYFUNCTION("""COMPUTED_VALUE"""),86760.0)</f>
        <v>86760</v>
      </c>
      <c r="AE150" s="258">
        <f>IFERROR(__xludf.DUMMYFUNCTION("""COMPUTED_VALUE"""),1554.0)</f>
        <v>1554</v>
      </c>
      <c r="AF150" s="258">
        <f>IFERROR(__xludf.DUMMYFUNCTION("""COMPUTED_VALUE"""),65654.0)</f>
        <v>65654</v>
      </c>
      <c r="AG150" s="258">
        <f>IFERROR(__xludf.DUMMYFUNCTION("""COMPUTED_VALUE"""),2617.0)</f>
        <v>2617</v>
      </c>
      <c r="AH150" s="258">
        <f>IFERROR(__xludf.DUMMYFUNCTION("""COMPUTED_VALUE"""),21106.0)</f>
        <v>21106</v>
      </c>
    </row>
    <row r="151">
      <c r="A151" s="328">
        <f>IFERROR(__xludf.DUMMYFUNCTION("""COMPUTED_VALUE"""),44223.0)</f>
        <v>44223</v>
      </c>
      <c r="B151" s="329">
        <f>IFERROR(__xludf.DUMMYFUNCTION("""COMPUTED_VALUE"""),843.0)</f>
        <v>843</v>
      </c>
      <c r="C151" s="329">
        <f>IFERROR(__xludf.DUMMYFUNCTION("""COMPUTED_VALUE"""),791.0)</f>
        <v>791</v>
      </c>
      <c r="D151" s="329">
        <f>IFERROR(__xludf.DUMMYFUNCTION("""COMPUTED_VALUE"""),136206.0)</f>
        <v>136206</v>
      </c>
      <c r="E151" s="329">
        <f>IFERROR(__xludf.DUMMYFUNCTION("""COMPUTED_VALUE"""),21876.0)</f>
        <v>21876</v>
      </c>
      <c r="F151" s="258">
        <f>IFERROR(__xludf.DUMMYFUNCTION("""COMPUTED_VALUE"""),2344816.0)</f>
        <v>2344816</v>
      </c>
      <c r="G151" s="258">
        <f>IFERROR(__xludf.DUMMYFUNCTION("""COMPUTED_VALUE"""),22719.0)</f>
        <v>22719</v>
      </c>
      <c r="H151" s="258">
        <f>IFERROR(__xludf.DUMMYFUNCTION("""COMPUTED_VALUE"""),2481022.0)</f>
        <v>2481022</v>
      </c>
      <c r="I151" s="329">
        <f>IFERROR(__xludf.DUMMYFUNCTION("""COMPUTED_VALUE"""),714.0)</f>
        <v>714</v>
      </c>
      <c r="J151" s="329">
        <f>IFERROR(__xludf.DUMMYFUNCTION("""COMPUTED_VALUE"""),681.0)</f>
        <v>681</v>
      </c>
      <c r="K151" s="329">
        <f>IFERROR(__xludf.DUMMYFUNCTION("""COMPUTED_VALUE"""),114151.0)</f>
        <v>114151</v>
      </c>
      <c r="L151" s="329">
        <f>IFERROR(__xludf.DUMMYFUNCTION("""COMPUTED_VALUE"""),3221.0)</f>
        <v>3221</v>
      </c>
      <c r="M151" s="329">
        <f>IFERROR(__xludf.DUMMYFUNCTION("""COMPUTED_VALUE"""),610854.0)</f>
        <v>610854</v>
      </c>
      <c r="N151" s="329">
        <f>IFERROR(__xludf.DUMMYFUNCTION("""COMPUTED_VALUE"""),725005.0)</f>
        <v>725005</v>
      </c>
      <c r="O151" s="329">
        <f>IFERROR(__xludf.DUMMYFUNCTION("""COMPUTED_VALUE"""),50.0)</f>
        <v>50</v>
      </c>
      <c r="P151" s="329">
        <f>IFERROR(__xludf.DUMMYFUNCTION("""COMPUTED_VALUE"""),8113.0)</f>
        <v>8113</v>
      </c>
      <c r="Q151" s="329">
        <f>IFERROR(__xludf.DUMMYFUNCTION("""COMPUTED_VALUE"""),59.0)</f>
        <v>59</v>
      </c>
      <c r="R151" s="329">
        <f>IFERROR(__xludf.DUMMYFUNCTION("""COMPUTED_VALUE"""),6844.0)</f>
        <v>6844</v>
      </c>
      <c r="S151" s="329">
        <f>IFERROR(__xludf.DUMMYFUNCTION("""COMPUTED_VALUE"""),3.0)</f>
        <v>3</v>
      </c>
      <c r="T151" s="329">
        <f>IFERROR(__xludf.DUMMYFUNCTION("""COMPUTED_VALUE"""),917.0)</f>
        <v>917</v>
      </c>
      <c r="U151" s="329">
        <f>IFERROR(__xludf.DUMMYFUNCTION("""COMPUTED_VALUE"""),352.0)</f>
        <v>352</v>
      </c>
      <c r="V151" s="329">
        <f>IFERROR(__xludf.DUMMYFUNCTION("""COMPUTED_VALUE"""),362.0)</f>
        <v>362</v>
      </c>
      <c r="W151" s="329">
        <f>IFERROR(__xludf.DUMMYFUNCTION("""COMPUTED_VALUE"""),59.0)</f>
        <v>59</v>
      </c>
      <c r="X151" s="329">
        <f>IFERROR(__xludf.DUMMYFUNCTION("""COMPUTED_VALUE"""),33.0)</f>
        <v>33</v>
      </c>
      <c r="Y151" s="329">
        <f>IFERROR(__xludf.DUMMYFUNCTION("""COMPUTED_VALUE"""),7.0)</f>
        <v>7</v>
      </c>
      <c r="Z151" s="329">
        <f>IFERROR(__xludf.DUMMYFUNCTION("""COMPUTED_VALUE"""),2317.0)</f>
        <v>2317</v>
      </c>
      <c r="AA151" s="258">
        <f>IFERROR(__xludf.DUMMYFUNCTION("""COMPUTED_VALUE"""),2256.0)</f>
        <v>2256</v>
      </c>
      <c r="AB151" s="258">
        <f>IFERROR(__xludf.DUMMYFUNCTION("""COMPUTED_VALUE"""),2799.0)</f>
        <v>2799</v>
      </c>
      <c r="AC151" s="258">
        <f>IFERROR(__xludf.DUMMYFUNCTION("""COMPUTED_VALUE"""),5055.0)</f>
        <v>5055</v>
      </c>
      <c r="AD151" s="258">
        <f>IFERROR(__xludf.DUMMYFUNCTION("""COMPUTED_VALUE"""),91815.0)</f>
        <v>91815</v>
      </c>
      <c r="AE151" s="258">
        <f>IFERROR(__xludf.DUMMYFUNCTION("""COMPUTED_VALUE"""),2256.0)</f>
        <v>2256</v>
      </c>
      <c r="AF151" s="258">
        <f>IFERROR(__xludf.DUMMYFUNCTION("""COMPUTED_VALUE"""),67910.0)</f>
        <v>67910</v>
      </c>
      <c r="AG151" s="258">
        <f>IFERROR(__xludf.DUMMYFUNCTION("""COMPUTED_VALUE"""),2799.0)</f>
        <v>2799</v>
      </c>
      <c r="AH151" s="258">
        <f>IFERROR(__xludf.DUMMYFUNCTION("""COMPUTED_VALUE"""),23905.0)</f>
        <v>23905</v>
      </c>
    </row>
    <row r="152">
      <c r="A152" s="328">
        <f>IFERROR(__xludf.DUMMYFUNCTION("""COMPUTED_VALUE"""),44224.0)</f>
        <v>44224</v>
      </c>
      <c r="B152" s="329">
        <f>IFERROR(__xludf.DUMMYFUNCTION("""COMPUTED_VALUE"""),764.0)</f>
        <v>764</v>
      </c>
      <c r="C152" s="329">
        <f>IFERROR(__xludf.DUMMYFUNCTION("""COMPUTED_VALUE"""),777.0)</f>
        <v>777</v>
      </c>
      <c r="D152" s="329">
        <f>IFERROR(__xludf.DUMMYFUNCTION("""COMPUTED_VALUE"""),136970.0)</f>
        <v>136970</v>
      </c>
      <c r="E152" s="329">
        <f>IFERROR(__xludf.DUMMYFUNCTION("""COMPUTED_VALUE"""),22593.0)</f>
        <v>22593</v>
      </c>
      <c r="F152" s="258">
        <f>IFERROR(__xludf.DUMMYFUNCTION("""COMPUTED_VALUE"""),2367409.0)</f>
        <v>2367409</v>
      </c>
      <c r="G152" s="258">
        <f>IFERROR(__xludf.DUMMYFUNCTION("""COMPUTED_VALUE"""),23357.0)</f>
        <v>23357</v>
      </c>
      <c r="H152" s="258">
        <f>IFERROR(__xludf.DUMMYFUNCTION("""COMPUTED_VALUE"""),2504379.0)</f>
        <v>2504379</v>
      </c>
      <c r="I152" s="329">
        <f>IFERROR(__xludf.DUMMYFUNCTION("""COMPUTED_VALUE"""),637.0)</f>
        <v>637</v>
      </c>
      <c r="J152" s="329">
        <f>IFERROR(__xludf.DUMMYFUNCTION("""COMPUTED_VALUE"""),664.0)</f>
        <v>664</v>
      </c>
      <c r="K152" s="329">
        <f>IFERROR(__xludf.DUMMYFUNCTION("""COMPUTED_VALUE"""),114788.0)</f>
        <v>114788</v>
      </c>
      <c r="L152" s="329">
        <f>IFERROR(__xludf.DUMMYFUNCTION("""COMPUTED_VALUE"""),3053.0)</f>
        <v>3053</v>
      </c>
      <c r="M152" s="329">
        <f>IFERROR(__xludf.DUMMYFUNCTION("""COMPUTED_VALUE"""),613907.0)</f>
        <v>613907</v>
      </c>
      <c r="N152" s="329">
        <f>IFERROR(__xludf.DUMMYFUNCTION("""COMPUTED_VALUE"""),728695.0)</f>
        <v>728695</v>
      </c>
      <c r="O152" s="329">
        <f>IFERROR(__xludf.DUMMYFUNCTION("""COMPUTED_VALUE"""),34.0)</f>
        <v>34</v>
      </c>
      <c r="P152" s="329">
        <f>IFERROR(__xludf.DUMMYFUNCTION("""COMPUTED_VALUE"""),8147.0)</f>
        <v>8147</v>
      </c>
      <c r="Q152" s="329">
        <f>IFERROR(__xludf.DUMMYFUNCTION("""COMPUTED_VALUE"""),35.0)</f>
        <v>35</v>
      </c>
      <c r="R152" s="329">
        <f>IFERROR(__xludf.DUMMYFUNCTION("""COMPUTED_VALUE"""),6879.0)</f>
        <v>6879</v>
      </c>
      <c r="S152" s="329">
        <f>IFERROR(__xludf.DUMMYFUNCTION("""COMPUTED_VALUE"""),4.0)</f>
        <v>4</v>
      </c>
      <c r="T152" s="329">
        <f>IFERROR(__xludf.DUMMYFUNCTION("""COMPUTED_VALUE"""),921.0)</f>
        <v>921</v>
      </c>
      <c r="U152" s="329">
        <f>IFERROR(__xludf.DUMMYFUNCTION("""COMPUTED_VALUE"""),347.0)</f>
        <v>347</v>
      </c>
      <c r="V152" s="329">
        <f>IFERROR(__xludf.DUMMYFUNCTION("""COMPUTED_VALUE"""),354.0)</f>
        <v>354</v>
      </c>
      <c r="W152" s="329">
        <f>IFERROR(__xludf.DUMMYFUNCTION("""COMPUTED_VALUE"""),55.0)</f>
        <v>55</v>
      </c>
      <c r="X152" s="329">
        <f>IFERROR(__xludf.DUMMYFUNCTION("""COMPUTED_VALUE"""),31.0)</f>
        <v>31</v>
      </c>
      <c r="Y152" s="329">
        <f>IFERROR(__xludf.DUMMYFUNCTION("""COMPUTED_VALUE"""),14.0)</f>
        <v>14</v>
      </c>
      <c r="Z152" s="329">
        <f>IFERROR(__xludf.DUMMYFUNCTION("""COMPUTED_VALUE"""),2331.0)</f>
        <v>2331</v>
      </c>
      <c r="AA152" s="258">
        <f>IFERROR(__xludf.DUMMYFUNCTION("""COMPUTED_VALUE"""),2735.0)</f>
        <v>2735</v>
      </c>
      <c r="AB152" s="258">
        <f>IFERROR(__xludf.DUMMYFUNCTION("""COMPUTED_VALUE"""),1095.0)</f>
        <v>1095</v>
      </c>
      <c r="AC152" s="258">
        <f>IFERROR(__xludf.DUMMYFUNCTION("""COMPUTED_VALUE"""),3830.0)</f>
        <v>3830</v>
      </c>
      <c r="AD152" s="258">
        <f>IFERROR(__xludf.DUMMYFUNCTION("""COMPUTED_VALUE"""),95645.0)</f>
        <v>95645</v>
      </c>
      <c r="AE152" s="258">
        <f>IFERROR(__xludf.DUMMYFUNCTION("""COMPUTED_VALUE"""),2735.0)</f>
        <v>2735</v>
      </c>
      <c r="AF152" s="258">
        <f>IFERROR(__xludf.DUMMYFUNCTION("""COMPUTED_VALUE"""),70645.0)</f>
        <v>70645</v>
      </c>
      <c r="AG152" s="258">
        <f>IFERROR(__xludf.DUMMYFUNCTION("""COMPUTED_VALUE"""),1095.0)</f>
        <v>1095</v>
      </c>
      <c r="AH152" s="258">
        <f>IFERROR(__xludf.DUMMYFUNCTION("""COMPUTED_VALUE"""),25000.0)</f>
        <v>25000</v>
      </c>
    </row>
    <row r="153">
      <c r="A153" s="328">
        <f>IFERROR(__xludf.DUMMYFUNCTION("""COMPUTED_VALUE"""),44225.0)</f>
        <v>44225</v>
      </c>
      <c r="B153" s="329">
        <f>IFERROR(__xludf.DUMMYFUNCTION("""COMPUTED_VALUE"""),672.0)</f>
        <v>672</v>
      </c>
      <c r="C153" s="329">
        <f>IFERROR(__xludf.DUMMYFUNCTION("""COMPUTED_VALUE"""),760.0)</f>
        <v>760</v>
      </c>
      <c r="D153" s="329">
        <f>IFERROR(__xludf.DUMMYFUNCTION("""COMPUTED_VALUE"""),137642.0)</f>
        <v>137642</v>
      </c>
      <c r="E153" s="329">
        <f>IFERROR(__xludf.DUMMYFUNCTION("""COMPUTED_VALUE"""),20067.0)</f>
        <v>20067</v>
      </c>
      <c r="F153" s="258">
        <f>IFERROR(__xludf.DUMMYFUNCTION("""COMPUTED_VALUE"""),2387476.0)</f>
        <v>2387476</v>
      </c>
      <c r="G153" s="258">
        <f>IFERROR(__xludf.DUMMYFUNCTION("""COMPUTED_VALUE"""),20739.0)</f>
        <v>20739</v>
      </c>
      <c r="H153" s="258">
        <f>IFERROR(__xludf.DUMMYFUNCTION("""COMPUTED_VALUE"""),2525118.0)</f>
        <v>2525118</v>
      </c>
      <c r="I153" s="329">
        <f>IFERROR(__xludf.DUMMYFUNCTION("""COMPUTED_VALUE"""),592.0)</f>
        <v>592</v>
      </c>
      <c r="J153" s="329">
        <f>IFERROR(__xludf.DUMMYFUNCTION("""COMPUTED_VALUE"""),648.0)</f>
        <v>648</v>
      </c>
      <c r="K153" s="329">
        <f>IFERROR(__xludf.DUMMYFUNCTION("""COMPUTED_VALUE"""),115380.0)</f>
        <v>115380</v>
      </c>
      <c r="L153" s="329">
        <f>IFERROR(__xludf.DUMMYFUNCTION("""COMPUTED_VALUE"""),2524.0)</f>
        <v>2524</v>
      </c>
      <c r="M153" s="329">
        <f>IFERROR(__xludf.DUMMYFUNCTION("""COMPUTED_VALUE"""),616431.0)</f>
        <v>616431</v>
      </c>
      <c r="N153" s="329">
        <f>IFERROR(__xludf.DUMMYFUNCTION("""COMPUTED_VALUE"""),731811.0)</f>
        <v>731811</v>
      </c>
      <c r="O153" s="329">
        <f>IFERROR(__xludf.DUMMYFUNCTION("""COMPUTED_VALUE"""),41.0)</f>
        <v>41</v>
      </c>
      <c r="P153" s="329">
        <f>IFERROR(__xludf.DUMMYFUNCTION("""COMPUTED_VALUE"""),8188.0)</f>
        <v>8188</v>
      </c>
      <c r="Q153" s="329">
        <f>IFERROR(__xludf.DUMMYFUNCTION("""COMPUTED_VALUE"""),53.0)</f>
        <v>53</v>
      </c>
      <c r="R153" s="329">
        <f>IFERROR(__xludf.DUMMYFUNCTION("""COMPUTED_VALUE"""),6932.0)</f>
        <v>6932</v>
      </c>
      <c r="S153" s="329">
        <f>IFERROR(__xludf.DUMMYFUNCTION("""COMPUTED_VALUE"""),4.0)</f>
        <v>4</v>
      </c>
      <c r="T153" s="329">
        <f>IFERROR(__xludf.DUMMYFUNCTION("""COMPUTED_VALUE"""),925.0)</f>
        <v>925</v>
      </c>
      <c r="U153" s="329">
        <f>IFERROR(__xludf.DUMMYFUNCTION("""COMPUTED_VALUE"""),331.0)</f>
        <v>331</v>
      </c>
      <c r="V153" s="329">
        <f>IFERROR(__xludf.DUMMYFUNCTION("""COMPUTED_VALUE"""),343.0)</f>
        <v>343</v>
      </c>
      <c r="W153" s="329">
        <f>IFERROR(__xludf.DUMMYFUNCTION("""COMPUTED_VALUE"""),57.0)</f>
        <v>57</v>
      </c>
      <c r="X153" s="329">
        <f>IFERROR(__xludf.DUMMYFUNCTION("""COMPUTED_VALUE"""),34.0)</f>
        <v>34</v>
      </c>
      <c r="Y153" s="329">
        <f>IFERROR(__xludf.DUMMYFUNCTION("""COMPUTED_VALUE"""),7.0)</f>
        <v>7</v>
      </c>
      <c r="Z153" s="329">
        <f>IFERROR(__xludf.DUMMYFUNCTION("""COMPUTED_VALUE"""),2338.0)</f>
        <v>2338</v>
      </c>
      <c r="AA153" s="258">
        <f>IFERROR(__xludf.DUMMYFUNCTION("""COMPUTED_VALUE"""),2284.0)</f>
        <v>2284</v>
      </c>
      <c r="AB153" s="258">
        <f>IFERROR(__xludf.DUMMYFUNCTION("""COMPUTED_VALUE"""),1193.0)</f>
        <v>1193</v>
      </c>
      <c r="AC153" s="258">
        <f>IFERROR(__xludf.DUMMYFUNCTION("""COMPUTED_VALUE"""),3477.0)</f>
        <v>3477</v>
      </c>
      <c r="AD153" s="258">
        <f>IFERROR(__xludf.DUMMYFUNCTION("""COMPUTED_VALUE"""),99122.0)</f>
        <v>99122</v>
      </c>
      <c r="AE153" s="258">
        <f>IFERROR(__xludf.DUMMYFUNCTION("""COMPUTED_VALUE"""),2284.0)</f>
        <v>2284</v>
      </c>
      <c r="AF153" s="258">
        <f>IFERROR(__xludf.DUMMYFUNCTION("""COMPUTED_VALUE"""),72929.0)</f>
        <v>72929</v>
      </c>
      <c r="AG153" s="258">
        <f>IFERROR(__xludf.DUMMYFUNCTION("""COMPUTED_VALUE"""),1193.0)</f>
        <v>1193</v>
      </c>
      <c r="AH153" s="258">
        <f>IFERROR(__xludf.DUMMYFUNCTION("""COMPUTED_VALUE"""),26193.0)</f>
        <v>26193</v>
      </c>
    </row>
    <row r="154">
      <c r="A154" s="328">
        <f>IFERROR(__xludf.DUMMYFUNCTION("""COMPUTED_VALUE"""),44226.0)</f>
        <v>44226</v>
      </c>
      <c r="B154" s="329">
        <f>IFERROR(__xludf.DUMMYFUNCTION("""COMPUTED_VALUE"""),695.0)</f>
        <v>695</v>
      </c>
      <c r="C154" s="329">
        <f>IFERROR(__xludf.DUMMYFUNCTION("""COMPUTED_VALUE"""),710.0)</f>
        <v>710</v>
      </c>
      <c r="D154" s="329">
        <f>IFERROR(__xludf.DUMMYFUNCTION("""COMPUTED_VALUE"""),138337.0)</f>
        <v>138337</v>
      </c>
      <c r="E154" s="329">
        <f>IFERROR(__xludf.DUMMYFUNCTION("""COMPUTED_VALUE"""),16300.0)</f>
        <v>16300</v>
      </c>
      <c r="F154" s="258">
        <f>IFERROR(__xludf.DUMMYFUNCTION("""COMPUTED_VALUE"""),2403776.0)</f>
        <v>2403776</v>
      </c>
      <c r="G154" s="258">
        <f>IFERROR(__xludf.DUMMYFUNCTION("""COMPUTED_VALUE"""),16995.0)</f>
        <v>16995</v>
      </c>
      <c r="H154" s="258">
        <f>IFERROR(__xludf.DUMMYFUNCTION("""COMPUTED_VALUE"""),2542113.0)</f>
        <v>2542113</v>
      </c>
      <c r="I154" s="329">
        <f>IFERROR(__xludf.DUMMYFUNCTION("""COMPUTED_VALUE"""),591.0)</f>
        <v>591</v>
      </c>
      <c r="J154" s="329">
        <f>IFERROR(__xludf.DUMMYFUNCTION("""COMPUTED_VALUE"""),607.0)</f>
        <v>607</v>
      </c>
      <c r="K154" s="329">
        <f>IFERROR(__xludf.DUMMYFUNCTION("""COMPUTED_VALUE"""),115971.0)</f>
        <v>115971</v>
      </c>
      <c r="L154" s="329">
        <f>IFERROR(__xludf.DUMMYFUNCTION("""COMPUTED_VALUE"""),2286.0)</f>
        <v>2286</v>
      </c>
      <c r="M154" s="329">
        <f>IFERROR(__xludf.DUMMYFUNCTION("""COMPUTED_VALUE"""),618717.0)</f>
        <v>618717</v>
      </c>
      <c r="N154" s="329">
        <f>IFERROR(__xludf.DUMMYFUNCTION("""COMPUTED_VALUE"""),734688.0)</f>
        <v>734688</v>
      </c>
      <c r="O154" s="329">
        <f>IFERROR(__xludf.DUMMYFUNCTION("""COMPUTED_VALUE"""),39.0)</f>
        <v>39</v>
      </c>
      <c r="P154" s="329">
        <f>IFERROR(__xludf.DUMMYFUNCTION("""COMPUTED_VALUE"""),8227.0)</f>
        <v>8227</v>
      </c>
      <c r="Q154" s="329">
        <f>IFERROR(__xludf.DUMMYFUNCTION("""COMPUTED_VALUE"""),30.0)</f>
        <v>30</v>
      </c>
      <c r="R154" s="329">
        <f>IFERROR(__xludf.DUMMYFUNCTION("""COMPUTED_VALUE"""),6962.0)</f>
        <v>6962</v>
      </c>
      <c r="S154" s="329">
        <f>IFERROR(__xludf.DUMMYFUNCTION("""COMPUTED_VALUE"""),4.0)</f>
        <v>4</v>
      </c>
      <c r="T154" s="329">
        <f>IFERROR(__xludf.DUMMYFUNCTION("""COMPUTED_VALUE"""),929.0)</f>
        <v>929</v>
      </c>
      <c r="U154" s="329">
        <f>IFERROR(__xludf.DUMMYFUNCTION("""COMPUTED_VALUE"""),336.0)</f>
        <v>336</v>
      </c>
      <c r="V154" s="329">
        <f>IFERROR(__xludf.DUMMYFUNCTION("""COMPUTED_VALUE"""),338.0)</f>
        <v>338</v>
      </c>
      <c r="W154" s="329">
        <f>IFERROR(__xludf.DUMMYFUNCTION("""COMPUTED_VALUE"""),52.0)</f>
        <v>52</v>
      </c>
      <c r="X154" s="329">
        <f>IFERROR(__xludf.DUMMYFUNCTION("""COMPUTED_VALUE"""),31.0)</f>
        <v>31</v>
      </c>
      <c r="Y154" s="329">
        <f>IFERROR(__xludf.DUMMYFUNCTION("""COMPUTED_VALUE"""),9.0)</f>
        <v>9</v>
      </c>
      <c r="Z154" s="329">
        <f>IFERROR(__xludf.DUMMYFUNCTION("""COMPUTED_VALUE"""),2347.0)</f>
        <v>2347</v>
      </c>
      <c r="AA154" s="258">
        <f>IFERROR(__xludf.DUMMYFUNCTION("""COMPUTED_VALUE"""),3533.0)</f>
        <v>3533</v>
      </c>
      <c r="AB154" s="258">
        <f>IFERROR(__xludf.DUMMYFUNCTION("""COMPUTED_VALUE"""),2108.0)</f>
        <v>2108</v>
      </c>
      <c r="AC154" s="258">
        <f>IFERROR(__xludf.DUMMYFUNCTION("""COMPUTED_VALUE"""),5641.0)</f>
        <v>5641</v>
      </c>
      <c r="AD154" s="258">
        <f>IFERROR(__xludf.DUMMYFUNCTION("""COMPUTED_VALUE"""),104763.0)</f>
        <v>104763</v>
      </c>
      <c r="AE154" s="258">
        <f>IFERROR(__xludf.DUMMYFUNCTION("""COMPUTED_VALUE"""),3533.0)</f>
        <v>3533</v>
      </c>
      <c r="AF154" s="258">
        <f>IFERROR(__xludf.DUMMYFUNCTION("""COMPUTED_VALUE"""),76462.0)</f>
        <v>76462</v>
      </c>
      <c r="AG154" s="258">
        <f>IFERROR(__xludf.DUMMYFUNCTION("""COMPUTED_VALUE"""),2108.0)</f>
        <v>2108</v>
      </c>
      <c r="AH154" s="258">
        <f>IFERROR(__xludf.DUMMYFUNCTION("""COMPUTED_VALUE"""),28301.0)</f>
        <v>28301</v>
      </c>
    </row>
    <row r="155">
      <c r="A155" s="328">
        <f>IFERROR(__xludf.DUMMYFUNCTION("""COMPUTED_VALUE"""),44227.0)</f>
        <v>44227</v>
      </c>
      <c r="B155" s="329">
        <f>IFERROR(__xludf.DUMMYFUNCTION("""COMPUTED_VALUE"""),361.0)</f>
        <v>361</v>
      </c>
      <c r="C155" s="329">
        <f>IFERROR(__xludf.DUMMYFUNCTION("""COMPUTED_VALUE"""),576.0)</f>
        <v>576</v>
      </c>
      <c r="D155" s="329">
        <f>IFERROR(__xludf.DUMMYFUNCTION("""COMPUTED_VALUE"""),138698.0)</f>
        <v>138698</v>
      </c>
      <c r="E155" s="329">
        <f>IFERROR(__xludf.DUMMYFUNCTION("""COMPUTED_VALUE"""),8373.0)</f>
        <v>8373</v>
      </c>
      <c r="F155" s="258">
        <f>IFERROR(__xludf.DUMMYFUNCTION("""COMPUTED_VALUE"""),2412149.0)</f>
        <v>2412149</v>
      </c>
      <c r="G155" s="258">
        <f>IFERROR(__xludf.DUMMYFUNCTION("""COMPUTED_VALUE"""),8734.0)</f>
        <v>8734</v>
      </c>
      <c r="H155" s="258">
        <f>IFERROR(__xludf.DUMMYFUNCTION("""COMPUTED_VALUE"""),2550847.0)</f>
        <v>2550847</v>
      </c>
      <c r="I155" s="329">
        <f>IFERROR(__xludf.DUMMYFUNCTION("""COMPUTED_VALUE"""),320.0)</f>
        <v>320</v>
      </c>
      <c r="J155" s="329">
        <f>IFERROR(__xludf.DUMMYFUNCTION("""COMPUTED_VALUE"""),501.0)</f>
        <v>501</v>
      </c>
      <c r="K155" s="329">
        <f>IFERROR(__xludf.DUMMYFUNCTION("""COMPUTED_VALUE"""),116291.0)</f>
        <v>116291</v>
      </c>
      <c r="L155" s="329">
        <f>IFERROR(__xludf.DUMMYFUNCTION("""COMPUTED_VALUE"""),1149.0)</f>
        <v>1149</v>
      </c>
      <c r="M155" s="329">
        <f>IFERROR(__xludf.DUMMYFUNCTION("""COMPUTED_VALUE"""),619866.0)</f>
        <v>619866</v>
      </c>
      <c r="N155" s="329">
        <f>IFERROR(__xludf.DUMMYFUNCTION("""COMPUTED_VALUE"""),736157.0)</f>
        <v>736157</v>
      </c>
      <c r="O155" s="329">
        <f>IFERROR(__xludf.DUMMYFUNCTION("""COMPUTED_VALUE"""),36.0)</f>
        <v>36</v>
      </c>
      <c r="P155" s="329">
        <f>IFERROR(__xludf.DUMMYFUNCTION("""COMPUTED_VALUE"""),8263.0)</f>
        <v>8263</v>
      </c>
      <c r="Q155" s="329">
        <f>IFERROR(__xludf.DUMMYFUNCTION("""COMPUTED_VALUE"""),36.0)</f>
        <v>36</v>
      </c>
      <c r="R155" s="329">
        <f>IFERROR(__xludf.DUMMYFUNCTION("""COMPUTED_VALUE"""),6998.0)</f>
        <v>6998</v>
      </c>
      <c r="S155" s="329">
        <f>IFERROR(__xludf.DUMMYFUNCTION("""COMPUTED_VALUE"""),2.0)</f>
        <v>2</v>
      </c>
      <c r="T155" s="329">
        <f>IFERROR(__xludf.DUMMYFUNCTION("""COMPUTED_VALUE"""),931.0)</f>
        <v>931</v>
      </c>
      <c r="U155" s="329">
        <f>IFERROR(__xludf.DUMMYFUNCTION("""COMPUTED_VALUE"""),334.0)</f>
        <v>334</v>
      </c>
      <c r="V155" s="329">
        <f>IFERROR(__xludf.DUMMYFUNCTION("""COMPUTED_VALUE"""),334.0)</f>
        <v>334</v>
      </c>
      <c r="W155" s="329">
        <f>IFERROR(__xludf.DUMMYFUNCTION("""COMPUTED_VALUE"""),46.0)</f>
        <v>46</v>
      </c>
      <c r="X155" s="329">
        <f>IFERROR(__xludf.DUMMYFUNCTION("""COMPUTED_VALUE"""),26.0)</f>
        <v>26</v>
      </c>
      <c r="Y155" s="329">
        <f>IFERROR(__xludf.DUMMYFUNCTION("""COMPUTED_VALUE"""),8.0)</f>
        <v>8</v>
      </c>
      <c r="Z155" s="329">
        <f>IFERROR(__xludf.DUMMYFUNCTION("""COMPUTED_VALUE"""),2355.0)</f>
        <v>2355</v>
      </c>
      <c r="AA155" s="258">
        <f>IFERROR(__xludf.DUMMYFUNCTION("""COMPUTED_VALUE"""),2323.0)</f>
        <v>2323</v>
      </c>
      <c r="AB155" s="258">
        <f>IFERROR(__xludf.DUMMYFUNCTION("""COMPUTED_VALUE"""),390.0)</f>
        <v>390</v>
      </c>
      <c r="AC155" s="258">
        <f>IFERROR(__xludf.DUMMYFUNCTION("""COMPUTED_VALUE"""),2713.0)</f>
        <v>2713</v>
      </c>
      <c r="AD155" s="258">
        <f>IFERROR(__xludf.DUMMYFUNCTION("""COMPUTED_VALUE"""),107476.0)</f>
        <v>107476</v>
      </c>
      <c r="AE155" s="258">
        <f>IFERROR(__xludf.DUMMYFUNCTION("""COMPUTED_VALUE"""),2323.0)</f>
        <v>2323</v>
      </c>
      <c r="AF155" s="258">
        <f>IFERROR(__xludf.DUMMYFUNCTION("""COMPUTED_VALUE"""),78785.0)</f>
        <v>78785</v>
      </c>
      <c r="AG155" s="258">
        <f>IFERROR(__xludf.DUMMYFUNCTION("""COMPUTED_VALUE"""),390.0)</f>
        <v>390</v>
      </c>
      <c r="AH155" s="258">
        <f>IFERROR(__xludf.DUMMYFUNCTION("""COMPUTED_VALUE"""),28691.0)</f>
        <v>28691</v>
      </c>
    </row>
    <row r="156">
      <c r="A156" s="328">
        <f>IFERROR(__xludf.DUMMYFUNCTION("""COMPUTED_VALUE"""),44228.0)</f>
        <v>44228</v>
      </c>
      <c r="B156" s="329">
        <f>IFERROR(__xludf.DUMMYFUNCTION("""COMPUTED_VALUE"""),238.0)</f>
        <v>238</v>
      </c>
      <c r="C156" s="329">
        <f>IFERROR(__xludf.DUMMYFUNCTION("""COMPUTED_VALUE"""),431.0)</f>
        <v>431</v>
      </c>
      <c r="D156" s="329">
        <f>IFERROR(__xludf.DUMMYFUNCTION("""COMPUTED_VALUE"""),138936.0)</f>
        <v>138936</v>
      </c>
      <c r="E156" s="329">
        <f>IFERROR(__xludf.DUMMYFUNCTION("""COMPUTED_VALUE"""),7378.0)</f>
        <v>7378</v>
      </c>
      <c r="F156" s="258">
        <f>IFERROR(__xludf.DUMMYFUNCTION("""COMPUTED_VALUE"""),2419527.0)</f>
        <v>2419527</v>
      </c>
      <c r="G156" s="258">
        <f>IFERROR(__xludf.DUMMYFUNCTION("""COMPUTED_VALUE"""),7616.0)</f>
        <v>7616</v>
      </c>
      <c r="H156" s="258">
        <f>IFERROR(__xludf.DUMMYFUNCTION("""COMPUTED_VALUE"""),2558463.0)</f>
        <v>2558463</v>
      </c>
      <c r="I156" s="329">
        <f>IFERROR(__xludf.DUMMYFUNCTION("""COMPUTED_VALUE"""),204.0)</f>
        <v>204</v>
      </c>
      <c r="J156" s="329">
        <f>IFERROR(__xludf.DUMMYFUNCTION("""COMPUTED_VALUE"""),372.0)</f>
        <v>372</v>
      </c>
      <c r="K156" s="329">
        <f>IFERROR(__xludf.DUMMYFUNCTION("""COMPUTED_VALUE"""),116495.0)</f>
        <v>116495</v>
      </c>
      <c r="L156" s="329">
        <f>IFERROR(__xludf.DUMMYFUNCTION("""COMPUTED_VALUE"""),672.0)</f>
        <v>672</v>
      </c>
      <c r="M156" s="329">
        <f>IFERROR(__xludf.DUMMYFUNCTION("""COMPUTED_VALUE"""),620538.0)</f>
        <v>620538</v>
      </c>
      <c r="N156" s="329">
        <f>IFERROR(__xludf.DUMMYFUNCTION("""COMPUTED_VALUE"""),737033.0)</f>
        <v>737033</v>
      </c>
      <c r="O156" s="329">
        <f>IFERROR(__xludf.DUMMYFUNCTION("""COMPUTED_VALUE"""),35.0)</f>
        <v>35</v>
      </c>
      <c r="P156" s="329">
        <f>IFERROR(__xludf.DUMMYFUNCTION("""COMPUTED_VALUE"""),8298.0)</f>
        <v>8298</v>
      </c>
      <c r="Q156" s="329">
        <f>IFERROR(__xludf.DUMMYFUNCTION("""COMPUTED_VALUE"""),39.0)</f>
        <v>39</v>
      </c>
      <c r="R156" s="329">
        <f>IFERROR(__xludf.DUMMYFUNCTION("""COMPUTED_VALUE"""),7037.0)</f>
        <v>7037</v>
      </c>
      <c r="S156" s="329">
        <f>IFERROR(__xludf.DUMMYFUNCTION("""COMPUTED_VALUE"""),7.0)</f>
        <v>7</v>
      </c>
      <c r="T156" s="329">
        <f>IFERROR(__xludf.DUMMYFUNCTION("""COMPUTED_VALUE"""),938.0)</f>
        <v>938</v>
      </c>
      <c r="U156" s="329">
        <f>IFERROR(__xludf.DUMMYFUNCTION("""COMPUTED_VALUE"""),323.0)</f>
        <v>323</v>
      </c>
      <c r="V156" s="329">
        <f>IFERROR(__xludf.DUMMYFUNCTION("""COMPUTED_VALUE"""),331.0)</f>
        <v>331</v>
      </c>
      <c r="W156" s="329">
        <f>IFERROR(__xludf.DUMMYFUNCTION("""COMPUTED_VALUE"""),44.0)</f>
        <v>44</v>
      </c>
      <c r="X156" s="329">
        <f>IFERROR(__xludf.DUMMYFUNCTION("""COMPUTED_VALUE"""),23.0)</f>
        <v>23</v>
      </c>
      <c r="Y156" s="329">
        <f>IFERROR(__xludf.DUMMYFUNCTION("""COMPUTED_VALUE"""),11.0)</f>
        <v>11</v>
      </c>
      <c r="Z156" s="329">
        <f>IFERROR(__xludf.DUMMYFUNCTION("""COMPUTED_VALUE"""),2366.0)</f>
        <v>2366</v>
      </c>
      <c r="AA156" s="258">
        <f>IFERROR(__xludf.DUMMYFUNCTION("""COMPUTED_VALUE"""),432.0)</f>
        <v>432</v>
      </c>
      <c r="AB156" s="258">
        <f>IFERROR(__xludf.DUMMYFUNCTION("""COMPUTED_VALUE"""),1033.0)</f>
        <v>1033</v>
      </c>
      <c r="AC156" s="258">
        <f>IFERROR(__xludf.DUMMYFUNCTION("""COMPUTED_VALUE"""),1465.0)</f>
        <v>1465</v>
      </c>
      <c r="AD156" s="258">
        <f>IFERROR(__xludf.DUMMYFUNCTION("""COMPUTED_VALUE"""),108941.0)</f>
        <v>108941</v>
      </c>
      <c r="AE156" s="258">
        <f>IFERROR(__xludf.DUMMYFUNCTION("""COMPUTED_VALUE"""),432.0)</f>
        <v>432</v>
      </c>
      <c r="AF156" s="258">
        <f>IFERROR(__xludf.DUMMYFUNCTION("""COMPUTED_VALUE"""),79217.0)</f>
        <v>79217</v>
      </c>
      <c r="AG156" s="258">
        <f>IFERROR(__xludf.DUMMYFUNCTION("""COMPUTED_VALUE"""),1033.0)</f>
        <v>1033</v>
      </c>
      <c r="AH156" s="258">
        <f>IFERROR(__xludf.DUMMYFUNCTION("""COMPUTED_VALUE"""),29724.0)</f>
        <v>29724</v>
      </c>
    </row>
    <row r="157">
      <c r="A157" s="328">
        <f>IFERROR(__xludf.DUMMYFUNCTION("""COMPUTED_VALUE"""),44229.0)</f>
        <v>44229</v>
      </c>
      <c r="B157" s="329">
        <f>IFERROR(__xludf.DUMMYFUNCTION("""COMPUTED_VALUE"""),603.0)</f>
        <v>603</v>
      </c>
      <c r="C157" s="329">
        <f>IFERROR(__xludf.DUMMYFUNCTION("""COMPUTED_VALUE"""),401.0)</f>
        <v>401</v>
      </c>
      <c r="D157" s="329">
        <f>IFERROR(__xludf.DUMMYFUNCTION("""COMPUTED_VALUE"""),139539.0)</f>
        <v>139539</v>
      </c>
      <c r="E157" s="329">
        <f>IFERROR(__xludf.DUMMYFUNCTION("""COMPUTED_VALUE"""),14851.0)</f>
        <v>14851</v>
      </c>
      <c r="F157" s="258">
        <f>IFERROR(__xludf.DUMMYFUNCTION("""COMPUTED_VALUE"""),2434378.0)</f>
        <v>2434378</v>
      </c>
      <c r="G157" s="258">
        <f>IFERROR(__xludf.DUMMYFUNCTION("""COMPUTED_VALUE"""),15454.0)</f>
        <v>15454</v>
      </c>
      <c r="H157" s="258">
        <f>IFERROR(__xludf.DUMMYFUNCTION("""COMPUTED_VALUE"""),2573917.0)</f>
        <v>2573917</v>
      </c>
      <c r="I157" s="329">
        <f>IFERROR(__xludf.DUMMYFUNCTION("""COMPUTED_VALUE"""),539.0)</f>
        <v>539</v>
      </c>
      <c r="J157" s="329">
        <f>IFERROR(__xludf.DUMMYFUNCTION("""COMPUTED_VALUE"""),354.0)</f>
        <v>354</v>
      </c>
      <c r="K157" s="329">
        <f>IFERROR(__xludf.DUMMYFUNCTION("""COMPUTED_VALUE"""),117034.0)</f>
        <v>117034</v>
      </c>
      <c r="L157" s="329">
        <f>IFERROR(__xludf.DUMMYFUNCTION("""COMPUTED_VALUE"""),1903.0)</f>
        <v>1903</v>
      </c>
      <c r="M157" s="329">
        <f>IFERROR(__xludf.DUMMYFUNCTION("""COMPUTED_VALUE"""),622441.0)</f>
        <v>622441</v>
      </c>
      <c r="N157" s="329">
        <f>IFERROR(__xludf.DUMMYFUNCTION("""COMPUTED_VALUE"""),739475.0)</f>
        <v>739475</v>
      </c>
      <c r="O157" s="329">
        <f>IFERROR(__xludf.DUMMYFUNCTION("""COMPUTED_VALUE"""),48.0)</f>
        <v>48</v>
      </c>
      <c r="P157" s="329">
        <f>IFERROR(__xludf.DUMMYFUNCTION("""COMPUTED_VALUE"""),8346.0)</f>
        <v>8346</v>
      </c>
      <c r="Q157" s="329">
        <f>IFERROR(__xludf.DUMMYFUNCTION("""COMPUTED_VALUE"""),48.0)</f>
        <v>48</v>
      </c>
      <c r="R157" s="329">
        <f>IFERROR(__xludf.DUMMYFUNCTION("""COMPUTED_VALUE"""),7085.0)</f>
        <v>7085</v>
      </c>
      <c r="S157" s="329">
        <f>IFERROR(__xludf.DUMMYFUNCTION("""COMPUTED_VALUE"""),5.0)</f>
        <v>5</v>
      </c>
      <c r="T157" s="329">
        <f>IFERROR(__xludf.DUMMYFUNCTION("""COMPUTED_VALUE"""),943.0)</f>
        <v>943</v>
      </c>
      <c r="U157" s="329">
        <f>IFERROR(__xludf.DUMMYFUNCTION("""COMPUTED_VALUE"""),318.0)</f>
        <v>318</v>
      </c>
      <c r="V157" s="329">
        <f>IFERROR(__xludf.DUMMYFUNCTION("""COMPUTED_VALUE"""),325.0)</f>
        <v>325</v>
      </c>
      <c r="W157" s="329">
        <f>IFERROR(__xludf.DUMMYFUNCTION("""COMPUTED_VALUE"""),47.0)</f>
        <v>47</v>
      </c>
      <c r="X157" s="329">
        <f>IFERROR(__xludf.DUMMYFUNCTION("""COMPUTED_VALUE"""),24.0)</f>
        <v>24</v>
      </c>
      <c r="Y157" s="329">
        <f>IFERROR(__xludf.DUMMYFUNCTION("""COMPUTED_VALUE"""),14.0)</f>
        <v>14</v>
      </c>
      <c r="Z157" s="329">
        <f>IFERROR(__xludf.DUMMYFUNCTION("""COMPUTED_VALUE"""),2380.0)</f>
        <v>2380</v>
      </c>
      <c r="AA157" s="258">
        <f>IFERROR(__xludf.DUMMYFUNCTION("""COMPUTED_VALUE"""),1719.0)</f>
        <v>1719</v>
      </c>
      <c r="AB157" s="258">
        <f>IFERROR(__xludf.DUMMYFUNCTION("""COMPUTED_VALUE"""),1685.0)</f>
        <v>1685</v>
      </c>
      <c r="AC157" s="258">
        <f>IFERROR(__xludf.DUMMYFUNCTION("""COMPUTED_VALUE"""),3404.0)</f>
        <v>3404</v>
      </c>
      <c r="AD157" s="258">
        <f>IFERROR(__xludf.DUMMYFUNCTION("""COMPUTED_VALUE"""),112345.0)</f>
        <v>112345</v>
      </c>
      <c r="AE157" s="258">
        <f>IFERROR(__xludf.DUMMYFUNCTION("""COMPUTED_VALUE"""),1719.0)</f>
        <v>1719</v>
      </c>
      <c r="AF157" s="258">
        <f>IFERROR(__xludf.DUMMYFUNCTION("""COMPUTED_VALUE"""),80936.0)</f>
        <v>80936</v>
      </c>
      <c r="AG157" s="258">
        <f>IFERROR(__xludf.DUMMYFUNCTION("""COMPUTED_VALUE"""),1685.0)</f>
        <v>1685</v>
      </c>
      <c r="AH157" s="258">
        <f>IFERROR(__xludf.DUMMYFUNCTION("""COMPUTED_VALUE"""),31409.0)</f>
        <v>31409</v>
      </c>
    </row>
    <row r="158">
      <c r="A158" s="328">
        <f>IFERROR(__xludf.DUMMYFUNCTION("""COMPUTED_VALUE"""),44230.0)</f>
        <v>44230</v>
      </c>
      <c r="B158" s="329">
        <f>IFERROR(__xludf.DUMMYFUNCTION("""COMPUTED_VALUE"""),750.0)</f>
        <v>750</v>
      </c>
      <c r="C158" s="329">
        <f>IFERROR(__xludf.DUMMYFUNCTION("""COMPUTED_VALUE"""),530.0)</f>
        <v>530</v>
      </c>
      <c r="D158" s="329">
        <f>IFERROR(__xludf.DUMMYFUNCTION("""COMPUTED_VALUE"""),140289.0)</f>
        <v>140289</v>
      </c>
      <c r="E158" s="329">
        <f>IFERROR(__xludf.DUMMYFUNCTION("""COMPUTED_VALUE"""),24454.0)</f>
        <v>24454</v>
      </c>
      <c r="F158" s="258">
        <f>IFERROR(__xludf.DUMMYFUNCTION("""COMPUTED_VALUE"""),2458832.0)</f>
        <v>2458832</v>
      </c>
      <c r="G158" s="258">
        <f>IFERROR(__xludf.DUMMYFUNCTION("""COMPUTED_VALUE"""),25204.0)</f>
        <v>25204</v>
      </c>
      <c r="H158" s="258">
        <f>IFERROR(__xludf.DUMMYFUNCTION("""COMPUTED_VALUE"""),2599121.0)</f>
        <v>2599121</v>
      </c>
      <c r="I158" s="329">
        <f>IFERROR(__xludf.DUMMYFUNCTION("""COMPUTED_VALUE"""),656.0)</f>
        <v>656</v>
      </c>
      <c r="J158" s="329">
        <f>IFERROR(__xludf.DUMMYFUNCTION("""COMPUTED_VALUE"""),466.0)</f>
        <v>466</v>
      </c>
      <c r="K158" s="329">
        <f>IFERROR(__xludf.DUMMYFUNCTION("""COMPUTED_VALUE"""),117690.0)</f>
        <v>117690</v>
      </c>
      <c r="L158" s="329">
        <f>IFERROR(__xludf.DUMMYFUNCTION("""COMPUTED_VALUE"""),2492.0)</f>
        <v>2492</v>
      </c>
      <c r="M158" s="329">
        <f>IFERROR(__xludf.DUMMYFUNCTION("""COMPUTED_VALUE"""),624933.0)</f>
        <v>624933</v>
      </c>
      <c r="N158" s="329">
        <f>IFERROR(__xludf.DUMMYFUNCTION("""COMPUTED_VALUE"""),742623.0)</f>
        <v>742623</v>
      </c>
      <c r="O158" s="329">
        <f>IFERROR(__xludf.DUMMYFUNCTION("""COMPUTED_VALUE"""),50.0)</f>
        <v>50</v>
      </c>
      <c r="P158" s="329">
        <f>IFERROR(__xludf.DUMMYFUNCTION("""COMPUTED_VALUE"""),8396.0)</f>
        <v>8396</v>
      </c>
      <c r="Q158" s="329">
        <f>IFERROR(__xludf.DUMMYFUNCTION("""COMPUTED_VALUE"""),46.0)</f>
        <v>46</v>
      </c>
      <c r="R158" s="329">
        <f>IFERROR(__xludf.DUMMYFUNCTION("""COMPUTED_VALUE"""),7131.0)</f>
        <v>7131</v>
      </c>
      <c r="S158" s="329">
        <f>IFERROR(__xludf.DUMMYFUNCTION("""COMPUTED_VALUE"""),5.0)</f>
        <v>5</v>
      </c>
      <c r="T158" s="329">
        <f>IFERROR(__xludf.DUMMYFUNCTION("""COMPUTED_VALUE"""),948.0)</f>
        <v>948</v>
      </c>
      <c r="U158" s="329">
        <f>IFERROR(__xludf.DUMMYFUNCTION("""COMPUTED_VALUE"""),317.0)</f>
        <v>317</v>
      </c>
      <c r="V158" s="329">
        <f>IFERROR(__xludf.DUMMYFUNCTION("""COMPUTED_VALUE"""),319.0)</f>
        <v>319</v>
      </c>
      <c r="W158" s="329">
        <f>IFERROR(__xludf.DUMMYFUNCTION("""COMPUTED_VALUE"""),47.0)</f>
        <v>47</v>
      </c>
      <c r="X158" s="329">
        <f>IFERROR(__xludf.DUMMYFUNCTION("""COMPUTED_VALUE"""),22.0)</f>
        <v>22</v>
      </c>
      <c r="Y158" s="329">
        <f>IFERROR(__xludf.DUMMYFUNCTION("""COMPUTED_VALUE"""),14.0)</f>
        <v>14</v>
      </c>
      <c r="Z158" s="329">
        <f>IFERROR(__xludf.DUMMYFUNCTION("""COMPUTED_VALUE"""),2394.0)</f>
        <v>2394</v>
      </c>
      <c r="AA158" s="258">
        <f>IFERROR(__xludf.DUMMYFUNCTION("""COMPUTED_VALUE"""),3902.0)</f>
        <v>3902</v>
      </c>
      <c r="AB158" s="258">
        <f>IFERROR(__xludf.DUMMYFUNCTION("""COMPUTED_VALUE"""),1959.0)</f>
        <v>1959</v>
      </c>
      <c r="AC158" s="258">
        <f>IFERROR(__xludf.DUMMYFUNCTION("""COMPUTED_VALUE"""),5861.0)</f>
        <v>5861</v>
      </c>
      <c r="AD158" s="258">
        <f>IFERROR(__xludf.DUMMYFUNCTION("""COMPUTED_VALUE"""),118206.0)</f>
        <v>118206</v>
      </c>
      <c r="AE158" s="258">
        <f>IFERROR(__xludf.DUMMYFUNCTION("""COMPUTED_VALUE"""),3902.0)</f>
        <v>3902</v>
      </c>
      <c r="AF158" s="258">
        <f>IFERROR(__xludf.DUMMYFUNCTION("""COMPUTED_VALUE"""),84838.0)</f>
        <v>84838</v>
      </c>
      <c r="AG158" s="258">
        <f>IFERROR(__xludf.DUMMYFUNCTION("""COMPUTED_VALUE"""),1959.0)</f>
        <v>1959</v>
      </c>
      <c r="AH158" s="258">
        <f>IFERROR(__xludf.DUMMYFUNCTION("""COMPUTED_VALUE"""),33368.0)</f>
        <v>33368</v>
      </c>
    </row>
    <row r="159">
      <c r="A159" s="328">
        <f>IFERROR(__xludf.DUMMYFUNCTION("""COMPUTED_VALUE"""),44231.0)</f>
        <v>44231</v>
      </c>
      <c r="B159" s="329">
        <f>IFERROR(__xludf.DUMMYFUNCTION("""COMPUTED_VALUE"""),708.0)</f>
        <v>708</v>
      </c>
      <c r="C159" s="329">
        <f>IFERROR(__xludf.DUMMYFUNCTION("""COMPUTED_VALUE"""),687.0)</f>
        <v>687</v>
      </c>
      <c r="D159" s="329">
        <f>IFERROR(__xludf.DUMMYFUNCTION("""COMPUTED_VALUE"""),140997.0)</f>
        <v>140997</v>
      </c>
      <c r="E159" s="329">
        <f>IFERROR(__xludf.DUMMYFUNCTION("""COMPUTED_VALUE"""),23484.0)</f>
        <v>23484</v>
      </c>
      <c r="F159" s="258">
        <f>IFERROR(__xludf.DUMMYFUNCTION("""COMPUTED_VALUE"""),2482316.0)</f>
        <v>2482316</v>
      </c>
      <c r="G159" s="258">
        <f>IFERROR(__xludf.DUMMYFUNCTION("""COMPUTED_VALUE"""),24192.0)</f>
        <v>24192</v>
      </c>
      <c r="H159" s="258">
        <f>IFERROR(__xludf.DUMMYFUNCTION("""COMPUTED_VALUE"""),2623313.0)</f>
        <v>2623313</v>
      </c>
      <c r="I159" s="329">
        <f>IFERROR(__xludf.DUMMYFUNCTION("""COMPUTED_VALUE"""),612.0)</f>
        <v>612</v>
      </c>
      <c r="J159" s="329">
        <f>IFERROR(__xludf.DUMMYFUNCTION("""COMPUTED_VALUE"""),602.0)</f>
        <v>602</v>
      </c>
      <c r="K159" s="329">
        <f>IFERROR(__xludf.DUMMYFUNCTION("""COMPUTED_VALUE"""),118302.0)</f>
        <v>118302</v>
      </c>
      <c r="L159" s="329">
        <f>IFERROR(__xludf.DUMMYFUNCTION("""COMPUTED_VALUE"""),2650.0)</f>
        <v>2650</v>
      </c>
      <c r="M159" s="329">
        <f>IFERROR(__xludf.DUMMYFUNCTION("""COMPUTED_VALUE"""),627583.0)</f>
        <v>627583</v>
      </c>
      <c r="N159" s="329">
        <f>IFERROR(__xludf.DUMMYFUNCTION("""COMPUTED_VALUE"""),745885.0)</f>
        <v>745885</v>
      </c>
      <c r="O159" s="329">
        <f>IFERROR(__xludf.DUMMYFUNCTION("""COMPUTED_VALUE"""),33.0)</f>
        <v>33</v>
      </c>
      <c r="P159" s="329">
        <f>IFERROR(__xludf.DUMMYFUNCTION("""COMPUTED_VALUE"""),8429.0)</f>
        <v>8429</v>
      </c>
      <c r="Q159" s="329">
        <f>IFERROR(__xludf.DUMMYFUNCTION("""COMPUTED_VALUE"""),48.0)</f>
        <v>48</v>
      </c>
      <c r="R159" s="329">
        <f>IFERROR(__xludf.DUMMYFUNCTION("""COMPUTED_VALUE"""),7179.0)</f>
        <v>7179</v>
      </c>
      <c r="S159" s="329">
        <f>IFERROR(__xludf.DUMMYFUNCTION("""COMPUTED_VALUE"""),0.0)</f>
        <v>0</v>
      </c>
      <c r="T159" s="329">
        <f>IFERROR(__xludf.DUMMYFUNCTION("""COMPUTED_VALUE"""),948.0)</f>
        <v>948</v>
      </c>
      <c r="U159" s="329">
        <f>IFERROR(__xludf.DUMMYFUNCTION("""COMPUTED_VALUE"""),302.0)</f>
        <v>302</v>
      </c>
      <c r="V159" s="329">
        <f>IFERROR(__xludf.DUMMYFUNCTION("""COMPUTED_VALUE"""),312.0)</f>
        <v>312</v>
      </c>
      <c r="W159" s="329">
        <f>IFERROR(__xludf.DUMMYFUNCTION("""COMPUTED_VALUE"""),48.0)</f>
        <v>48</v>
      </c>
      <c r="X159" s="329">
        <f>IFERROR(__xludf.DUMMYFUNCTION("""COMPUTED_VALUE"""),23.0)</f>
        <v>23</v>
      </c>
      <c r="Y159" s="329">
        <f>IFERROR(__xludf.DUMMYFUNCTION("""COMPUTED_VALUE"""),8.0)</f>
        <v>8</v>
      </c>
      <c r="Z159" s="329">
        <f>IFERROR(__xludf.DUMMYFUNCTION("""COMPUTED_VALUE"""),2402.0)</f>
        <v>2402</v>
      </c>
      <c r="AA159" s="258">
        <f>IFERROR(__xludf.DUMMYFUNCTION("""COMPUTED_VALUE"""),2916.0)</f>
        <v>2916</v>
      </c>
      <c r="AB159" s="258">
        <f>IFERROR(__xludf.DUMMYFUNCTION("""COMPUTED_VALUE"""),2050.0)</f>
        <v>2050</v>
      </c>
      <c r="AC159" s="258">
        <f>IFERROR(__xludf.DUMMYFUNCTION("""COMPUTED_VALUE"""),4966.0)</f>
        <v>4966</v>
      </c>
      <c r="AD159" s="258">
        <f>IFERROR(__xludf.DUMMYFUNCTION("""COMPUTED_VALUE"""),123172.0)</f>
        <v>123172</v>
      </c>
      <c r="AE159" s="258">
        <f>IFERROR(__xludf.DUMMYFUNCTION("""COMPUTED_VALUE"""),2916.0)</f>
        <v>2916</v>
      </c>
      <c r="AF159" s="258">
        <f>IFERROR(__xludf.DUMMYFUNCTION("""COMPUTED_VALUE"""),87754.0)</f>
        <v>87754</v>
      </c>
      <c r="AG159" s="258">
        <f>IFERROR(__xludf.DUMMYFUNCTION("""COMPUTED_VALUE"""),2050.0)</f>
        <v>2050</v>
      </c>
      <c r="AH159" s="258">
        <f>IFERROR(__xludf.DUMMYFUNCTION("""COMPUTED_VALUE"""),35418.0)</f>
        <v>35418</v>
      </c>
    </row>
    <row r="160">
      <c r="A160" s="328">
        <f>IFERROR(__xludf.DUMMYFUNCTION("""COMPUTED_VALUE"""),44232.0)</f>
        <v>44232</v>
      </c>
      <c r="B160" s="329">
        <f>IFERROR(__xludf.DUMMYFUNCTION("""COMPUTED_VALUE"""),613.0)</f>
        <v>613</v>
      </c>
      <c r="C160" s="329">
        <f>IFERROR(__xludf.DUMMYFUNCTION("""COMPUTED_VALUE"""),690.0)</f>
        <v>690</v>
      </c>
      <c r="D160" s="329">
        <f>IFERROR(__xludf.DUMMYFUNCTION("""COMPUTED_VALUE"""),141610.0)</f>
        <v>141610</v>
      </c>
      <c r="E160" s="329">
        <f>IFERROR(__xludf.DUMMYFUNCTION("""COMPUTED_VALUE"""),20028.0)</f>
        <v>20028</v>
      </c>
      <c r="F160" s="258">
        <f>IFERROR(__xludf.DUMMYFUNCTION("""COMPUTED_VALUE"""),2502344.0)</f>
        <v>2502344</v>
      </c>
      <c r="G160" s="258">
        <f>IFERROR(__xludf.DUMMYFUNCTION("""COMPUTED_VALUE"""),20641.0)</f>
        <v>20641</v>
      </c>
      <c r="H160" s="258">
        <f>IFERROR(__xludf.DUMMYFUNCTION("""COMPUTED_VALUE"""),2643954.0)</f>
        <v>2643954</v>
      </c>
      <c r="I160" s="329">
        <f>IFERROR(__xludf.DUMMYFUNCTION("""COMPUTED_VALUE"""),519.0)</f>
        <v>519</v>
      </c>
      <c r="J160" s="329">
        <f>IFERROR(__xludf.DUMMYFUNCTION("""COMPUTED_VALUE"""),596.0)</f>
        <v>596</v>
      </c>
      <c r="K160" s="329">
        <f>IFERROR(__xludf.DUMMYFUNCTION("""COMPUTED_VALUE"""),118821.0)</f>
        <v>118821</v>
      </c>
      <c r="L160" s="329">
        <f>IFERROR(__xludf.DUMMYFUNCTION("""COMPUTED_VALUE"""),2288.0)</f>
        <v>2288</v>
      </c>
      <c r="M160" s="329">
        <f>IFERROR(__xludf.DUMMYFUNCTION("""COMPUTED_VALUE"""),629871.0)</f>
        <v>629871</v>
      </c>
      <c r="N160" s="329">
        <f>IFERROR(__xludf.DUMMYFUNCTION("""COMPUTED_VALUE"""),748692.0)</f>
        <v>748692</v>
      </c>
      <c r="O160" s="329">
        <f>IFERROR(__xludf.DUMMYFUNCTION("""COMPUTED_VALUE"""),25.0)</f>
        <v>25</v>
      </c>
      <c r="P160" s="329">
        <f>IFERROR(__xludf.DUMMYFUNCTION("""COMPUTED_VALUE"""),8454.0)</f>
        <v>8454</v>
      </c>
      <c r="Q160" s="329">
        <f>IFERROR(__xludf.DUMMYFUNCTION("""COMPUTED_VALUE"""),41.0)</f>
        <v>41</v>
      </c>
      <c r="R160" s="329">
        <f>IFERROR(__xludf.DUMMYFUNCTION("""COMPUTED_VALUE"""),7220.0)</f>
        <v>7220</v>
      </c>
      <c r="S160" s="329">
        <f>IFERROR(__xludf.DUMMYFUNCTION("""COMPUTED_VALUE"""),3.0)</f>
        <v>3</v>
      </c>
      <c r="T160" s="329">
        <f>IFERROR(__xludf.DUMMYFUNCTION("""COMPUTED_VALUE"""),951.0)</f>
        <v>951</v>
      </c>
      <c r="U160" s="329">
        <f>IFERROR(__xludf.DUMMYFUNCTION("""COMPUTED_VALUE"""),283.0)</f>
        <v>283</v>
      </c>
      <c r="V160" s="329">
        <f>IFERROR(__xludf.DUMMYFUNCTION("""COMPUTED_VALUE"""),301.0)</f>
        <v>301</v>
      </c>
      <c r="W160" s="329">
        <f>IFERROR(__xludf.DUMMYFUNCTION("""COMPUTED_VALUE"""),51.0)</f>
        <v>51</v>
      </c>
      <c r="X160" s="329">
        <f>IFERROR(__xludf.DUMMYFUNCTION("""COMPUTED_VALUE"""),24.0)</f>
        <v>24</v>
      </c>
      <c r="Y160" s="329">
        <f>IFERROR(__xludf.DUMMYFUNCTION("""COMPUTED_VALUE"""),6.0)</f>
        <v>6</v>
      </c>
      <c r="Z160" s="329">
        <f>IFERROR(__xludf.DUMMYFUNCTION("""COMPUTED_VALUE"""),2408.0)</f>
        <v>2408</v>
      </c>
      <c r="AA160" s="258">
        <f>IFERROR(__xludf.DUMMYFUNCTION("""COMPUTED_VALUE"""),2946.0)</f>
        <v>2946</v>
      </c>
      <c r="AB160" s="258">
        <f>IFERROR(__xludf.DUMMYFUNCTION("""COMPUTED_VALUE"""),1551.0)</f>
        <v>1551</v>
      </c>
      <c r="AC160" s="258">
        <f>IFERROR(__xludf.DUMMYFUNCTION("""COMPUTED_VALUE"""),4497.0)</f>
        <v>4497</v>
      </c>
      <c r="AD160" s="258">
        <f>IFERROR(__xludf.DUMMYFUNCTION("""COMPUTED_VALUE"""),127669.0)</f>
        <v>127669</v>
      </c>
      <c r="AE160" s="258">
        <f>IFERROR(__xludf.DUMMYFUNCTION("""COMPUTED_VALUE"""),2946.0)</f>
        <v>2946</v>
      </c>
      <c r="AF160" s="258">
        <f>IFERROR(__xludf.DUMMYFUNCTION("""COMPUTED_VALUE"""),90700.0)</f>
        <v>90700</v>
      </c>
      <c r="AG160" s="258">
        <f>IFERROR(__xludf.DUMMYFUNCTION("""COMPUTED_VALUE"""),1551.0)</f>
        <v>1551</v>
      </c>
      <c r="AH160" s="258">
        <f>IFERROR(__xludf.DUMMYFUNCTION("""COMPUTED_VALUE"""),36969.0)</f>
        <v>36969</v>
      </c>
    </row>
    <row r="161">
      <c r="A161" s="328">
        <f>IFERROR(__xludf.DUMMYFUNCTION("""COMPUTED_VALUE"""),44233.0)</f>
        <v>44233</v>
      </c>
      <c r="B161" s="329">
        <f>IFERROR(__xludf.DUMMYFUNCTION("""COMPUTED_VALUE"""),413.0)</f>
        <v>413</v>
      </c>
      <c r="C161" s="329">
        <f>IFERROR(__xludf.DUMMYFUNCTION("""COMPUTED_VALUE"""),578.0)</f>
        <v>578</v>
      </c>
      <c r="D161" s="329">
        <f>IFERROR(__xludf.DUMMYFUNCTION("""COMPUTED_VALUE"""),142023.0)</f>
        <v>142023</v>
      </c>
      <c r="E161" s="329">
        <f>IFERROR(__xludf.DUMMYFUNCTION("""COMPUTED_VALUE"""),15173.0)</f>
        <v>15173</v>
      </c>
      <c r="F161" s="258">
        <f>IFERROR(__xludf.DUMMYFUNCTION("""COMPUTED_VALUE"""),2517517.0)</f>
        <v>2517517</v>
      </c>
      <c r="G161" s="258">
        <f>IFERROR(__xludf.DUMMYFUNCTION("""COMPUTED_VALUE"""),15586.0)</f>
        <v>15586</v>
      </c>
      <c r="H161" s="258">
        <f>IFERROR(__xludf.DUMMYFUNCTION("""COMPUTED_VALUE"""),2659540.0)</f>
        <v>2659540</v>
      </c>
      <c r="I161" s="329">
        <f>IFERROR(__xludf.DUMMYFUNCTION("""COMPUTED_VALUE"""),366.0)</f>
        <v>366</v>
      </c>
      <c r="J161" s="329">
        <f>IFERROR(__xludf.DUMMYFUNCTION("""COMPUTED_VALUE"""),499.0)</f>
        <v>499</v>
      </c>
      <c r="K161" s="329">
        <f>IFERROR(__xludf.DUMMYFUNCTION("""COMPUTED_VALUE"""),119187.0)</f>
        <v>119187</v>
      </c>
      <c r="L161" s="329">
        <f>IFERROR(__xludf.DUMMYFUNCTION("""COMPUTED_VALUE"""),1717.0)</f>
        <v>1717</v>
      </c>
      <c r="M161" s="329">
        <f>IFERROR(__xludf.DUMMYFUNCTION("""COMPUTED_VALUE"""),631588.0)</f>
        <v>631588</v>
      </c>
      <c r="N161" s="329">
        <f>IFERROR(__xludf.DUMMYFUNCTION("""COMPUTED_VALUE"""),750775.0)</f>
        <v>750775</v>
      </c>
      <c r="O161" s="329">
        <f>IFERROR(__xludf.DUMMYFUNCTION("""COMPUTED_VALUE"""),28.0)</f>
        <v>28</v>
      </c>
      <c r="P161" s="329">
        <f>IFERROR(__xludf.DUMMYFUNCTION("""COMPUTED_VALUE"""),8482.0)</f>
        <v>8482</v>
      </c>
      <c r="Q161" s="329">
        <f>IFERROR(__xludf.DUMMYFUNCTION("""COMPUTED_VALUE"""),28.0)</f>
        <v>28</v>
      </c>
      <c r="R161" s="329">
        <f>IFERROR(__xludf.DUMMYFUNCTION("""COMPUTED_VALUE"""),7248.0)</f>
        <v>7248</v>
      </c>
      <c r="S161" s="329">
        <f>IFERROR(__xludf.DUMMYFUNCTION("""COMPUTED_VALUE"""),3.0)</f>
        <v>3</v>
      </c>
      <c r="T161" s="329">
        <f>IFERROR(__xludf.DUMMYFUNCTION("""COMPUTED_VALUE"""),954.0)</f>
        <v>954</v>
      </c>
      <c r="U161" s="329">
        <f>IFERROR(__xludf.DUMMYFUNCTION("""COMPUTED_VALUE"""),280.0)</f>
        <v>280</v>
      </c>
      <c r="V161" s="329">
        <f>IFERROR(__xludf.DUMMYFUNCTION("""COMPUTED_VALUE"""),288.0)</f>
        <v>288</v>
      </c>
      <c r="W161" s="329">
        <f>IFERROR(__xludf.DUMMYFUNCTION("""COMPUTED_VALUE"""),52.0)</f>
        <v>52</v>
      </c>
      <c r="X161" s="329">
        <f>IFERROR(__xludf.DUMMYFUNCTION("""COMPUTED_VALUE"""),23.0)</f>
        <v>23</v>
      </c>
      <c r="Y161" s="329">
        <f>IFERROR(__xludf.DUMMYFUNCTION("""COMPUTED_VALUE"""),9.0)</f>
        <v>9</v>
      </c>
      <c r="Z161" s="329">
        <f>IFERROR(__xludf.DUMMYFUNCTION("""COMPUTED_VALUE"""),2417.0)</f>
        <v>2417</v>
      </c>
      <c r="AA161" s="258">
        <f>IFERROR(__xludf.DUMMYFUNCTION("""COMPUTED_VALUE"""),3235.0)</f>
        <v>3235</v>
      </c>
      <c r="AB161" s="258">
        <f>IFERROR(__xludf.DUMMYFUNCTION("""COMPUTED_VALUE"""),1653.0)</f>
        <v>1653</v>
      </c>
      <c r="AC161" s="258">
        <f>IFERROR(__xludf.DUMMYFUNCTION("""COMPUTED_VALUE"""),4888.0)</f>
        <v>4888</v>
      </c>
      <c r="AD161" s="258">
        <f>IFERROR(__xludf.DUMMYFUNCTION("""COMPUTED_VALUE"""),132557.0)</f>
        <v>132557</v>
      </c>
      <c r="AE161" s="258">
        <f>IFERROR(__xludf.DUMMYFUNCTION("""COMPUTED_VALUE"""),3235.0)</f>
        <v>3235</v>
      </c>
      <c r="AF161" s="258">
        <f>IFERROR(__xludf.DUMMYFUNCTION("""COMPUTED_VALUE"""),93935.0)</f>
        <v>93935</v>
      </c>
      <c r="AG161" s="258">
        <f>IFERROR(__xludf.DUMMYFUNCTION("""COMPUTED_VALUE"""),1653.0)</f>
        <v>1653</v>
      </c>
      <c r="AH161" s="258">
        <f>IFERROR(__xludf.DUMMYFUNCTION("""COMPUTED_VALUE"""),38622.0)</f>
        <v>38622</v>
      </c>
    </row>
    <row r="162">
      <c r="A162" s="328">
        <f>IFERROR(__xludf.DUMMYFUNCTION("""COMPUTED_VALUE"""),44234.0)</f>
        <v>44234</v>
      </c>
      <c r="B162" s="329">
        <f>IFERROR(__xludf.DUMMYFUNCTION("""COMPUTED_VALUE"""),240.0)</f>
        <v>240</v>
      </c>
      <c r="C162" s="329">
        <f>IFERROR(__xludf.DUMMYFUNCTION("""COMPUTED_VALUE"""),422.0)</f>
        <v>422</v>
      </c>
      <c r="D162" s="329">
        <f>IFERROR(__xludf.DUMMYFUNCTION("""COMPUTED_VALUE"""),142263.0)</f>
        <v>142263</v>
      </c>
      <c r="E162" s="329">
        <f>IFERROR(__xludf.DUMMYFUNCTION("""COMPUTED_VALUE"""),4714.0)</f>
        <v>4714</v>
      </c>
      <c r="F162" s="258">
        <f>IFERROR(__xludf.DUMMYFUNCTION("""COMPUTED_VALUE"""),2522231.0)</f>
        <v>2522231</v>
      </c>
      <c r="G162" s="258">
        <f>IFERROR(__xludf.DUMMYFUNCTION("""COMPUTED_VALUE"""),4954.0)</f>
        <v>4954</v>
      </c>
      <c r="H162" s="258">
        <f>IFERROR(__xludf.DUMMYFUNCTION("""COMPUTED_VALUE"""),2664494.0)</f>
        <v>2664494</v>
      </c>
      <c r="I162" s="329">
        <f>IFERROR(__xludf.DUMMYFUNCTION("""COMPUTED_VALUE"""),189.0)</f>
        <v>189</v>
      </c>
      <c r="J162" s="329">
        <f>IFERROR(__xludf.DUMMYFUNCTION("""COMPUTED_VALUE"""),358.0)</f>
        <v>358</v>
      </c>
      <c r="K162" s="329">
        <f>IFERROR(__xludf.DUMMYFUNCTION("""COMPUTED_VALUE"""),119376.0)</f>
        <v>119376</v>
      </c>
      <c r="L162" s="329">
        <f>IFERROR(__xludf.DUMMYFUNCTION("""COMPUTED_VALUE"""),714.0)</f>
        <v>714</v>
      </c>
      <c r="M162" s="329">
        <f>IFERROR(__xludf.DUMMYFUNCTION("""COMPUTED_VALUE"""),632302.0)</f>
        <v>632302</v>
      </c>
      <c r="N162" s="329">
        <f>IFERROR(__xludf.DUMMYFUNCTION("""COMPUTED_VALUE"""),751678.0)</f>
        <v>751678</v>
      </c>
      <c r="O162" s="329">
        <f>IFERROR(__xludf.DUMMYFUNCTION("""COMPUTED_VALUE"""),25.0)</f>
        <v>25</v>
      </c>
      <c r="P162" s="329">
        <f>IFERROR(__xludf.DUMMYFUNCTION("""COMPUTED_VALUE"""),8507.0)</f>
        <v>8507</v>
      </c>
      <c r="Q162" s="329">
        <f>IFERROR(__xludf.DUMMYFUNCTION("""COMPUTED_VALUE"""),22.0)</f>
        <v>22</v>
      </c>
      <c r="R162" s="329">
        <f>IFERROR(__xludf.DUMMYFUNCTION("""COMPUTED_VALUE"""),7270.0)</f>
        <v>7270</v>
      </c>
      <c r="S162" s="329">
        <f>IFERROR(__xludf.DUMMYFUNCTION("""COMPUTED_VALUE"""),7.0)</f>
        <v>7</v>
      </c>
      <c r="T162" s="329">
        <f>IFERROR(__xludf.DUMMYFUNCTION("""COMPUTED_VALUE"""),961.0)</f>
        <v>961</v>
      </c>
      <c r="U162" s="329">
        <f>IFERROR(__xludf.DUMMYFUNCTION("""COMPUTED_VALUE"""),276.0)</f>
        <v>276</v>
      </c>
      <c r="V162" s="329">
        <f>IFERROR(__xludf.DUMMYFUNCTION("""COMPUTED_VALUE"""),280.0)</f>
        <v>280</v>
      </c>
      <c r="W162" s="329">
        <f>IFERROR(__xludf.DUMMYFUNCTION("""COMPUTED_VALUE"""),49.0)</f>
        <v>49</v>
      </c>
      <c r="X162" s="329">
        <f>IFERROR(__xludf.DUMMYFUNCTION("""COMPUTED_VALUE"""),24.0)</f>
        <v>24</v>
      </c>
      <c r="Y162" s="329">
        <f>IFERROR(__xludf.DUMMYFUNCTION("""COMPUTED_VALUE"""),14.0)</f>
        <v>14</v>
      </c>
      <c r="Z162" s="329">
        <f>IFERROR(__xludf.DUMMYFUNCTION("""COMPUTED_VALUE"""),2431.0)</f>
        <v>2431</v>
      </c>
      <c r="AA162" s="258">
        <f>IFERROR(__xludf.DUMMYFUNCTION("""COMPUTED_VALUE"""),410.0)</f>
        <v>410</v>
      </c>
      <c r="AB162" s="258">
        <f>IFERROR(__xludf.DUMMYFUNCTION("""COMPUTED_VALUE"""),445.0)</f>
        <v>445</v>
      </c>
      <c r="AC162" s="258">
        <f>IFERROR(__xludf.DUMMYFUNCTION("""COMPUTED_VALUE"""),855.0)</f>
        <v>855</v>
      </c>
      <c r="AD162" s="258">
        <f>IFERROR(__xludf.DUMMYFUNCTION("""COMPUTED_VALUE"""),133412.0)</f>
        <v>133412</v>
      </c>
      <c r="AE162" s="258">
        <f>IFERROR(__xludf.DUMMYFUNCTION("""COMPUTED_VALUE"""),410.0)</f>
        <v>410</v>
      </c>
      <c r="AF162" s="258">
        <f>IFERROR(__xludf.DUMMYFUNCTION("""COMPUTED_VALUE"""),94345.0)</f>
        <v>94345</v>
      </c>
      <c r="AG162" s="258">
        <f>IFERROR(__xludf.DUMMYFUNCTION("""COMPUTED_VALUE"""),445.0)</f>
        <v>445</v>
      </c>
      <c r="AH162" s="258">
        <f>IFERROR(__xludf.DUMMYFUNCTION("""COMPUTED_VALUE"""),39067.0)</f>
        <v>39067</v>
      </c>
    </row>
    <row r="163">
      <c r="A163" s="328">
        <f>IFERROR(__xludf.DUMMYFUNCTION("""COMPUTED_VALUE"""),44235.0)</f>
        <v>44235</v>
      </c>
      <c r="B163" s="329">
        <f>IFERROR(__xludf.DUMMYFUNCTION("""COMPUTED_VALUE"""),387.0)</f>
        <v>387</v>
      </c>
      <c r="C163" s="329">
        <f>IFERROR(__xludf.DUMMYFUNCTION("""COMPUTED_VALUE"""),347.0)</f>
        <v>347</v>
      </c>
      <c r="D163" s="329">
        <f>IFERROR(__xludf.DUMMYFUNCTION("""COMPUTED_VALUE"""),142650.0)</f>
        <v>142650</v>
      </c>
      <c r="E163" s="329">
        <f>IFERROR(__xludf.DUMMYFUNCTION("""COMPUTED_VALUE"""),13022.0)</f>
        <v>13022</v>
      </c>
      <c r="F163" s="258">
        <f>IFERROR(__xludf.DUMMYFUNCTION("""COMPUTED_VALUE"""),2535253.0)</f>
        <v>2535253</v>
      </c>
      <c r="G163" s="258">
        <f>IFERROR(__xludf.DUMMYFUNCTION("""COMPUTED_VALUE"""),13409.0)</f>
        <v>13409</v>
      </c>
      <c r="H163" s="258">
        <f>IFERROR(__xludf.DUMMYFUNCTION("""COMPUTED_VALUE"""),2677903.0)</f>
        <v>2677903</v>
      </c>
      <c r="I163" s="329">
        <f>IFERROR(__xludf.DUMMYFUNCTION("""COMPUTED_VALUE"""),338.0)</f>
        <v>338</v>
      </c>
      <c r="J163" s="329">
        <f>IFERROR(__xludf.DUMMYFUNCTION("""COMPUTED_VALUE"""),298.0)</f>
        <v>298</v>
      </c>
      <c r="K163" s="329">
        <f>IFERROR(__xludf.DUMMYFUNCTION("""COMPUTED_VALUE"""),119714.0)</f>
        <v>119714</v>
      </c>
      <c r="L163" s="329">
        <f>IFERROR(__xludf.DUMMYFUNCTION("""COMPUTED_VALUE"""),1606.0)</f>
        <v>1606</v>
      </c>
      <c r="M163" s="329">
        <f>IFERROR(__xludf.DUMMYFUNCTION("""COMPUTED_VALUE"""),633908.0)</f>
        <v>633908</v>
      </c>
      <c r="N163" s="329">
        <f>IFERROR(__xludf.DUMMYFUNCTION("""COMPUTED_VALUE"""),753622.0)</f>
        <v>753622</v>
      </c>
      <c r="O163" s="329">
        <f>IFERROR(__xludf.DUMMYFUNCTION("""COMPUTED_VALUE"""),23.0)</f>
        <v>23</v>
      </c>
      <c r="P163" s="329">
        <f>IFERROR(__xludf.DUMMYFUNCTION("""COMPUTED_VALUE"""),8530.0)</f>
        <v>8530</v>
      </c>
      <c r="Q163" s="329">
        <f>IFERROR(__xludf.DUMMYFUNCTION("""COMPUTED_VALUE"""),30.0)</f>
        <v>30</v>
      </c>
      <c r="R163" s="329">
        <f>IFERROR(__xludf.DUMMYFUNCTION("""COMPUTED_VALUE"""),7300.0)</f>
        <v>7300</v>
      </c>
      <c r="S163" s="329">
        <f>IFERROR(__xludf.DUMMYFUNCTION("""COMPUTED_VALUE"""),1.0)</f>
        <v>1</v>
      </c>
      <c r="T163" s="329">
        <f>IFERROR(__xludf.DUMMYFUNCTION("""COMPUTED_VALUE"""),962.0)</f>
        <v>962</v>
      </c>
      <c r="U163" s="329">
        <f>IFERROR(__xludf.DUMMYFUNCTION("""COMPUTED_VALUE"""),268.0)</f>
        <v>268</v>
      </c>
      <c r="V163" s="329">
        <f>IFERROR(__xludf.DUMMYFUNCTION("""COMPUTED_VALUE"""),275.0)</f>
        <v>275</v>
      </c>
      <c r="W163" s="329">
        <f>IFERROR(__xludf.DUMMYFUNCTION("""COMPUTED_VALUE"""),46.0)</f>
        <v>46</v>
      </c>
      <c r="X163" s="329">
        <f>IFERROR(__xludf.DUMMYFUNCTION("""COMPUTED_VALUE"""),23.0)</f>
        <v>23</v>
      </c>
      <c r="Y163" s="329">
        <f>IFERROR(__xludf.DUMMYFUNCTION("""COMPUTED_VALUE"""),8.0)</f>
        <v>8</v>
      </c>
      <c r="Z163" s="329">
        <f>IFERROR(__xludf.DUMMYFUNCTION("""COMPUTED_VALUE"""),2439.0)</f>
        <v>2439</v>
      </c>
      <c r="AA163" s="258">
        <f>IFERROR(__xludf.DUMMYFUNCTION("""COMPUTED_VALUE"""),1711.0)</f>
        <v>1711</v>
      </c>
      <c r="AB163" s="258">
        <f>IFERROR(__xludf.DUMMYFUNCTION("""COMPUTED_VALUE"""),1383.0)</f>
        <v>1383</v>
      </c>
      <c r="AC163" s="258">
        <f>IFERROR(__xludf.DUMMYFUNCTION("""COMPUTED_VALUE"""),3094.0)</f>
        <v>3094</v>
      </c>
      <c r="AD163" s="258">
        <f>IFERROR(__xludf.DUMMYFUNCTION("""COMPUTED_VALUE"""),136506.0)</f>
        <v>136506</v>
      </c>
      <c r="AE163" s="258">
        <f>IFERROR(__xludf.DUMMYFUNCTION("""COMPUTED_VALUE"""),1711.0)</f>
        <v>1711</v>
      </c>
      <c r="AF163" s="258">
        <f>IFERROR(__xludf.DUMMYFUNCTION("""COMPUTED_VALUE"""),96056.0)</f>
        <v>96056</v>
      </c>
      <c r="AG163" s="258">
        <f>IFERROR(__xludf.DUMMYFUNCTION("""COMPUTED_VALUE"""),1383.0)</f>
        <v>1383</v>
      </c>
      <c r="AH163" s="258">
        <f>IFERROR(__xludf.DUMMYFUNCTION("""COMPUTED_VALUE"""),40450.0)</f>
        <v>40450</v>
      </c>
    </row>
    <row r="164">
      <c r="A164" s="328">
        <f>IFERROR(__xludf.DUMMYFUNCTION("""COMPUTED_VALUE"""),44236.0)</f>
        <v>44236</v>
      </c>
      <c r="B164" s="329">
        <f>IFERROR(__xludf.DUMMYFUNCTION("""COMPUTED_VALUE"""),563.0)</f>
        <v>563</v>
      </c>
      <c r="C164" s="329">
        <f>IFERROR(__xludf.DUMMYFUNCTION("""COMPUTED_VALUE"""),397.0)</f>
        <v>397</v>
      </c>
      <c r="D164" s="329">
        <f>IFERROR(__xludf.DUMMYFUNCTION("""COMPUTED_VALUE"""),143213.0)</f>
        <v>143213</v>
      </c>
      <c r="E164" s="329">
        <f>IFERROR(__xludf.DUMMYFUNCTION("""COMPUTED_VALUE"""),17930.0)</f>
        <v>17930</v>
      </c>
      <c r="F164" s="258">
        <f>IFERROR(__xludf.DUMMYFUNCTION("""COMPUTED_VALUE"""),2553183.0)</f>
        <v>2553183</v>
      </c>
      <c r="G164" s="258">
        <f>IFERROR(__xludf.DUMMYFUNCTION("""COMPUTED_VALUE"""),18493.0)</f>
        <v>18493</v>
      </c>
      <c r="H164" s="258">
        <f>IFERROR(__xludf.DUMMYFUNCTION("""COMPUTED_VALUE"""),2696396.0)</f>
        <v>2696396</v>
      </c>
      <c r="I164" s="329">
        <f>IFERROR(__xludf.DUMMYFUNCTION("""COMPUTED_VALUE"""),493.0)</f>
        <v>493</v>
      </c>
      <c r="J164" s="329">
        <f>IFERROR(__xludf.DUMMYFUNCTION("""COMPUTED_VALUE"""),340.0)</f>
        <v>340</v>
      </c>
      <c r="K164" s="329">
        <f>IFERROR(__xludf.DUMMYFUNCTION("""COMPUTED_VALUE"""),120207.0)</f>
        <v>120207</v>
      </c>
      <c r="L164" s="329">
        <f>IFERROR(__xludf.DUMMYFUNCTION("""COMPUTED_VALUE"""),1770.0)</f>
        <v>1770</v>
      </c>
      <c r="M164" s="329">
        <f>IFERROR(__xludf.DUMMYFUNCTION("""COMPUTED_VALUE"""),635678.0)</f>
        <v>635678</v>
      </c>
      <c r="N164" s="329">
        <f>IFERROR(__xludf.DUMMYFUNCTION("""COMPUTED_VALUE"""),755885.0)</f>
        <v>755885</v>
      </c>
      <c r="O164" s="329">
        <f>IFERROR(__xludf.DUMMYFUNCTION("""COMPUTED_VALUE"""),34.0)</f>
        <v>34</v>
      </c>
      <c r="P164" s="329">
        <f>IFERROR(__xludf.DUMMYFUNCTION("""COMPUTED_VALUE"""),8564.0)</f>
        <v>8564</v>
      </c>
      <c r="Q164" s="329">
        <f>IFERROR(__xludf.DUMMYFUNCTION("""COMPUTED_VALUE"""),35.0)</f>
        <v>35</v>
      </c>
      <c r="R164" s="329">
        <f>IFERROR(__xludf.DUMMYFUNCTION("""COMPUTED_VALUE"""),7335.0)</f>
        <v>7335</v>
      </c>
      <c r="S164" s="329">
        <f>IFERROR(__xludf.DUMMYFUNCTION("""COMPUTED_VALUE"""),4.0)</f>
        <v>4</v>
      </c>
      <c r="T164" s="329">
        <f>IFERROR(__xludf.DUMMYFUNCTION("""COMPUTED_VALUE"""),966.0)</f>
        <v>966</v>
      </c>
      <c r="U164" s="329">
        <f>IFERROR(__xludf.DUMMYFUNCTION("""COMPUTED_VALUE"""),263.0)</f>
        <v>263</v>
      </c>
      <c r="V164" s="329">
        <f>IFERROR(__xludf.DUMMYFUNCTION("""COMPUTED_VALUE"""),269.0)</f>
        <v>269</v>
      </c>
      <c r="W164" s="329">
        <f>IFERROR(__xludf.DUMMYFUNCTION("""COMPUTED_VALUE"""),48.0)</f>
        <v>48</v>
      </c>
      <c r="X164" s="329">
        <f>IFERROR(__xludf.DUMMYFUNCTION("""COMPUTED_VALUE"""),24.0)</f>
        <v>24</v>
      </c>
      <c r="Y164" s="329">
        <f>IFERROR(__xludf.DUMMYFUNCTION("""COMPUTED_VALUE"""),7.0)</f>
        <v>7</v>
      </c>
      <c r="Z164" s="329">
        <f>IFERROR(__xludf.DUMMYFUNCTION("""COMPUTED_VALUE"""),2446.0)</f>
        <v>2446</v>
      </c>
      <c r="AA164" s="258">
        <f>IFERROR(__xludf.DUMMYFUNCTION("""COMPUTED_VALUE"""),2708.0)</f>
        <v>2708</v>
      </c>
      <c r="AB164" s="258">
        <f>IFERROR(__xludf.DUMMYFUNCTION("""COMPUTED_VALUE"""),1396.0)</f>
        <v>1396</v>
      </c>
      <c r="AC164" s="258">
        <f>IFERROR(__xludf.DUMMYFUNCTION("""COMPUTED_VALUE"""),4104.0)</f>
        <v>4104</v>
      </c>
      <c r="AD164" s="258">
        <f>IFERROR(__xludf.DUMMYFUNCTION("""COMPUTED_VALUE"""),140610.0)</f>
        <v>140610</v>
      </c>
      <c r="AE164" s="258">
        <f>IFERROR(__xludf.DUMMYFUNCTION("""COMPUTED_VALUE"""),2708.0)</f>
        <v>2708</v>
      </c>
      <c r="AF164" s="258">
        <f>IFERROR(__xludf.DUMMYFUNCTION("""COMPUTED_VALUE"""),98764.0)</f>
        <v>98764</v>
      </c>
      <c r="AG164" s="258">
        <f>IFERROR(__xludf.DUMMYFUNCTION("""COMPUTED_VALUE"""),1396.0)</f>
        <v>1396</v>
      </c>
      <c r="AH164" s="258">
        <f>IFERROR(__xludf.DUMMYFUNCTION("""COMPUTED_VALUE"""),41846.0)</f>
        <v>41846</v>
      </c>
    </row>
    <row r="165">
      <c r="A165" s="328">
        <f>IFERROR(__xludf.DUMMYFUNCTION("""COMPUTED_VALUE"""),44237.0)</f>
        <v>44237</v>
      </c>
      <c r="B165" s="329">
        <f>IFERROR(__xludf.DUMMYFUNCTION("""COMPUTED_VALUE"""),549.0)</f>
        <v>549</v>
      </c>
      <c r="C165" s="329">
        <f>IFERROR(__xludf.DUMMYFUNCTION("""COMPUTED_VALUE"""),500.0)</f>
        <v>500</v>
      </c>
      <c r="D165" s="329">
        <f>IFERROR(__xludf.DUMMYFUNCTION("""COMPUTED_VALUE"""),143762.0)</f>
        <v>143762</v>
      </c>
      <c r="E165" s="329">
        <f>IFERROR(__xludf.DUMMYFUNCTION("""COMPUTED_VALUE"""),23770.0)</f>
        <v>23770</v>
      </c>
      <c r="F165" s="258">
        <f>IFERROR(__xludf.DUMMYFUNCTION("""COMPUTED_VALUE"""),2576953.0)</f>
        <v>2576953</v>
      </c>
      <c r="G165" s="258">
        <f>IFERROR(__xludf.DUMMYFUNCTION("""COMPUTED_VALUE"""),24319.0)</f>
        <v>24319</v>
      </c>
      <c r="H165" s="258">
        <f>IFERROR(__xludf.DUMMYFUNCTION("""COMPUTED_VALUE"""),2720715.0)</f>
        <v>2720715</v>
      </c>
      <c r="I165" s="329">
        <f>IFERROR(__xludf.DUMMYFUNCTION("""COMPUTED_VALUE"""),472.0)</f>
        <v>472</v>
      </c>
      <c r="J165" s="329">
        <f>IFERROR(__xludf.DUMMYFUNCTION("""COMPUTED_VALUE"""),434.0)</f>
        <v>434</v>
      </c>
      <c r="K165" s="329">
        <f>IFERROR(__xludf.DUMMYFUNCTION("""COMPUTED_VALUE"""),120679.0)</f>
        <v>120679</v>
      </c>
      <c r="L165" s="329">
        <f>IFERROR(__xludf.DUMMYFUNCTION("""COMPUTED_VALUE"""),2141.0)</f>
        <v>2141</v>
      </c>
      <c r="M165" s="329">
        <f>IFERROR(__xludf.DUMMYFUNCTION("""COMPUTED_VALUE"""),637819.0)</f>
        <v>637819</v>
      </c>
      <c r="N165" s="329">
        <f>IFERROR(__xludf.DUMMYFUNCTION("""COMPUTED_VALUE"""),758498.0)</f>
        <v>758498</v>
      </c>
      <c r="O165" s="329">
        <f>IFERROR(__xludf.DUMMYFUNCTION("""COMPUTED_VALUE"""),30.0)</f>
        <v>30</v>
      </c>
      <c r="P165" s="329">
        <f>IFERROR(__xludf.DUMMYFUNCTION("""COMPUTED_VALUE"""),8594.0)</f>
        <v>8594</v>
      </c>
      <c r="Q165" s="329">
        <f>IFERROR(__xludf.DUMMYFUNCTION("""COMPUTED_VALUE"""),44.0)</f>
        <v>44</v>
      </c>
      <c r="R165" s="329">
        <f>IFERROR(__xludf.DUMMYFUNCTION("""COMPUTED_VALUE"""),7379.0)</f>
        <v>7379</v>
      </c>
      <c r="S165" s="329">
        <f>IFERROR(__xludf.DUMMYFUNCTION("""COMPUTED_VALUE"""),6.0)</f>
        <v>6</v>
      </c>
      <c r="T165" s="329">
        <f>IFERROR(__xludf.DUMMYFUNCTION("""COMPUTED_VALUE"""),972.0)</f>
        <v>972</v>
      </c>
      <c r="U165" s="329">
        <f>IFERROR(__xludf.DUMMYFUNCTION("""COMPUTED_VALUE"""),243.0)</f>
        <v>243</v>
      </c>
      <c r="V165" s="329">
        <f>IFERROR(__xludf.DUMMYFUNCTION("""COMPUTED_VALUE"""),258.0)</f>
        <v>258</v>
      </c>
      <c r="W165" s="329">
        <f>IFERROR(__xludf.DUMMYFUNCTION("""COMPUTED_VALUE"""),44.0)</f>
        <v>44</v>
      </c>
      <c r="X165" s="329">
        <f>IFERROR(__xludf.DUMMYFUNCTION("""COMPUTED_VALUE"""),22.0)</f>
        <v>22</v>
      </c>
      <c r="Y165" s="329">
        <f>IFERROR(__xludf.DUMMYFUNCTION("""COMPUTED_VALUE"""),11.0)</f>
        <v>11</v>
      </c>
      <c r="Z165" s="329">
        <f>IFERROR(__xludf.DUMMYFUNCTION("""COMPUTED_VALUE"""),2457.0)</f>
        <v>2457</v>
      </c>
      <c r="AA165" s="258">
        <f>IFERROR(__xludf.DUMMYFUNCTION("""COMPUTED_VALUE"""),2741.0)</f>
        <v>2741</v>
      </c>
      <c r="AB165" s="258">
        <f>IFERROR(__xludf.DUMMYFUNCTION("""COMPUTED_VALUE"""),2245.0)</f>
        <v>2245</v>
      </c>
      <c r="AC165" s="258">
        <f>IFERROR(__xludf.DUMMYFUNCTION("""COMPUTED_VALUE"""),4986.0)</f>
        <v>4986</v>
      </c>
      <c r="AD165" s="258">
        <f>IFERROR(__xludf.DUMMYFUNCTION("""COMPUTED_VALUE"""),145596.0)</f>
        <v>145596</v>
      </c>
      <c r="AE165" s="258">
        <f>IFERROR(__xludf.DUMMYFUNCTION("""COMPUTED_VALUE"""),2741.0)</f>
        <v>2741</v>
      </c>
      <c r="AF165" s="258">
        <f>IFERROR(__xludf.DUMMYFUNCTION("""COMPUTED_VALUE"""),101505.0)</f>
        <v>101505</v>
      </c>
      <c r="AG165" s="258">
        <f>IFERROR(__xludf.DUMMYFUNCTION("""COMPUTED_VALUE"""),2245.0)</f>
        <v>2245</v>
      </c>
      <c r="AH165" s="258">
        <f>IFERROR(__xludf.DUMMYFUNCTION("""COMPUTED_VALUE"""),44091.0)</f>
        <v>44091</v>
      </c>
    </row>
    <row r="166">
      <c r="A166" s="328">
        <f>IFERROR(__xludf.DUMMYFUNCTION("""COMPUTED_VALUE"""),44238.0)</f>
        <v>44238</v>
      </c>
      <c r="B166" s="329">
        <f>IFERROR(__xludf.DUMMYFUNCTION("""COMPUTED_VALUE"""),478.0)</f>
        <v>478</v>
      </c>
      <c r="C166" s="329">
        <f>IFERROR(__xludf.DUMMYFUNCTION("""COMPUTED_VALUE"""),530.0)</f>
        <v>530</v>
      </c>
      <c r="D166" s="329">
        <f>IFERROR(__xludf.DUMMYFUNCTION("""COMPUTED_VALUE"""),144240.0)</f>
        <v>144240</v>
      </c>
      <c r="E166" s="329">
        <f>IFERROR(__xludf.DUMMYFUNCTION("""COMPUTED_VALUE"""),21076.0)</f>
        <v>21076</v>
      </c>
      <c r="F166" s="258">
        <f>IFERROR(__xludf.DUMMYFUNCTION("""COMPUTED_VALUE"""),2598029.0)</f>
        <v>2598029</v>
      </c>
      <c r="G166" s="258">
        <f>IFERROR(__xludf.DUMMYFUNCTION("""COMPUTED_VALUE"""),21554.0)</f>
        <v>21554</v>
      </c>
      <c r="H166" s="258">
        <f>IFERROR(__xludf.DUMMYFUNCTION("""COMPUTED_VALUE"""),2742269.0)</f>
        <v>2742269</v>
      </c>
      <c r="I166" s="329">
        <f>IFERROR(__xludf.DUMMYFUNCTION("""COMPUTED_VALUE"""),409.0)</f>
        <v>409</v>
      </c>
      <c r="J166" s="329">
        <f>IFERROR(__xludf.DUMMYFUNCTION("""COMPUTED_VALUE"""),458.0)</f>
        <v>458</v>
      </c>
      <c r="K166" s="329">
        <f>IFERROR(__xludf.DUMMYFUNCTION("""COMPUTED_VALUE"""),121088.0)</f>
        <v>121088</v>
      </c>
      <c r="L166" s="329">
        <f>IFERROR(__xludf.DUMMYFUNCTION("""COMPUTED_VALUE"""),2008.0)</f>
        <v>2008</v>
      </c>
      <c r="M166" s="329">
        <f>IFERROR(__xludf.DUMMYFUNCTION("""COMPUTED_VALUE"""),639827.0)</f>
        <v>639827</v>
      </c>
      <c r="N166" s="329">
        <f>IFERROR(__xludf.DUMMYFUNCTION("""COMPUTED_VALUE"""),760915.0)</f>
        <v>760915</v>
      </c>
      <c r="O166" s="329">
        <f>IFERROR(__xludf.DUMMYFUNCTION("""COMPUTED_VALUE"""),31.0)</f>
        <v>31</v>
      </c>
      <c r="P166" s="329">
        <f>IFERROR(__xludf.DUMMYFUNCTION("""COMPUTED_VALUE"""),8625.0)</f>
        <v>8625</v>
      </c>
      <c r="Q166" s="329">
        <f>IFERROR(__xludf.DUMMYFUNCTION("""COMPUTED_VALUE"""),34.0)</f>
        <v>34</v>
      </c>
      <c r="R166" s="329">
        <f>IFERROR(__xludf.DUMMYFUNCTION("""COMPUTED_VALUE"""),7413.0)</f>
        <v>7413</v>
      </c>
      <c r="S166" s="329">
        <f>IFERROR(__xludf.DUMMYFUNCTION("""COMPUTED_VALUE"""),4.0)</f>
        <v>4</v>
      </c>
      <c r="T166" s="329">
        <f>IFERROR(__xludf.DUMMYFUNCTION("""COMPUTED_VALUE"""),976.0)</f>
        <v>976</v>
      </c>
      <c r="U166" s="329">
        <f>IFERROR(__xludf.DUMMYFUNCTION("""COMPUTED_VALUE"""),236.0)</f>
        <v>236</v>
      </c>
      <c r="V166" s="329">
        <f>IFERROR(__xludf.DUMMYFUNCTION("""COMPUTED_VALUE"""),247.0)</f>
        <v>247</v>
      </c>
      <c r="W166" s="329">
        <f>IFERROR(__xludf.DUMMYFUNCTION("""COMPUTED_VALUE"""),43.0)</f>
        <v>43</v>
      </c>
      <c r="X166" s="329">
        <f>IFERROR(__xludf.DUMMYFUNCTION("""COMPUTED_VALUE"""),22.0)</f>
        <v>22</v>
      </c>
      <c r="Y166" s="329">
        <f>IFERROR(__xludf.DUMMYFUNCTION("""COMPUTED_VALUE"""),11.0)</f>
        <v>11</v>
      </c>
      <c r="Z166" s="329">
        <f>IFERROR(__xludf.DUMMYFUNCTION("""COMPUTED_VALUE"""),2468.0)</f>
        <v>2468</v>
      </c>
      <c r="AA166" s="258">
        <f>IFERROR(__xludf.DUMMYFUNCTION("""COMPUTED_VALUE"""),3032.0)</f>
        <v>3032</v>
      </c>
      <c r="AB166" s="258">
        <f>IFERROR(__xludf.DUMMYFUNCTION("""COMPUTED_VALUE"""),1952.0)</f>
        <v>1952</v>
      </c>
      <c r="AC166" s="258">
        <f>IFERROR(__xludf.DUMMYFUNCTION("""COMPUTED_VALUE"""),4984.0)</f>
        <v>4984</v>
      </c>
      <c r="AD166" s="258">
        <f>IFERROR(__xludf.DUMMYFUNCTION("""COMPUTED_VALUE"""),150580.0)</f>
        <v>150580</v>
      </c>
      <c r="AE166" s="258">
        <f>IFERROR(__xludf.DUMMYFUNCTION("""COMPUTED_VALUE"""),3032.0)</f>
        <v>3032</v>
      </c>
      <c r="AF166" s="258">
        <f>IFERROR(__xludf.DUMMYFUNCTION("""COMPUTED_VALUE"""),104537.0)</f>
        <v>104537</v>
      </c>
      <c r="AG166" s="258">
        <f>IFERROR(__xludf.DUMMYFUNCTION("""COMPUTED_VALUE"""),1952.0)</f>
        <v>1952</v>
      </c>
      <c r="AH166" s="258">
        <f>IFERROR(__xludf.DUMMYFUNCTION("""COMPUTED_VALUE"""),46043.0)</f>
        <v>46043</v>
      </c>
    </row>
    <row r="167">
      <c r="A167" s="328">
        <f>IFERROR(__xludf.DUMMYFUNCTION("""COMPUTED_VALUE"""),44239.0)</f>
        <v>44239</v>
      </c>
      <c r="B167" s="329">
        <f>IFERROR(__xludf.DUMMYFUNCTION("""COMPUTED_VALUE"""),444.0)</f>
        <v>444</v>
      </c>
      <c r="C167" s="329">
        <f>IFERROR(__xludf.DUMMYFUNCTION("""COMPUTED_VALUE"""),490.0)</f>
        <v>490</v>
      </c>
      <c r="D167" s="329">
        <f>IFERROR(__xludf.DUMMYFUNCTION("""COMPUTED_VALUE"""),144684.0)</f>
        <v>144684</v>
      </c>
      <c r="E167" s="329">
        <f>IFERROR(__xludf.DUMMYFUNCTION("""COMPUTED_VALUE"""),20706.0)</f>
        <v>20706</v>
      </c>
      <c r="F167" s="258">
        <f>IFERROR(__xludf.DUMMYFUNCTION("""COMPUTED_VALUE"""),2618735.0)</f>
        <v>2618735</v>
      </c>
      <c r="G167" s="258">
        <f>IFERROR(__xludf.DUMMYFUNCTION("""COMPUTED_VALUE"""),21150.0)</f>
        <v>21150</v>
      </c>
      <c r="H167" s="258">
        <f>IFERROR(__xludf.DUMMYFUNCTION("""COMPUTED_VALUE"""),2763419.0)</f>
        <v>2763419</v>
      </c>
      <c r="I167" s="329">
        <f>IFERROR(__xludf.DUMMYFUNCTION("""COMPUTED_VALUE"""),383.0)</f>
        <v>383</v>
      </c>
      <c r="J167" s="329">
        <f>IFERROR(__xludf.DUMMYFUNCTION("""COMPUTED_VALUE"""),421.0)</f>
        <v>421</v>
      </c>
      <c r="K167" s="329">
        <f>IFERROR(__xludf.DUMMYFUNCTION("""COMPUTED_VALUE"""),121471.0)</f>
        <v>121471</v>
      </c>
      <c r="L167" s="329">
        <f>IFERROR(__xludf.DUMMYFUNCTION("""COMPUTED_VALUE"""),1937.0)</f>
        <v>1937</v>
      </c>
      <c r="M167" s="329">
        <f>IFERROR(__xludf.DUMMYFUNCTION("""COMPUTED_VALUE"""),641764.0)</f>
        <v>641764</v>
      </c>
      <c r="N167" s="329">
        <f>IFERROR(__xludf.DUMMYFUNCTION("""COMPUTED_VALUE"""),763235.0)</f>
        <v>763235</v>
      </c>
      <c r="O167" s="329">
        <f>IFERROR(__xludf.DUMMYFUNCTION("""COMPUTED_VALUE"""),19.0)</f>
        <v>19</v>
      </c>
      <c r="P167" s="329">
        <f>IFERROR(__xludf.DUMMYFUNCTION("""COMPUTED_VALUE"""),8644.0)</f>
        <v>8644</v>
      </c>
      <c r="Q167" s="329">
        <f>IFERROR(__xludf.DUMMYFUNCTION("""COMPUTED_VALUE"""),27.0)</f>
        <v>27</v>
      </c>
      <c r="R167" s="329">
        <f>IFERROR(__xludf.DUMMYFUNCTION("""COMPUTED_VALUE"""),7440.0)</f>
        <v>7440</v>
      </c>
      <c r="S167" s="329">
        <f>IFERROR(__xludf.DUMMYFUNCTION("""COMPUTED_VALUE"""),2.0)</f>
        <v>2</v>
      </c>
      <c r="T167" s="329">
        <f>IFERROR(__xludf.DUMMYFUNCTION("""COMPUTED_VALUE"""),978.0)</f>
        <v>978</v>
      </c>
      <c r="U167" s="329">
        <f>IFERROR(__xludf.DUMMYFUNCTION("""COMPUTED_VALUE"""),226.0)</f>
        <v>226</v>
      </c>
      <c r="V167" s="329">
        <f>IFERROR(__xludf.DUMMYFUNCTION("""COMPUTED_VALUE"""),235.0)</f>
        <v>235</v>
      </c>
      <c r="W167" s="329">
        <f>IFERROR(__xludf.DUMMYFUNCTION("""COMPUTED_VALUE"""),41.0)</f>
        <v>41</v>
      </c>
      <c r="X167" s="329">
        <f>IFERROR(__xludf.DUMMYFUNCTION("""COMPUTED_VALUE"""),21.0)</f>
        <v>21</v>
      </c>
      <c r="Y167" s="329">
        <f>IFERROR(__xludf.DUMMYFUNCTION("""COMPUTED_VALUE"""),5.0)</f>
        <v>5</v>
      </c>
      <c r="Z167" s="329">
        <f>IFERROR(__xludf.DUMMYFUNCTION("""COMPUTED_VALUE"""),2473.0)</f>
        <v>2473</v>
      </c>
      <c r="AA167" s="258">
        <f>IFERROR(__xludf.DUMMYFUNCTION("""COMPUTED_VALUE"""),3373.0)</f>
        <v>3373</v>
      </c>
      <c r="AB167" s="258">
        <f>IFERROR(__xludf.DUMMYFUNCTION("""COMPUTED_VALUE"""),2393.0)</f>
        <v>2393</v>
      </c>
      <c r="AC167" s="258">
        <f>IFERROR(__xludf.DUMMYFUNCTION("""COMPUTED_VALUE"""),5766.0)</f>
        <v>5766</v>
      </c>
      <c r="AD167" s="258">
        <f>IFERROR(__xludf.DUMMYFUNCTION("""COMPUTED_VALUE"""),156346.0)</f>
        <v>156346</v>
      </c>
      <c r="AE167" s="258">
        <f>IFERROR(__xludf.DUMMYFUNCTION("""COMPUTED_VALUE"""),3373.0)</f>
        <v>3373</v>
      </c>
      <c r="AF167" s="258">
        <f>IFERROR(__xludf.DUMMYFUNCTION("""COMPUTED_VALUE"""),107910.0)</f>
        <v>107910</v>
      </c>
      <c r="AG167" s="258">
        <f>IFERROR(__xludf.DUMMYFUNCTION("""COMPUTED_VALUE"""),2393.0)</f>
        <v>2393</v>
      </c>
      <c r="AH167" s="258">
        <f>IFERROR(__xludf.DUMMYFUNCTION("""COMPUTED_VALUE"""),48436.0)</f>
        <v>48436</v>
      </c>
    </row>
    <row r="168">
      <c r="A168" s="328">
        <f>IFERROR(__xludf.DUMMYFUNCTION("""COMPUTED_VALUE"""),44240.0)</f>
        <v>44240</v>
      </c>
      <c r="B168" s="329">
        <f>IFERROR(__xludf.DUMMYFUNCTION("""COMPUTED_VALUE"""),387.0)</f>
        <v>387</v>
      </c>
      <c r="C168" s="329">
        <f>IFERROR(__xludf.DUMMYFUNCTION("""COMPUTED_VALUE"""),436.0)</f>
        <v>436</v>
      </c>
      <c r="D168" s="329">
        <f>IFERROR(__xludf.DUMMYFUNCTION("""COMPUTED_VALUE"""),145071.0)</f>
        <v>145071</v>
      </c>
      <c r="E168" s="329">
        <f>IFERROR(__xludf.DUMMYFUNCTION("""COMPUTED_VALUE"""),14067.0)</f>
        <v>14067</v>
      </c>
      <c r="F168" s="258">
        <f>IFERROR(__xludf.DUMMYFUNCTION("""COMPUTED_VALUE"""),2632802.0)</f>
        <v>2632802</v>
      </c>
      <c r="G168" s="258">
        <f>IFERROR(__xludf.DUMMYFUNCTION("""COMPUTED_VALUE"""),14454.0)</f>
        <v>14454</v>
      </c>
      <c r="H168" s="258">
        <f>IFERROR(__xludf.DUMMYFUNCTION("""COMPUTED_VALUE"""),2777873.0)</f>
        <v>2777873</v>
      </c>
      <c r="I168" s="329">
        <f>IFERROR(__xludf.DUMMYFUNCTION("""COMPUTED_VALUE"""),329.0)</f>
        <v>329</v>
      </c>
      <c r="J168" s="329">
        <f>IFERROR(__xludf.DUMMYFUNCTION("""COMPUTED_VALUE"""),374.0)</f>
        <v>374</v>
      </c>
      <c r="K168" s="329">
        <f>IFERROR(__xludf.DUMMYFUNCTION("""COMPUTED_VALUE"""),121800.0)</f>
        <v>121800</v>
      </c>
      <c r="L168" s="329">
        <f>IFERROR(__xludf.DUMMYFUNCTION("""COMPUTED_VALUE"""),1579.0)</f>
        <v>1579</v>
      </c>
      <c r="M168" s="329">
        <f>IFERROR(__xludf.DUMMYFUNCTION("""COMPUTED_VALUE"""),643343.0)</f>
        <v>643343</v>
      </c>
      <c r="N168" s="329">
        <f>IFERROR(__xludf.DUMMYFUNCTION("""COMPUTED_VALUE"""),765143.0)</f>
        <v>765143</v>
      </c>
      <c r="O168" s="329">
        <f>IFERROR(__xludf.DUMMYFUNCTION("""COMPUTED_VALUE"""),22.0)</f>
        <v>22</v>
      </c>
      <c r="P168" s="329">
        <f>IFERROR(__xludf.DUMMYFUNCTION("""COMPUTED_VALUE"""),8666.0)</f>
        <v>8666</v>
      </c>
      <c r="Q168" s="329">
        <f>IFERROR(__xludf.DUMMYFUNCTION("""COMPUTED_VALUE"""),34.0)</f>
        <v>34</v>
      </c>
      <c r="R168" s="329">
        <f>IFERROR(__xludf.DUMMYFUNCTION("""COMPUTED_VALUE"""),7474.0)</f>
        <v>7474</v>
      </c>
      <c r="S168" s="329">
        <f>IFERROR(__xludf.DUMMYFUNCTION("""COMPUTED_VALUE"""),4.0)</f>
        <v>4</v>
      </c>
      <c r="T168" s="329">
        <f>IFERROR(__xludf.DUMMYFUNCTION("""COMPUTED_VALUE"""),982.0)</f>
        <v>982</v>
      </c>
      <c r="U168" s="329">
        <f>IFERROR(__xludf.DUMMYFUNCTION("""COMPUTED_VALUE"""),210.0)</f>
        <v>210</v>
      </c>
      <c r="V168" s="329">
        <f>IFERROR(__xludf.DUMMYFUNCTION("""COMPUTED_VALUE"""),224.0)</f>
        <v>224</v>
      </c>
      <c r="W168" s="329">
        <f>IFERROR(__xludf.DUMMYFUNCTION("""COMPUTED_VALUE"""),38.0)</f>
        <v>38</v>
      </c>
      <c r="X168" s="329">
        <f>IFERROR(__xludf.DUMMYFUNCTION("""COMPUTED_VALUE"""),19.0)</f>
        <v>19</v>
      </c>
      <c r="Y168" s="329">
        <f>IFERROR(__xludf.DUMMYFUNCTION("""COMPUTED_VALUE"""),10.0)</f>
        <v>10</v>
      </c>
      <c r="Z168" s="329">
        <f>IFERROR(__xludf.DUMMYFUNCTION("""COMPUTED_VALUE"""),2483.0)</f>
        <v>2483</v>
      </c>
      <c r="AA168" s="258">
        <f>IFERROR(__xludf.DUMMYFUNCTION("""COMPUTED_VALUE"""),3322.0)</f>
        <v>3322</v>
      </c>
      <c r="AB168" s="258">
        <f>IFERROR(__xludf.DUMMYFUNCTION("""COMPUTED_VALUE"""),2873.0)</f>
        <v>2873</v>
      </c>
      <c r="AC168" s="258">
        <f>IFERROR(__xludf.DUMMYFUNCTION("""COMPUTED_VALUE"""),6195.0)</f>
        <v>6195</v>
      </c>
      <c r="AD168" s="258">
        <f>IFERROR(__xludf.DUMMYFUNCTION("""COMPUTED_VALUE"""),162541.0)</f>
        <v>162541</v>
      </c>
      <c r="AE168" s="258">
        <f>IFERROR(__xludf.DUMMYFUNCTION("""COMPUTED_VALUE"""),3322.0)</f>
        <v>3322</v>
      </c>
      <c r="AF168" s="258">
        <f>IFERROR(__xludf.DUMMYFUNCTION("""COMPUTED_VALUE"""),111232.0)</f>
        <v>111232</v>
      </c>
      <c r="AG168" s="258">
        <f>IFERROR(__xludf.DUMMYFUNCTION("""COMPUTED_VALUE"""),2874.0)</f>
        <v>2874</v>
      </c>
      <c r="AH168" s="258">
        <f>IFERROR(__xludf.DUMMYFUNCTION("""COMPUTED_VALUE"""),51310.0)</f>
        <v>51310</v>
      </c>
    </row>
    <row r="169">
      <c r="A169" s="328">
        <f>IFERROR(__xludf.DUMMYFUNCTION("""COMPUTED_VALUE"""),44241.0)</f>
        <v>44241</v>
      </c>
      <c r="B169" s="329">
        <f>IFERROR(__xludf.DUMMYFUNCTION("""COMPUTED_VALUE"""),266.0)</f>
        <v>266</v>
      </c>
      <c r="C169" s="329">
        <f>IFERROR(__xludf.DUMMYFUNCTION("""COMPUTED_VALUE"""),366.0)</f>
        <v>366</v>
      </c>
      <c r="D169" s="329">
        <f>IFERROR(__xludf.DUMMYFUNCTION("""COMPUTED_VALUE"""),145337.0)</f>
        <v>145337</v>
      </c>
      <c r="E169" s="329">
        <f>IFERROR(__xludf.DUMMYFUNCTION("""COMPUTED_VALUE"""),6593.0)</f>
        <v>6593</v>
      </c>
      <c r="F169" s="258">
        <f>IFERROR(__xludf.DUMMYFUNCTION("""COMPUTED_VALUE"""),2639395.0)</f>
        <v>2639395</v>
      </c>
      <c r="G169" s="258">
        <f>IFERROR(__xludf.DUMMYFUNCTION("""COMPUTED_VALUE"""),6859.0)</f>
        <v>6859</v>
      </c>
      <c r="H169" s="258">
        <f>IFERROR(__xludf.DUMMYFUNCTION("""COMPUTED_VALUE"""),2784732.0)</f>
        <v>2784732</v>
      </c>
      <c r="I169" s="329">
        <f>IFERROR(__xludf.DUMMYFUNCTION("""COMPUTED_VALUE"""),232.0)</f>
        <v>232</v>
      </c>
      <c r="J169" s="329">
        <f>IFERROR(__xludf.DUMMYFUNCTION("""COMPUTED_VALUE"""),315.0)</f>
        <v>315</v>
      </c>
      <c r="K169" s="329">
        <f>IFERROR(__xludf.DUMMYFUNCTION("""COMPUTED_VALUE"""),122032.0)</f>
        <v>122032</v>
      </c>
      <c r="L169" s="329">
        <f>IFERROR(__xludf.DUMMYFUNCTION("""COMPUTED_VALUE"""),896.0)</f>
        <v>896</v>
      </c>
      <c r="M169" s="329">
        <f>IFERROR(__xludf.DUMMYFUNCTION("""COMPUTED_VALUE"""),644239.0)</f>
        <v>644239</v>
      </c>
      <c r="N169" s="329">
        <f>IFERROR(__xludf.DUMMYFUNCTION("""COMPUTED_VALUE"""),766271.0)</f>
        <v>766271</v>
      </c>
      <c r="O169" s="329">
        <f>IFERROR(__xludf.DUMMYFUNCTION("""COMPUTED_VALUE"""),26.0)</f>
        <v>26</v>
      </c>
      <c r="P169" s="329">
        <f>IFERROR(__xludf.DUMMYFUNCTION("""COMPUTED_VALUE"""),8692.0)</f>
        <v>8692</v>
      </c>
      <c r="Q169" s="329">
        <f>IFERROR(__xludf.DUMMYFUNCTION("""COMPUTED_VALUE"""),15.0)</f>
        <v>15</v>
      </c>
      <c r="R169" s="329">
        <f>IFERROR(__xludf.DUMMYFUNCTION("""COMPUTED_VALUE"""),7489.0)</f>
        <v>7489</v>
      </c>
      <c r="S169" s="329">
        <f>IFERROR(__xludf.DUMMYFUNCTION("""COMPUTED_VALUE"""),0.0)</f>
        <v>0</v>
      </c>
      <c r="T169" s="329">
        <f>IFERROR(__xludf.DUMMYFUNCTION("""COMPUTED_VALUE"""),982.0)</f>
        <v>982</v>
      </c>
      <c r="U169" s="329">
        <f>IFERROR(__xludf.DUMMYFUNCTION("""COMPUTED_VALUE"""),221.0)</f>
        <v>221</v>
      </c>
      <c r="V169" s="329">
        <f>IFERROR(__xludf.DUMMYFUNCTION("""COMPUTED_VALUE"""),219.0)</f>
        <v>219</v>
      </c>
      <c r="W169" s="329">
        <f>IFERROR(__xludf.DUMMYFUNCTION("""COMPUTED_VALUE"""),38.0)</f>
        <v>38</v>
      </c>
      <c r="X169" s="329">
        <f>IFERROR(__xludf.DUMMYFUNCTION("""COMPUTED_VALUE"""),23.0)</f>
        <v>23</v>
      </c>
      <c r="Y169" s="329">
        <f>IFERROR(__xludf.DUMMYFUNCTION("""COMPUTED_VALUE"""),4.0)</f>
        <v>4</v>
      </c>
      <c r="Z169" s="329">
        <f>IFERROR(__xludf.DUMMYFUNCTION("""COMPUTED_VALUE"""),2487.0)</f>
        <v>2487</v>
      </c>
      <c r="AA169" s="258">
        <f>IFERROR(__xludf.DUMMYFUNCTION("""COMPUTED_VALUE"""),1325.0)</f>
        <v>1325</v>
      </c>
      <c r="AB169" s="258">
        <f>IFERROR(__xludf.DUMMYFUNCTION("""COMPUTED_VALUE"""),784.0)</f>
        <v>784</v>
      </c>
      <c r="AC169" s="258">
        <f>IFERROR(__xludf.DUMMYFUNCTION("""COMPUTED_VALUE"""),2109.0)</f>
        <v>2109</v>
      </c>
      <c r="AD169" s="258">
        <f>IFERROR(__xludf.DUMMYFUNCTION("""COMPUTED_VALUE"""),164650.0)</f>
        <v>164650</v>
      </c>
      <c r="AE169" s="258">
        <f>IFERROR(__xludf.DUMMYFUNCTION("""COMPUTED_VALUE"""),1325.0)</f>
        <v>1325</v>
      </c>
      <c r="AF169" s="258">
        <f>IFERROR(__xludf.DUMMYFUNCTION("""COMPUTED_VALUE"""),112557.0)</f>
        <v>112557</v>
      </c>
      <c r="AG169" s="258">
        <f>IFERROR(__xludf.DUMMYFUNCTION("""COMPUTED_VALUE"""),784.0)</f>
        <v>784</v>
      </c>
      <c r="AH169" s="258">
        <f>IFERROR(__xludf.DUMMYFUNCTION("""COMPUTED_VALUE"""),52094.0)</f>
        <v>52094</v>
      </c>
    </row>
    <row r="170">
      <c r="A170" s="328">
        <f>IFERROR(__xludf.DUMMYFUNCTION("""COMPUTED_VALUE"""),44242.0)</f>
        <v>44242</v>
      </c>
      <c r="B170" s="329">
        <f>IFERROR(__xludf.DUMMYFUNCTION("""COMPUTED_VALUE"""),330.0)</f>
        <v>330</v>
      </c>
      <c r="C170" s="329">
        <f>IFERROR(__xludf.DUMMYFUNCTION("""COMPUTED_VALUE"""),328.0)</f>
        <v>328</v>
      </c>
      <c r="D170" s="329">
        <f>IFERROR(__xludf.DUMMYFUNCTION("""COMPUTED_VALUE"""),145667.0)</f>
        <v>145667</v>
      </c>
      <c r="E170" s="329">
        <f>IFERROR(__xludf.DUMMYFUNCTION("""COMPUTED_VALUE"""),11090.0)</f>
        <v>11090</v>
      </c>
      <c r="F170" s="258">
        <f>IFERROR(__xludf.DUMMYFUNCTION("""COMPUTED_VALUE"""),2650485.0)</f>
        <v>2650485</v>
      </c>
      <c r="G170" s="258">
        <f>IFERROR(__xludf.DUMMYFUNCTION("""COMPUTED_VALUE"""),11420.0)</f>
        <v>11420</v>
      </c>
      <c r="H170" s="258">
        <f>IFERROR(__xludf.DUMMYFUNCTION("""COMPUTED_VALUE"""),2796152.0)</f>
        <v>2796152</v>
      </c>
      <c r="I170" s="329">
        <f>IFERROR(__xludf.DUMMYFUNCTION("""COMPUTED_VALUE"""),301.0)</f>
        <v>301</v>
      </c>
      <c r="J170" s="329">
        <f>IFERROR(__xludf.DUMMYFUNCTION("""COMPUTED_VALUE"""),287.0)</f>
        <v>287</v>
      </c>
      <c r="K170" s="329">
        <f>IFERROR(__xludf.DUMMYFUNCTION("""COMPUTED_VALUE"""),122333.0)</f>
        <v>122333</v>
      </c>
      <c r="L170" s="329">
        <f>IFERROR(__xludf.DUMMYFUNCTION("""COMPUTED_VALUE"""),1184.0)</f>
        <v>1184</v>
      </c>
      <c r="M170" s="329">
        <f>IFERROR(__xludf.DUMMYFUNCTION("""COMPUTED_VALUE"""),645423.0)</f>
        <v>645423</v>
      </c>
      <c r="N170" s="329">
        <f>IFERROR(__xludf.DUMMYFUNCTION("""COMPUTED_VALUE"""),767756.0)</f>
        <v>767756</v>
      </c>
      <c r="O170" s="329">
        <f>IFERROR(__xludf.DUMMYFUNCTION("""COMPUTED_VALUE"""),28.0)</f>
        <v>28</v>
      </c>
      <c r="P170" s="329">
        <f>IFERROR(__xludf.DUMMYFUNCTION("""COMPUTED_VALUE"""),8720.0)</f>
        <v>8720</v>
      </c>
      <c r="Q170" s="329">
        <f>IFERROR(__xludf.DUMMYFUNCTION("""COMPUTED_VALUE"""),28.0)</f>
        <v>28</v>
      </c>
      <c r="R170" s="329">
        <f>IFERROR(__xludf.DUMMYFUNCTION("""COMPUTED_VALUE"""),7517.0)</f>
        <v>7517</v>
      </c>
      <c r="S170" s="329">
        <f>IFERROR(__xludf.DUMMYFUNCTION("""COMPUTED_VALUE"""),3.0)</f>
        <v>3</v>
      </c>
      <c r="T170" s="329">
        <f>IFERROR(__xludf.DUMMYFUNCTION("""COMPUTED_VALUE"""),985.0)</f>
        <v>985</v>
      </c>
      <c r="U170" s="329">
        <f>IFERROR(__xludf.DUMMYFUNCTION("""COMPUTED_VALUE"""),218.0)</f>
        <v>218</v>
      </c>
      <c r="V170" s="329">
        <f>IFERROR(__xludf.DUMMYFUNCTION("""COMPUTED_VALUE"""),216.0)</f>
        <v>216</v>
      </c>
      <c r="W170" s="329">
        <f>IFERROR(__xludf.DUMMYFUNCTION("""COMPUTED_VALUE"""),33.0)</f>
        <v>33</v>
      </c>
      <c r="X170" s="329">
        <f>IFERROR(__xludf.DUMMYFUNCTION("""COMPUTED_VALUE"""),22.0)</f>
        <v>22</v>
      </c>
      <c r="Y170" s="329">
        <f>IFERROR(__xludf.DUMMYFUNCTION("""COMPUTED_VALUE"""),3.0)</f>
        <v>3</v>
      </c>
      <c r="Z170" s="329">
        <f>IFERROR(__xludf.DUMMYFUNCTION("""COMPUTED_VALUE"""),2490.0)</f>
        <v>2490</v>
      </c>
      <c r="AA170" s="258">
        <f>IFERROR(__xludf.DUMMYFUNCTION("""COMPUTED_VALUE"""),3806.0)</f>
        <v>3806</v>
      </c>
      <c r="AB170" s="258">
        <f>IFERROR(__xludf.DUMMYFUNCTION("""COMPUTED_VALUE"""),1068.0)</f>
        <v>1068</v>
      </c>
      <c r="AC170" s="258">
        <f>IFERROR(__xludf.DUMMYFUNCTION("""COMPUTED_VALUE"""),4874.0)</f>
        <v>4874</v>
      </c>
      <c r="AD170" s="258">
        <f>IFERROR(__xludf.DUMMYFUNCTION("""COMPUTED_VALUE"""),169524.0)</f>
        <v>169524</v>
      </c>
      <c r="AE170" s="258">
        <f>IFERROR(__xludf.DUMMYFUNCTION("""COMPUTED_VALUE"""),3806.0)</f>
        <v>3806</v>
      </c>
      <c r="AF170" s="258">
        <f>IFERROR(__xludf.DUMMYFUNCTION("""COMPUTED_VALUE"""),116363.0)</f>
        <v>116363</v>
      </c>
      <c r="AG170" s="258">
        <f>IFERROR(__xludf.DUMMYFUNCTION("""COMPUTED_VALUE"""),1068.0)</f>
        <v>1068</v>
      </c>
      <c r="AH170" s="258">
        <f>IFERROR(__xludf.DUMMYFUNCTION("""COMPUTED_VALUE"""),53162.0)</f>
        <v>53162</v>
      </c>
    </row>
    <row r="171">
      <c r="A171" s="328">
        <f>IFERROR(__xludf.DUMMYFUNCTION("""COMPUTED_VALUE"""),44243.0)</f>
        <v>44243</v>
      </c>
      <c r="B171" s="329">
        <f>IFERROR(__xludf.DUMMYFUNCTION("""COMPUTED_VALUE"""),472.0)</f>
        <v>472</v>
      </c>
      <c r="C171" s="329">
        <f>IFERROR(__xludf.DUMMYFUNCTION("""COMPUTED_VALUE"""),356.0)</f>
        <v>356</v>
      </c>
      <c r="D171" s="329">
        <f>IFERROR(__xludf.DUMMYFUNCTION("""COMPUTED_VALUE"""),146139.0)</f>
        <v>146139</v>
      </c>
      <c r="E171" s="329">
        <f>IFERROR(__xludf.DUMMYFUNCTION("""COMPUTED_VALUE"""),20049.0)</f>
        <v>20049</v>
      </c>
      <c r="F171" s="258">
        <f>IFERROR(__xludf.DUMMYFUNCTION("""COMPUTED_VALUE"""),2670534.0)</f>
        <v>2670534</v>
      </c>
      <c r="G171" s="258">
        <f>IFERROR(__xludf.DUMMYFUNCTION("""COMPUTED_VALUE"""),20521.0)</f>
        <v>20521</v>
      </c>
      <c r="H171" s="258">
        <f>IFERROR(__xludf.DUMMYFUNCTION("""COMPUTED_VALUE"""),2816673.0)</f>
        <v>2816673</v>
      </c>
      <c r="I171" s="329">
        <f>IFERROR(__xludf.DUMMYFUNCTION("""COMPUTED_VALUE"""),410.0)</f>
        <v>410</v>
      </c>
      <c r="J171" s="329">
        <f>IFERROR(__xludf.DUMMYFUNCTION("""COMPUTED_VALUE"""),314.0)</f>
        <v>314</v>
      </c>
      <c r="K171" s="329">
        <f>IFERROR(__xludf.DUMMYFUNCTION("""COMPUTED_VALUE"""),122743.0)</f>
        <v>122743</v>
      </c>
      <c r="L171" s="329">
        <f>IFERROR(__xludf.DUMMYFUNCTION("""COMPUTED_VALUE"""),1794.0)</f>
        <v>1794</v>
      </c>
      <c r="M171" s="329">
        <f>IFERROR(__xludf.DUMMYFUNCTION("""COMPUTED_VALUE"""),647217.0)</f>
        <v>647217</v>
      </c>
      <c r="N171" s="329">
        <f>IFERROR(__xludf.DUMMYFUNCTION("""COMPUTED_VALUE"""),769960.0)</f>
        <v>769960</v>
      </c>
      <c r="O171" s="329">
        <f>IFERROR(__xludf.DUMMYFUNCTION("""COMPUTED_VALUE"""),22.0)</f>
        <v>22</v>
      </c>
      <c r="P171" s="329">
        <f>IFERROR(__xludf.DUMMYFUNCTION("""COMPUTED_VALUE"""),8742.0)</f>
        <v>8742</v>
      </c>
      <c r="Q171" s="329">
        <f>IFERROR(__xludf.DUMMYFUNCTION("""COMPUTED_VALUE"""),41.0)</f>
        <v>41</v>
      </c>
      <c r="R171" s="329">
        <f>IFERROR(__xludf.DUMMYFUNCTION("""COMPUTED_VALUE"""),7558.0)</f>
        <v>7558</v>
      </c>
      <c r="S171" s="329">
        <f>IFERROR(__xludf.DUMMYFUNCTION("""COMPUTED_VALUE"""),3.0)</f>
        <v>3</v>
      </c>
      <c r="T171" s="329">
        <f>IFERROR(__xludf.DUMMYFUNCTION("""COMPUTED_VALUE"""),988.0)</f>
        <v>988</v>
      </c>
      <c r="U171" s="329">
        <f>IFERROR(__xludf.DUMMYFUNCTION("""COMPUTED_VALUE"""),196.0)</f>
        <v>196</v>
      </c>
      <c r="V171" s="329">
        <f>IFERROR(__xludf.DUMMYFUNCTION("""COMPUTED_VALUE"""),212.0)</f>
        <v>212</v>
      </c>
      <c r="W171" s="329">
        <f>IFERROR(__xludf.DUMMYFUNCTION("""COMPUTED_VALUE"""),34.0)</f>
        <v>34</v>
      </c>
      <c r="X171" s="329">
        <f>IFERROR(__xludf.DUMMYFUNCTION("""COMPUTED_VALUE"""),20.0)</f>
        <v>20</v>
      </c>
      <c r="Y171" s="329">
        <f>IFERROR(__xludf.DUMMYFUNCTION("""COMPUTED_VALUE"""),9.0)</f>
        <v>9</v>
      </c>
      <c r="Z171" s="329">
        <f>IFERROR(__xludf.DUMMYFUNCTION("""COMPUTED_VALUE"""),2499.0)</f>
        <v>2499</v>
      </c>
      <c r="AA171" s="258">
        <f>IFERROR(__xludf.DUMMYFUNCTION("""COMPUTED_VALUE"""),3635.0)</f>
        <v>3635</v>
      </c>
      <c r="AB171" s="258">
        <f>IFERROR(__xludf.DUMMYFUNCTION("""COMPUTED_VALUE"""),1302.0)</f>
        <v>1302</v>
      </c>
      <c r="AC171" s="258">
        <f>IFERROR(__xludf.DUMMYFUNCTION("""COMPUTED_VALUE"""),4937.0)</f>
        <v>4937</v>
      </c>
      <c r="AD171" s="258">
        <f>IFERROR(__xludf.DUMMYFUNCTION("""COMPUTED_VALUE"""),174461.0)</f>
        <v>174461</v>
      </c>
      <c r="AE171" s="258">
        <f>IFERROR(__xludf.DUMMYFUNCTION("""COMPUTED_VALUE"""),3635.0)</f>
        <v>3635</v>
      </c>
      <c r="AF171" s="258">
        <f>IFERROR(__xludf.DUMMYFUNCTION("""COMPUTED_VALUE"""),119998.0)</f>
        <v>119998</v>
      </c>
      <c r="AG171" s="258">
        <f>IFERROR(__xludf.DUMMYFUNCTION("""COMPUTED_VALUE"""),1302.0)</f>
        <v>1302</v>
      </c>
      <c r="AH171" s="258">
        <f>IFERROR(__xludf.DUMMYFUNCTION("""COMPUTED_VALUE"""),54464.0)</f>
        <v>54464</v>
      </c>
    </row>
    <row r="172">
      <c r="A172" s="328">
        <f>IFERROR(__xludf.DUMMYFUNCTION("""COMPUTED_VALUE"""),44244.0)</f>
        <v>44244</v>
      </c>
      <c r="B172" s="329">
        <f>IFERROR(__xludf.DUMMYFUNCTION("""COMPUTED_VALUE"""),412.0)</f>
        <v>412</v>
      </c>
      <c r="C172" s="329">
        <f>IFERROR(__xludf.DUMMYFUNCTION("""COMPUTED_VALUE"""),405.0)</f>
        <v>405</v>
      </c>
      <c r="D172" s="329">
        <f>IFERROR(__xludf.DUMMYFUNCTION("""COMPUTED_VALUE"""),146551.0)</f>
        <v>146551</v>
      </c>
      <c r="E172" s="329">
        <f>IFERROR(__xludf.DUMMYFUNCTION("""COMPUTED_VALUE"""),22259.0)</f>
        <v>22259</v>
      </c>
      <c r="F172" s="258">
        <f>IFERROR(__xludf.DUMMYFUNCTION("""COMPUTED_VALUE"""),2692793.0)</f>
        <v>2692793</v>
      </c>
      <c r="G172" s="258">
        <f>IFERROR(__xludf.DUMMYFUNCTION("""COMPUTED_VALUE"""),22671.0)</f>
        <v>22671</v>
      </c>
      <c r="H172" s="258">
        <f>IFERROR(__xludf.DUMMYFUNCTION("""COMPUTED_VALUE"""),2839344.0)</f>
        <v>2839344</v>
      </c>
      <c r="I172" s="329">
        <f>IFERROR(__xludf.DUMMYFUNCTION("""COMPUTED_VALUE"""),358.0)</f>
        <v>358</v>
      </c>
      <c r="J172" s="329">
        <f>IFERROR(__xludf.DUMMYFUNCTION("""COMPUTED_VALUE"""),356.0)</f>
        <v>356</v>
      </c>
      <c r="K172" s="329">
        <f>IFERROR(__xludf.DUMMYFUNCTION("""COMPUTED_VALUE"""),123101.0)</f>
        <v>123101</v>
      </c>
      <c r="L172" s="329">
        <f>IFERROR(__xludf.DUMMYFUNCTION("""COMPUTED_VALUE"""),1743.0)</f>
        <v>1743</v>
      </c>
      <c r="M172" s="329">
        <f>IFERROR(__xludf.DUMMYFUNCTION("""COMPUTED_VALUE"""),648960.0)</f>
        <v>648960</v>
      </c>
      <c r="N172" s="329">
        <f>IFERROR(__xludf.DUMMYFUNCTION("""COMPUTED_VALUE"""),772061.0)</f>
        <v>772061</v>
      </c>
      <c r="O172" s="329">
        <f>IFERROR(__xludf.DUMMYFUNCTION("""COMPUTED_VALUE"""),25.0)</f>
        <v>25</v>
      </c>
      <c r="P172" s="329">
        <f>IFERROR(__xludf.DUMMYFUNCTION("""COMPUTED_VALUE"""),8767.0)</f>
        <v>8767</v>
      </c>
      <c r="Q172" s="329">
        <f>IFERROR(__xludf.DUMMYFUNCTION("""COMPUTED_VALUE"""),27.0)</f>
        <v>27</v>
      </c>
      <c r="R172" s="329">
        <f>IFERROR(__xludf.DUMMYFUNCTION("""COMPUTED_VALUE"""),7585.0)</f>
        <v>7585</v>
      </c>
      <c r="S172" s="329">
        <f>IFERROR(__xludf.DUMMYFUNCTION("""COMPUTED_VALUE"""),0.0)</f>
        <v>0</v>
      </c>
      <c r="T172" s="329">
        <f>IFERROR(__xludf.DUMMYFUNCTION("""COMPUTED_VALUE"""),988.0)</f>
        <v>988</v>
      </c>
      <c r="U172" s="329">
        <f>IFERROR(__xludf.DUMMYFUNCTION("""COMPUTED_VALUE"""),194.0)</f>
        <v>194</v>
      </c>
      <c r="V172" s="329">
        <f>IFERROR(__xludf.DUMMYFUNCTION("""COMPUTED_VALUE"""),203.0)</f>
        <v>203</v>
      </c>
      <c r="W172" s="329">
        <f>IFERROR(__xludf.DUMMYFUNCTION("""COMPUTED_VALUE"""),30.0)</f>
        <v>30</v>
      </c>
      <c r="X172" s="329">
        <f>IFERROR(__xludf.DUMMYFUNCTION("""COMPUTED_VALUE"""),20.0)</f>
        <v>20</v>
      </c>
      <c r="Y172" s="329">
        <f>IFERROR(__xludf.DUMMYFUNCTION("""COMPUTED_VALUE"""),2.0)</f>
        <v>2</v>
      </c>
      <c r="Z172" s="329">
        <f>IFERROR(__xludf.DUMMYFUNCTION("""COMPUTED_VALUE"""),2501.0)</f>
        <v>2501</v>
      </c>
      <c r="AA172" s="258">
        <f>IFERROR(__xludf.DUMMYFUNCTION("""COMPUTED_VALUE"""),5189.0)</f>
        <v>5189</v>
      </c>
      <c r="AB172" s="258">
        <f>IFERROR(__xludf.DUMMYFUNCTION("""COMPUTED_VALUE"""),1924.0)</f>
        <v>1924</v>
      </c>
      <c r="AC172" s="258">
        <f>IFERROR(__xludf.DUMMYFUNCTION("""COMPUTED_VALUE"""),7113.0)</f>
        <v>7113</v>
      </c>
      <c r="AD172" s="258">
        <f>IFERROR(__xludf.DUMMYFUNCTION("""COMPUTED_VALUE"""),181574.0)</f>
        <v>181574</v>
      </c>
      <c r="AE172" s="258">
        <f>IFERROR(__xludf.DUMMYFUNCTION("""COMPUTED_VALUE"""),5189.0)</f>
        <v>5189</v>
      </c>
      <c r="AF172" s="258">
        <f>IFERROR(__xludf.DUMMYFUNCTION("""COMPUTED_VALUE"""),125187.0)</f>
        <v>125187</v>
      </c>
      <c r="AG172" s="258">
        <f>IFERROR(__xludf.DUMMYFUNCTION("""COMPUTED_VALUE"""),1924.0)</f>
        <v>1924</v>
      </c>
      <c r="AH172" s="258">
        <f>IFERROR(__xludf.DUMMYFUNCTION("""COMPUTED_VALUE"""),56388.0)</f>
        <v>56388</v>
      </c>
    </row>
    <row r="173">
      <c r="A173" s="328">
        <f>IFERROR(__xludf.DUMMYFUNCTION("""COMPUTED_VALUE"""),44245.0)</f>
        <v>44245</v>
      </c>
      <c r="B173" s="329">
        <f>IFERROR(__xludf.DUMMYFUNCTION("""COMPUTED_VALUE"""),397.0)</f>
        <v>397</v>
      </c>
      <c r="C173" s="329">
        <f>IFERROR(__xludf.DUMMYFUNCTION("""COMPUTED_VALUE"""),427.0)</f>
        <v>427</v>
      </c>
      <c r="D173" s="329">
        <f>IFERROR(__xludf.DUMMYFUNCTION("""COMPUTED_VALUE"""),146948.0)</f>
        <v>146948</v>
      </c>
      <c r="E173" s="329">
        <f>IFERROR(__xludf.DUMMYFUNCTION("""COMPUTED_VALUE"""),20161.0)</f>
        <v>20161</v>
      </c>
      <c r="F173" s="258">
        <f>IFERROR(__xludf.DUMMYFUNCTION("""COMPUTED_VALUE"""),2712954.0)</f>
        <v>2712954</v>
      </c>
      <c r="G173" s="258">
        <f>IFERROR(__xludf.DUMMYFUNCTION("""COMPUTED_VALUE"""),20558.0)</f>
        <v>20558</v>
      </c>
      <c r="H173" s="258">
        <f>IFERROR(__xludf.DUMMYFUNCTION("""COMPUTED_VALUE"""),2859902.0)</f>
        <v>2859902</v>
      </c>
      <c r="I173" s="329">
        <f>IFERROR(__xludf.DUMMYFUNCTION("""COMPUTED_VALUE"""),333.0)</f>
        <v>333</v>
      </c>
      <c r="J173" s="329">
        <f>IFERROR(__xludf.DUMMYFUNCTION("""COMPUTED_VALUE"""),367.0)</f>
        <v>367</v>
      </c>
      <c r="K173" s="329">
        <f>IFERROR(__xludf.DUMMYFUNCTION("""COMPUTED_VALUE"""),123434.0)</f>
        <v>123434</v>
      </c>
      <c r="L173" s="329">
        <f>IFERROR(__xludf.DUMMYFUNCTION("""COMPUTED_VALUE"""),1577.0)</f>
        <v>1577</v>
      </c>
      <c r="M173" s="329">
        <f>IFERROR(__xludf.DUMMYFUNCTION("""COMPUTED_VALUE"""),650537.0)</f>
        <v>650537</v>
      </c>
      <c r="N173" s="329">
        <f>IFERROR(__xludf.DUMMYFUNCTION("""COMPUTED_VALUE"""),773971.0)</f>
        <v>773971</v>
      </c>
      <c r="O173" s="329">
        <f>IFERROR(__xludf.DUMMYFUNCTION("""COMPUTED_VALUE"""),17.0)</f>
        <v>17</v>
      </c>
      <c r="P173" s="329">
        <f>IFERROR(__xludf.DUMMYFUNCTION("""COMPUTED_VALUE"""),8784.0)</f>
        <v>8784</v>
      </c>
      <c r="Q173" s="329">
        <f>IFERROR(__xludf.DUMMYFUNCTION("""COMPUTED_VALUE"""),19.0)</f>
        <v>19</v>
      </c>
      <c r="R173" s="329">
        <f>IFERROR(__xludf.DUMMYFUNCTION("""COMPUTED_VALUE"""),7604.0)</f>
        <v>7604</v>
      </c>
      <c r="S173" s="329">
        <f>IFERROR(__xludf.DUMMYFUNCTION("""COMPUTED_VALUE"""),2.0)</f>
        <v>2</v>
      </c>
      <c r="T173" s="329">
        <f>IFERROR(__xludf.DUMMYFUNCTION("""COMPUTED_VALUE"""),990.0)</f>
        <v>990</v>
      </c>
      <c r="U173" s="329">
        <f>IFERROR(__xludf.DUMMYFUNCTION("""COMPUTED_VALUE"""),190.0)</f>
        <v>190</v>
      </c>
      <c r="V173" s="329">
        <f>IFERROR(__xludf.DUMMYFUNCTION("""COMPUTED_VALUE"""),193.0)</f>
        <v>193</v>
      </c>
      <c r="W173" s="329">
        <f>IFERROR(__xludf.DUMMYFUNCTION("""COMPUTED_VALUE"""),35.0)</f>
        <v>35</v>
      </c>
      <c r="X173" s="329">
        <f>IFERROR(__xludf.DUMMYFUNCTION("""COMPUTED_VALUE"""),19.0)</f>
        <v>19</v>
      </c>
      <c r="Y173" s="329">
        <f>IFERROR(__xludf.DUMMYFUNCTION("""COMPUTED_VALUE"""),4.0)</f>
        <v>4</v>
      </c>
      <c r="Z173" s="329">
        <f>IFERROR(__xludf.DUMMYFUNCTION("""COMPUTED_VALUE"""),2505.0)</f>
        <v>2505</v>
      </c>
      <c r="AA173" s="258">
        <f>IFERROR(__xludf.DUMMYFUNCTION("""COMPUTED_VALUE"""),6023.0)</f>
        <v>6023</v>
      </c>
      <c r="AB173" s="258">
        <f>IFERROR(__xludf.DUMMYFUNCTION("""COMPUTED_VALUE"""),2315.0)</f>
        <v>2315</v>
      </c>
      <c r="AC173" s="258">
        <f>IFERROR(__xludf.DUMMYFUNCTION("""COMPUTED_VALUE"""),8338.0)</f>
        <v>8338</v>
      </c>
      <c r="AD173" s="258">
        <f>IFERROR(__xludf.DUMMYFUNCTION("""COMPUTED_VALUE"""),189912.0)</f>
        <v>189912</v>
      </c>
      <c r="AE173" s="258">
        <f>IFERROR(__xludf.DUMMYFUNCTION("""COMPUTED_VALUE"""),6023.0)</f>
        <v>6023</v>
      </c>
      <c r="AF173" s="258">
        <f>IFERROR(__xludf.DUMMYFUNCTION("""COMPUTED_VALUE"""),131210.0)</f>
        <v>131210</v>
      </c>
      <c r="AG173" s="258">
        <f>IFERROR(__xludf.DUMMYFUNCTION("""COMPUTED_VALUE"""),2315.0)</f>
        <v>2315</v>
      </c>
      <c r="AH173" s="258">
        <f>IFERROR(__xludf.DUMMYFUNCTION("""COMPUTED_VALUE"""),58703.0)</f>
        <v>58703</v>
      </c>
    </row>
    <row r="174">
      <c r="A174" s="328">
        <f>IFERROR(__xludf.DUMMYFUNCTION("""COMPUTED_VALUE"""),44246.0)</f>
        <v>44246</v>
      </c>
      <c r="B174" s="329">
        <f>IFERROR(__xludf.DUMMYFUNCTION("""COMPUTED_VALUE"""),418.0)</f>
        <v>418</v>
      </c>
      <c r="C174" s="329">
        <f>IFERROR(__xludf.DUMMYFUNCTION("""COMPUTED_VALUE"""),409.0)</f>
        <v>409</v>
      </c>
      <c r="D174" s="329">
        <f>IFERROR(__xludf.DUMMYFUNCTION("""COMPUTED_VALUE"""),147366.0)</f>
        <v>147366</v>
      </c>
      <c r="E174" s="329">
        <f>IFERROR(__xludf.DUMMYFUNCTION("""COMPUTED_VALUE"""),16724.0)</f>
        <v>16724</v>
      </c>
      <c r="F174" s="258">
        <f>IFERROR(__xludf.DUMMYFUNCTION("""COMPUTED_VALUE"""),2729678.0)</f>
        <v>2729678</v>
      </c>
      <c r="G174" s="258">
        <f>IFERROR(__xludf.DUMMYFUNCTION("""COMPUTED_VALUE"""),17142.0)</f>
        <v>17142</v>
      </c>
      <c r="H174" s="258">
        <f>IFERROR(__xludf.DUMMYFUNCTION("""COMPUTED_VALUE"""),2877044.0)</f>
        <v>2877044</v>
      </c>
      <c r="I174" s="329">
        <f>IFERROR(__xludf.DUMMYFUNCTION("""COMPUTED_VALUE"""),353.0)</f>
        <v>353</v>
      </c>
      <c r="J174" s="329">
        <f>IFERROR(__xludf.DUMMYFUNCTION("""COMPUTED_VALUE"""),348.0)</f>
        <v>348</v>
      </c>
      <c r="K174" s="329">
        <f>IFERROR(__xludf.DUMMYFUNCTION("""COMPUTED_VALUE"""),123787.0)</f>
        <v>123787</v>
      </c>
      <c r="L174" s="329">
        <f>IFERROR(__xludf.DUMMYFUNCTION("""COMPUTED_VALUE"""),1546.0)</f>
        <v>1546</v>
      </c>
      <c r="M174" s="329">
        <f>IFERROR(__xludf.DUMMYFUNCTION("""COMPUTED_VALUE"""),652083.0)</f>
        <v>652083</v>
      </c>
      <c r="N174" s="329">
        <f>IFERROR(__xludf.DUMMYFUNCTION("""COMPUTED_VALUE"""),775870.0)</f>
        <v>775870</v>
      </c>
      <c r="O174" s="329">
        <f>IFERROR(__xludf.DUMMYFUNCTION("""COMPUTED_VALUE"""),22.0)</f>
        <v>22</v>
      </c>
      <c r="P174" s="329">
        <f>IFERROR(__xludf.DUMMYFUNCTION("""COMPUTED_VALUE"""),8806.0)</f>
        <v>8806</v>
      </c>
      <c r="Q174" s="329">
        <f>IFERROR(__xludf.DUMMYFUNCTION("""COMPUTED_VALUE"""),34.0)</f>
        <v>34</v>
      </c>
      <c r="R174" s="329">
        <f>IFERROR(__xludf.DUMMYFUNCTION("""COMPUTED_VALUE"""),7638.0)</f>
        <v>7638</v>
      </c>
      <c r="S174" s="329">
        <f>IFERROR(__xludf.DUMMYFUNCTION("""COMPUTED_VALUE"""),3.0)</f>
        <v>3</v>
      </c>
      <c r="T174" s="329">
        <f>IFERROR(__xludf.DUMMYFUNCTION("""COMPUTED_VALUE"""),993.0)</f>
        <v>993</v>
      </c>
      <c r="U174" s="329">
        <f>IFERROR(__xludf.DUMMYFUNCTION("""COMPUTED_VALUE"""),175.0)</f>
        <v>175</v>
      </c>
      <c r="V174" s="329">
        <f>IFERROR(__xludf.DUMMYFUNCTION("""COMPUTED_VALUE"""),186.0)</f>
        <v>186</v>
      </c>
      <c r="W174" s="329">
        <f>IFERROR(__xludf.DUMMYFUNCTION("""COMPUTED_VALUE"""),29.0)</f>
        <v>29</v>
      </c>
      <c r="X174" s="329">
        <f>IFERROR(__xludf.DUMMYFUNCTION("""COMPUTED_VALUE"""),17.0)</f>
        <v>17</v>
      </c>
      <c r="Y174" s="329">
        <f>IFERROR(__xludf.DUMMYFUNCTION("""COMPUTED_VALUE"""),6.0)</f>
        <v>6</v>
      </c>
      <c r="Z174" s="329">
        <f>IFERROR(__xludf.DUMMYFUNCTION("""COMPUTED_VALUE"""),2511.0)</f>
        <v>2511</v>
      </c>
      <c r="AA174" s="258">
        <f>IFERROR(__xludf.DUMMYFUNCTION("""COMPUTED_VALUE"""),5557.0)</f>
        <v>5557</v>
      </c>
      <c r="AB174" s="258">
        <f>IFERROR(__xludf.DUMMYFUNCTION("""COMPUTED_VALUE"""),2248.0)</f>
        <v>2248</v>
      </c>
      <c r="AC174" s="258">
        <f>IFERROR(__xludf.DUMMYFUNCTION("""COMPUTED_VALUE"""),7805.0)</f>
        <v>7805</v>
      </c>
      <c r="AD174" s="258">
        <f>IFERROR(__xludf.DUMMYFUNCTION("""COMPUTED_VALUE"""),197717.0)</f>
        <v>197717</v>
      </c>
      <c r="AE174" s="258">
        <f>IFERROR(__xludf.DUMMYFUNCTION("""COMPUTED_VALUE"""),5557.0)</f>
        <v>5557</v>
      </c>
      <c r="AF174" s="258">
        <f>IFERROR(__xludf.DUMMYFUNCTION("""COMPUTED_VALUE"""),136767.0)</f>
        <v>136767</v>
      </c>
      <c r="AG174" s="258">
        <f>IFERROR(__xludf.DUMMYFUNCTION("""COMPUTED_VALUE"""),2248.0)</f>
        <v>2248</v>
      </c>
      <c r="AH174" s="258">
        <f>IFERROR(__xludf.DUMMYFUNCTION("""COMPUTED_VALUE"""),60951.0)</f>
        <v>60951</v>
      </c>
    </row>
    <row r="175">
      <c r="A175" s="328">
        <f>IFERROR(__xludf.DUMMYFUNCTION("""COMPUTED_VALUE"""),44247.0)</f>
        <v>44247</v>
      </c>
      <c r="B175" s="329">
        <f>IFERROR(__xludf.DUMMYFUNCTION("""COMPUTED_VALUE"""),336.0)</f>
        <v>336</v>
      </c>
      <c r="C175" s="329">
        <f>IFERROR(__xludf.DUMMYFUNCTION("""COMPUTED_VALUE"""),384.0)</f>
        <v>384</v>
      </c>
      <c r="D175" s="329">
        <f>IFERROR(__xludf.DUMMYFUNCTION("""COMPUTED_VALUE"""),147702.0)</f>
        <v>147702</v>
      </c>
      <c r="E175" s="329">
        <f>IFERROR(__xludf.DUMMYFUNCTION("""COMPUTED_VALUE"""),10618.0)</f>
        <v>10618</v>
      </c>
      <c r="F175" s="329">
        <f>IFERROR(__xludf.DUMMYFUNCTION("""COMPUTED_VALUE"""),2740296.0)</f>
        <v>2740296</v>
      </c>
      <c r="G175" s="329">
        <f>IFERROR(__xludf.DUMMYFUNCTION("""COMPUTED_VALUE"""),10954.0)</f>
        <v>10954</v>
      </c>
      <c r="H175" s="329">
        <f>IFERROR(__xludf.DUMMYFUNCTION("""COMPUTED_VALUE"""),2887998.0)</f>
        <v>2887998</v>
      </c>
      <c r="I175" s="329">
        <f>IFERROR(__xludf.DUMMYFUNCTION("""COMPUTED_VALUE"""),283.0)</f>
        <v>283</v>
      </c>
      <c r="J175" s="329">
        <f>IFERROR(__xludf.DUMMYFUNCTION("""COMPUTED_VALUE"""),323.0)</f>
        <v>323</v>
      </c>
      <c r="K175" s="329">
        <f>IFERROR(__xludf.DUMMYFUNCTION("""COMPUTED_VALUE"""),124070.0)</f>
        <v>124070</v>
      </c>
      <c r="L175" s="329">
        <f>IFERROR(__xludf.DUMMYFUNCTION("""COMPUTED_VALUE"""),1312.0)</f>
        <v>1312</v>
      </c>
      <c r="M175" s="329">
        <f>IFERROR(__xludf.DUMMYFUNCTION("""COMPUTED_VALUE"""),653395.0)</f>
        <v>653395</v>
      </c>
      <c r="N175" s="329">
        <f>IFERROR(__xludf.DUMMYFUNCTION("""COMPUTED_VALUE"""),777465.0)</f>
        <v>777465</v>
      </c>
      <c r="O175" s="329">
        <f>IFERROR(__xludf.DUMMYFUNCTION("""COMPUTED_VALUE"""),37.0)</f>
        <v>37</v>
      </c>
      <c r="P175" s="329">
        <f>IFERROR(__xludf.DUMMYFUNCTION("""COMPUTED_VALUE"""),8843.0)</f>
        <v>8843</v>
      </c>
      <c r="Q175" s="329">
        <f>IFERROR(__xludf.DUMMYFUNCTION("""COMPUTED_VALUE"""),21.0)</f>
        <v>21</v>
      </c>
      <c r="R175" s="329">
        <f>IFERROR(__xludf.DUMMYFUNCTION("""COMPUTED_VALUE"""),7659.0)</f>
        <v>7659</v>
      </c>
      <c r="S175" s="329">
        <f>IFERROR(__xludf.DUMMYFUNCTION("""COMPUTED_VALUE"""),2.0)</f>
        <v>2</v>
      </c>
      <c r="T175" s="329">
        <f>IFERROR(__xludf.DUMMYFUNCTION("""COMPUTED_VALUE"""),995.0)</f>
        <v>995</v>
      </c>
      <c r="U175" s="329">
        <f>IFERROR(__xludf.DUMMYFUNCTION("""COMPUTED_VALUE"""),189.0)</f>
        <v>189</v>
      </c>
      <c r="V175" s="329">
        <f>IFERROR(__xludf.DUMMYFUNCTION("""COMPUTED_VALUE"""),185.0)</f>
        <v>185</v>
      </c>
      <c r="W175" s="329">
        <f>IFERROR(__xludf.DUMMYFUNCTION("""COMPUTED_VALUE"""),29.0)</f>
        <v>29</v>
      </c>
      <c r="X175" s="329">
        <f>IFERROR(__xludf.DUMMYFUNCTION("""COMPUTED_VALUE"""),17.0)</f>
        <v>17</v>
      </c>
      <c r="Y175" s="329">
        <f>IFERROR(__xludf.DUMMYFUNCTION("""COMPUTED_VALUE"""),4.0)</f>
        <v>4</v>
      </c>
      <c r="Z175" s="329">
        <f>IFERROR(__xludf.DUMMYFUNCTION("""COMPUTED_VALUE"""),2515.0)</f>
        <v>2515</v>
      </c>
      <c r="AA175" s="329">
        <f>IFERROR(__xludf.DUMMYFUNCTION("""COMPUTED_VALUE"""),7899.0)</f>
        <v>7899</v>
      </c>
      <c r="AB175" s="329">
        <f>IFERROR(__xludf.DUMMYFUNCTION("""COMPUTED_VALUE"""),2019.0)</f>
        <v>2019</v>
      </c>
      <c r="AC175" s="329">
        <f>IFERROR(__xludf.DUMMYFUNCTION("""COMPUTED_VALUE"""),9918.0)</f>
        <v>9918</v>
      </c>
      <c r="AD175" s="329">
        <f>IFERROR(__xludf.DUMMYFUNCTION("""COMPUTED_VALUE"""),207635.0)</f>
        <v>207635</v>
      </c>
      <c r="AE175" s="329">
        <f>IFERROR(__xludf.DUMMYFUNCTION("""COMPUTED_VALUE"""),7899.0)</f>
        <v>7899</v>
      </c>
      <c r="AF175" s="329">
        <f>IFERROR(__xludf.DUMMYFUNCTION("""COMPUTED_VALUE"""),144666.0)</f>
        <v>144666</v>
      </c>
      <c r="AG175" s="329">
        <f>IFERROR(__xludf.DUMMYFUNCTION("""COMPUTED_VALUE"""),2019.0)</f>
        <v>2019</v>
      </c>
      <c r="AH175" s="329">
        <f>IFERROR(__xludf.DUMMYFUNCTION("""COMPUTED_VALUE"""),62970.0)</f>
        <v>62970</v>
      </c>
    </row>
    <row r="176">
      <c r="A176" s="328">
        <f>IFERROR(__xludf.DUMMYFUNCTION("""COMPUTED_VALUE"""),44248.0)</f>
        <v>44248</v>
      </c>
      <c r="B176" s="329">
        <f>IFERROR(__xludf.DUMMYFUNCTION("""COMPUTED_VALUE"""),199.0)</f>
        <v>199</v>
      </c>
      <c r="C176" s="329">
        <f>IFERROR(__xludf.DUMMYFUNCTION("""COMPUTED_VALUE"""),318.0)</f>
        <v>318</v>
      </c>
      <c r="D176" s="329">
        <f>IFERROR(__xludf.DUMMYFUNCTION("""COMPUTED_VALUE"""),147901.0)</f>
        <v>147901</v>
      </c>
      <c r="E176" s="329">
        <f>IFERROR(__xludf.DUMMYFUNCTION("""COMPUTED_VALUE"""),6308.0)</f>
        <v>6308</v>
      </c>
      <c r="F176" s="329">
        <f>IFERROR(__xludf.DUMMYFUNCTION("""COMPUTED_VALUE"""),2746604.0)</f>
        <v>2746604</v>
      </c>
      <c r="G176" s="329">
        <f>IFERROR(__xludf.DUMMYFUNCTION("""COMPUTED_VALUE"""),6507.0)</f>
        <v>6507</v>
      </c>
      <c r="H176" s="329">
        <f>IFERROR(__xludf.DUMMYFUNCTION("""COMPUTED_VALUE"""),2894505.0)</f>
        <v>2894505</v>
      </c>
      <c r="I176" s="329">
        <f>IFERROR(__xludf.DUMMYFUNCTION("""COMPUTED_VALUE"""),176.0)</f>
        <v>176</v>
      </c>
      <c r="J176" s="329">
        <f>IFERROR(__xludf.DUMMYFUNCTION("""COMPUTED_VALUE"""),271.0)</f>
        <v>271</v>
      </c>
      <c r="K176" s="329">
        <f>IFERROR(__xludf.DUMMYFUNCTION("""COMPUTED_VALUE"""),124246.0)</f>
        <v>124246</v>
      </c>
      <c r="L176" s="329">
        <f>IFERROR(__xludf.DUMMYFUNCTION("""COMPUTED_VALUE"""),836.0)</f>
        <v>836</v>
      </c>
      <c r="M176" s="329">
        <f>IFERROR(__xludf.DUMMYFUNCTION("""COMPUTED_VALUE"""),654231.0)</f>
        <v>654231</v>
      </c>
      <c r="N176" s="329">
        <f>IFERROR(__xludf.DUMMYFUNCTION("""COMPUTED_VALUE"""),778477.0)</f>
        <v>778477</v>
      </c>
      <c r="O176" s="329">
        <f>IFERROR(__xludf.DUMMYFUNCTION("""COMPUTED_VALUE"""),6.0)</f>
        <v>6</v>
      </c>
      <c r="P176" s="329">
        <f>IFERROR(__xludf.DUMMYFUNCTION("""COMPUTED_VALUE"""),8849.0)</f>
        <v>8849</v>
      </c>
      <c r="Q176" s="329">
        <f>IFERROR(__xludf.DUMMYFUNCTION("""COMPUTED_VALUE"""),14.0)</f>
        <v>14</v>
      </c>
      <c r="R176" s="329">
        <f>IFERROR(__xludf.DUMMYFUNCTION("""COMPUTED_VALUE"""),7673.0)</f>
        <v>7673</v>
      </c>
      <c r="S176" s="329">
        <f>IFERROR(__xludf.DUMMYFUNCTION("""COMPUTED_VALUE"""),2.0)</f>
        <v>2</v>
      </c>
      <c r="T176" s="329">
        <f>IFERROR(__xludf.DUMMYFUNCTION("""COMPUTED_VALUE"""),997.0)</f>
        <v>997</v>
      </c>
      <c r="U176" s="329">
        <f>IFERROR(__xludf.DUMMYFUNCTION("""COMPUTED_VALUE"""),179.0)</f>
        <v>179</v>
      </c>
      <c r="V176" s="329">
        <f>IFERROR(__xludf.DUMMYFUNCTION("""COMPUTED_VALUE"""),181.0)</f>
        <v>181</v>
      </c>
      <c r="W176" s="329">
        <f>IFERROR(__xludf.DUMMYFUNCTION("""COMPUTED_VALUE"""),33.0)</f>
        <v>33</v>
      </c>
      <c r="X176" s="329">
        <f>IFERROR(__xludf.DUMMYFUNCTION("""COMPUTED_VALUE"""),18.0)</f>
        <v>18</v>
      </c>
      <c r="Y176" s="329">
        <f>IFERROR(__xludf.DUMMYFUNCTION("""COMPUTED_VALUE"""),3.0)</f>
        <v>3</v>
      </c>
      <c r="Z176" s="329">
        <f>IFERROR(__xludf.DUMMYFUNCTION("""COMPUTED_VALUE"""),2518.0)</f>
        <v>2518</v>
      </c>
      <c r="AA176" s="329">
        <f>IFERROR(__xludf.DUMMYFUNCTION("""COMPUTED_VALUE"""),1932.0)</f>
        <v>1932</v>
      </c>
      <c r="AB176" s="329">
        <f>IFERROR(__xludf.DUMMYFUNCTION("""COMPUTED_VALUE"""),618.0)</f>
        <v>618</v>
      </c>
      <c r="AC176" s="329">
        <f>IFERROR(__xludf.DUMMYFUNCTION("""COMPUTED_VALUE"""),2550.0)</f>
        <v>2550</v>
      </c>
      <c r="AD176" s="329">
        <f>IFERROR(__xludf.DUMMYFUNCTION("""COMPUTED_VALUE"""),210185.0)</f>
        <v>210185</v>
      </c>
      <c r="AE176" s="329">
        <f>IFERROR(__xludf.DUMMYFUNCTION("""COMPUTED_VALUE"""),1932.0)</f>
        <v>1932</v>
      </c>
      <c r="AF176" s="329">
        <f>IFERROR(__xludf.DUMMYFUNCTION("""COMPUTED_VALUE"""),146598.0)</f>
        <v>146598</v>
      </c>
      <c r="AG176" s="329">
        <f>IFERROR(__xludf.DUMMYFUNCTION("""COMPUTED_VALUE"""),618.0)</f>
        <v>618</v>
      </c>
      <c r="AH176" s="329">
        <f>IFERROR(__xludf.DUMMYFUNCTION("""COMPUTED_VALUE"""),63588.0)</f>
        <v>63588</v>
      </c>
    </row>
    <row r="177">
      <c r="A177" s="328">
        <f>IFERROR(__xludf.DUMMYFUNCTION("""COMPUTED_VALUE"""),44249.0)</f>
        <v>44249</v>
      </c>
      <c r="B177" s="329">
        <f>IFERROR(__xludf.DUMMYFUNCTION("""COMPUTED_VALUE"""),389.0)</f>
        <v>389</v>
      </c>
      <c r="C177" s="329">
        <f>IFERROR(__xludf.DUMMYFUNCTION("""COMPUTED_VALUE"""),308.0)</f>
        <v>308</v>
      </c>
      <c r="D177" s="329">
        <f>IFERROR(__xludf.DUMMYFUNCTION("""COMPUTED_VALUE"""),148290.0)</f>
        <v>148290</v>
      </c>
      <c r="E177" s="329">
        <f>IFERROR(__xludf.DUMMYFUNCTION("""COMPUTED_VALUE"""),12032.0)</f>
        <v>12032</v>
      </c>
      <c r="F177" s="329">
        <f>IFERROR(__xludf.DUMMYFUNCTION("""COMPUTED_VALUE"""),2758636.0)</f>
        <v>2758636</v>
      </c>
      <c r="G177" s="329">
        <f>IFERROR(__xludf.DUMMYFUNCTION("""COMPUTED_VALUE"""),12421.0)</f>
        <v>12421</v>
      </c>
      <c r="H177" s="329">
        <f>IFERROR(__xludf.DUMMYFUNCTION("""COMPUTED_VALUE"""),2906926.0)</f>
        <v>2906926</v>
      </c>
      <c r="I177" s="329">
        <f>IFERROR(__xludf.DUMMYFUNCTION("""COMPUTED_VALUE"""),344.0)</f>
        <v>344</v>
      </c>
      <c r="J177" s="329">
        <f>IFERROR(__xludf.DUMMYFUNCTION("""COMPUTED_VALUE"""),268.0)</f>
        <v>268</v>
      </c>
      <c r="K177" s="329">
        <f>IFERROR(__xludf.DUMMYFUNCTION("""COMPUTED_VALUE"""),124590.0)</f>
        <v>124590</v>
      </c>
      <c r="L177" s="329">
        <f>IFERROR(__xludf.DUMMYFUNCTION("""COMPUTED_VALUE"""),1514.0)</f>
        <v>1514</v>
      </c>
      <c r="M177" s="329">
        <f>IFERROR(__xludf.DUMMYFUNCTION("""COMPUTED_VALUE"""),655745.0)</f>
        <v>655745</v>
      </c>
      <c r="N177" s="329">
        <f>IFERROR(__xludf.DUMMYFUNCTION("""COMPUTED_VALUE"""),780335.0)</f>
        <v>780335</v>
      </c>
      <c r="O177" s="329">
        <f>IFERROR(__xludf.DUMMYFUNCTION("""COMPUTED_VALUE"""),16.0)</f>
        <v>16</v>
      </c>
      <c r="P177" s="329">
        <f>IFERROR(__xludf.DUMMYFUNCTION("""COMPUTED_VALUE"""),8865.0)</f>
        <v>8865</v>
      </c>
      <c r="Q177" s="329">
        <f>IFERROR(__xludf.DUMMYFUNCTION("""COMPUTED_VALUE"""),17.0)</f>
        <v>17</v>
      </c>
      <c r="R177" s="329">
        <f>IFERROR(__xludf.DUMMYFUNCTION("""COMPUTED_VALUE"""),7690.0)</f>
        <v>7690</v>
      </c>
      <c r="S177" s="329">
        <f>IFERROR(__xludf.DUMMYFUNCTION("""COMPUTED_VALUE"""),0.0)</f>
        <v>0</v>
      </c>
      <c r="T177" s="329">
        <f>IFERROR(__xludf.DUMMYFUNCTION("""COMPUTED_VALUE"""),997.0)</f>
        <v>997</v>
      </c>
      <c r="U177" s="329">
        <f>IFERROR(__xludf.DUMMYFUNCTION("""COMPUTED_VALUE"""),178.0)</f>
        <v>178</v>
      </c>
      <c r="V177" s="329">
        <f>IFERROR(__xludf.DUMMYFUNCTION("""COMPUTED_VALUE"""),182.0)</f>
        <v>182</v>
      </c>
      <c r="W177" s="329">
        <f>IFERROR(__xludf.DUMMYFUNCTION("""COMPUTED_VALUE"""),32.0)</f>
        <v>32</v>
      </c>
      <c r="X177" s="329">
        <f>IFERROR(__xludf.DUMMYFUNCTION("""COMPUTED_VALUE"""),17.0)</f>
        <v>17</v>
      </c>
      <c r="Y177" s="329">
        <f>IFERROR(__xludf.DUMMYFUNCTION("""COMPUTED_VALUE"""),3.0)</f>
        <v>3</v>
      </c>
      <c r="Z177" s="329">
        <f>IFERROR(__xludf.DUMMYFUNCTION("""COMPUTED_VALUE"""),2521.0)</f>
        <v>2521</v>
      </c>
      <c r="AA177" s="329">
        <f>IFERROR(__xludf.DUMMYFUNCTION("""COMPUTED_VALUE"""),5473.0)</f>
        <v>5473</v>
      </c>
      <c r="AB177" s="329">
        <f>IFERROR(__xludf.DUMMYFUNCTION("""COMPUTED_VALUE"""),1388.0)</f>
        <v>1388</v>
      </c>
      <c r="AC177" s="329">
        <f>IFERROR(__xludf.DUMMYFUNCTION("""COMPUTED_VALUE"""),6861.0)</f>
        <v>6861</v>
      </c>
      <c r="AD177" s="329">
        <f>IFERROR(__xludf.DUMMYFUNCTION("""COMPUTED_VALUE"""),217046.0)</f>
        <v>217046</v>
      </c>
      <c r="AE177" s="329">
        <f>IFERROR(__xludf.DUMMYFUNCTION("""COMPUTED_VALUE"""),5473.0)</f>
        <v>5473</v>
      </c>
      <c r="AF177" s="329">
        <f>IFERROR(__xludf.DUMMYFUNCTION("""COMPUTED_VALUE"""),152071.0)</f>
        <v>152071</v>
      </c>
      <c r="AG177" s="329">
        <f>IFERROR(__xludf.DUMMYFUNCTION("""COMPUTED_VALUE"""),1388.0)</f>
        <v>1388</v>
      </c>
      <c r="AH177" s="329">
        <f>IFERROR(__xludf.DUMMYFUNCTION("""COMPUTED_VALUE"""),64976.0)</f>
        <v>64976</v>
      </c>
    </row>
    <row r="178">
      <c r="A178" s="328">
        <f>IFERROR(__xludf.DUMMYFUNCTION("""COMPUTED_VALUE"""),44250.0)</f>
        <v>44250</v>
      </c>
      <c r="B178" s="329">
        <f>IFERROR(__xludf.DUMMYFUNCTION("""COMPUTED_VALUE"""),489.0)</f>
        <v>489</v>
      </c>
      <c r="C178" s="329">
        <f>IFERROR(__xludf.DUMMYFUNCTION("""COMPUTED_VALUE"""),359.0)</f>
        <v>359</v>
      </c>
      <c r="D178" s="329">
        <f>IFERROR(__xludf.DUMMYFUNCTION("""COMPUTED_VALUE"""),148779.0)</f>
        <v>148779</v>
      </c>
      <c r="E178" s="329">
        <f>IFERROR(__xludf.DUMMYFUNCTION("""COMPUTED_VALUE"""),19938.0)</f>
        <v>19938</v>
      </c>
      <c r="F178" s="329">
        <f>IFERROR(__xludf.DUMMYFUNCTION("""COMPUTED_VALUE"""),2778574.0)</f>
        <v>2778574</v>
      </c>
      <c r="G178" s="329">
        <f>IFERROR(__xludf.DUMMYFUNCTION("""COMPUTED_VALUE"""),20427.0)</f>
        <v>20427</v>
      </c>
      <c r="H178" s="329">
        <f>IFERROR(__xludf.DUMMYFUNCTION("""COMPUTED_VALUE"""),2927353.0)</f>
        <v>2927353</v>
      </c>
      <c r="I178" s="329">
        <f>IFERROR(__xludf.DUMMYFUNCTION("""COMPUTED_VALUE"""),442.0)</f>
        <v>442</v>
      </c>
      <c r="J178" s="329">
        <f>IFERROR(__xludf.DUMMYFUNCTION("""COMPUTED_VALUE"""),321.0)</f>
        <v>321</v>
      </c>
      <c r="K178" s="329">
        <f>IFERROR(__xludf.DUMMYFUNCTION("""COMPUTED_VALUE"""),125032.0)</f>
        <v>125032</v>
      </c>
      <c r="L178" s="329">
        <f>IFERROR(__xludf.DUMMYFUNCTION("""COMPUTED_VALUE"""),2097.0)</f>
        <v>2097</v>
      </c>
      <c r="M178" s="329">
        <f>IFERROR(__xludf.DUMMYFUNCTION("""COMPUTED_VALUE"""),657842.0)</f>
        <v>657842</v>
      </c>
      <c r="N178" s="329">
        <f>IFERROR(__xludf.DUMMYFUNCTION("""COMPUTED_VALUE"""),782874.0)</f>
        <v>782874</v>
      </c>
      <c r="O178" s="329">
        <f>IFERROR(__xludf.DUMMYFUNCTION("""COMPUTED_VALUE"""),27.0)</f>
        <v>27</v>
      </c>
      <c r="P178" s="329">
        <f>IFERROR(__xludf.DUMMYFUNCTION("""COMPUTED_VALUE"""),8892.0)</f>
        <v>8892</v>
      </c>
      <c r="Q178" s="329">
        <f>IFERROR(__xludf.DUMMYFUNCTION("""COMPUTED_VALUE"""),27.0)</f>
        <v>27</v>
      </c>
      <c r="R178" s="329">
        <f>IFERROR(__xludf.DUMMYFUNCTION("""COMPUTED_VALUE"""),7717.0)</f>
        <v>7717</v>
      </c>
      <c r="S178" s="329">
        <f>IFERROR(__xludf.DUMMYFUNCTION("""COMPUTED_VALUE"""),2.0)</f>
        <v>2</v>
      </c>
      <c r="T178" s="329">
        <f>IFERROR(__xludf.DUMMYFUNCTION("""COMPUTED_VALUE"""),999.0)</f>
        <v>999</v>
      </c>
      <c r="U178" s="329">
        <f>IFERROR(__xludf.DUMMYFUNCTION("""COMPUTED_VALUE"""),176.0)</f>
        <v>176</v>
      </c>
      <c r="V178" s="329">
        <f>IFERROR(__xludf.DUMMYFUNCTION("""COMPUTED_VALUE"""),178.0)</f>
        <v>178</v>
      </c>
      <c r="W178" s="329">
        <f>IFERROR(__xludf.DUMMYFUNCTION("""COMPUTED_VALUE"""),32.0)</f>
        <v>32</v>
      </c>
      <c r="X178" s="329">
        <f>IFERROR(__xludf.DUMMYFUNCTION("""COMPUTED_VALUE"""),18.0)</f>
        <v>18</v>
      </c>
      <c r="Y178" s="329">
        <f>IFERROR(__xludf.DUMMYFUNCTION("""COMPUTED_VALUE"""),5.0)</f>
        <v>5</v>
      </c>
      <c r="Z178" s="329">
        <f>IFERROR(__xludf.DUMMYFUNCTION("""COMPUTED_VALUE"""),2526.0)</f>
        <v>2526</v>
      </c>
      <c r="AA178" s="329">
        <f>IFERROR(__xludf.DUMMYFUNCTION("""COMPUTED_VALUE"""),6118.0)</f>
        <v>6118</v>
      </c>
      <c r="AB178" s="329">
        <f>IFERROR(__xludf.DUMMYFUNCTION("""COMPUTED_VALUE"""),1380.0)</f>
        <v>1380</v>
      </c>
      <c r="AC178" s="329">
        <f>IFERROR(__xludf.DUMMYFUNCTION("""COMPUTED_VALUE"""),7498.0)</f>
        <v>7498</v>
      </c>
      <c r="AD178" s="329">
        <f>IFERROR(__xludf.DUMMYFUNCTION("""COMPUTED_VALUE"""),224544.0)</f>
        <v>224544</v>
      </c>
      <c r="AE178" s="329">
        <f>IFERROR(__xludf.DUMMYFUNCTION("""COMPUTED_VALUE"""),6118.0)</f>
        <v>6118</v>
      </c>
      <c r="AF178" s="329">
        <f>IFERROR(__xludf.DUMMYFUNCTION("""COMPUTED_VALUE"""),158189.0)</f>
        <v>158189</v>
      </c>
      <c r="AG178" s="329">
        <f>IFERROR(__xludf.DUMMYFUNCTION("""COMPUTED_VALUE"""),1380.0)</f>
        <v>1380</v>
      </c>
      <c r="AH178" s="329">
        <f>IFERROR(__xludf.DUMMYFUNCTION("""COMPUTED_VALUE"""),66356.0)</f>
        <v>66356</v>
      </c>
    </row>
    <row r="179">
      <c r="A179" s="328">
        <f>IFERROR(__xludf.DUMMYFUNCTION("""COMPUTED_VALUE"""),44251.0)</f>
        <v>44251</v>
      </c>
      <c r="B179" s="329">
        <f>IFERROR(__xludf.DUMMYFUNCTION("""COMPUTED_VALUE"""),489.0)</f>
        <v>489</v>
      </c>
      <c r="C179" s="329">
        <f>IFERROR(__xludf.DUMMYFUNCTION("""COMPUTED_VALUE"""),456.0)</f>
        <v>456</v>
      </c>
      <c r="D179" s="329">
        <f>IFERROR(__xludf.DUMMYFUNCTION("""COMPUTED_VALUE"""),149268.0)</f>
        <v>149268</v>
      </c>
      <c r="E179" s="329">
        <f>IFERROR(__xludf.DUMMYFUNCTION("""COMPUTED_VALUE"""),23277.0)</f>
        <v>23277</v>
      </c>
      <c r="F179" s="329">
        <f>IFERROR(__xludf.DUMMYFUNCTION("""COMPUTED_VALUE"""),2801851.0)</f>
        <v>2801851</v>
      </c>
      <c r="G179" s="329">
        <f>IFERROR(__xludf.DUMMYFUNCTION("""COMPUTED_VALUE"""),23766.0)</f>
        <v>23766</v>
      </c>
      <c r="H179" s="329">
        <f>IFERROR(__xludf.DUMMYFUNCTION("""COMPUTED_VALUE"""),2951119.0)</f>
        <v>2951119</v>
      </c>
      <c r="I179" s="329">
        <f>IFERROR(__xludf.DUMMYFUNCTION("""COMPUTED_VALUE"""),427.0)</f>
        <v>427</v>
      </c>
      <c r="J179" s="329">
        <f>IFERROR(__xludf.DUMMYFUNCTION("""COMPUTED_VALUE"""),404.0)</f>
        <v>404</v>
      </c>
      <c r="K179" s="329">
        <f>IFERROR(__xludf.DUMMYFUNCTION("""COMPUTED_VALUE"""),125459.0)</f>
        <v>125459</v>
      </c>
      <c r="L179" s="329">
        <f>IFERROR(__xludf.DUMMYFUNCTION("""COMPUTED_VALUE"""),2024.0)</f>
        <v>2024</v>
      </c>
      <c r="M179" s="329">
        <f>IFERROR(__xludf.DUMMYFUNCTION("""COMPUTED_VALUE"""),659866.0)</f>
        <v>659866</v>
      </c>
      <c r="N179" s="329">
        <f>IFERROR(__xludf.DUMMYFUNCTION("""COMPUTED_VALUE"""),785325.0)</f>
        <v>785325</v>
      </c>
      <c r="O179" s="329">
        <f>IFERROR(__xludf.DUMMYFUNCTION("""COMPUTED_VALUE"""),28.0)</f>
        <v>28</v>
      </c>
      <c r="P179" s="329">
        <f>IFERROR(__xludf.DUMMYFUNCTION("""COMPUTED_VALUE"""),8920.0)</f>
        <v>8920</v>
      </c>
      <c r="Q179" s="329">
        <f>IFERROR(__xludf.DUMMYFUNCTION("""COMPUTED_VALUE"""),20.0)</f>
        <v>20</v>
      </c>
      <c r="R179" s="329">
        <f>IFERROR(__xludf.DUMMYFUNCTION("""COMPUTED_VALUE"""),7737.0)</f>
        <v>7737</v>
      </c>
      <c r="S179" s="329">
        <f>IFERROR(__xludf.DUMMYFUNCTION("""COMPUTED_VALUE"""),2.0)</f>
        <v>2</v>
      </c>
      <c r="T179" s="329">
        <f>IFERROR(__xludf.DUMMYFUNCTION("""COMPUTED_VALUE"""),1001.0)</f>
        <v>1001</v>
      </c>
      <c r="U179" s="329">
        <f>IFERROR(__xludf.DUMMYFUNCTION("""COMPUTED_VALUE"""),182.0)</f>
        <v>182</v>
      </c>
      <c r="V179" s="329">
        <f>IFERROR(__xludf.DUMMYFUNCTION("""COMPUTED_VALUE"""),179.0)</f>
        <v>179</v>
      </c>
      <c r="W179" s="329">
        <f>IFERROR(__xludf.DUMMYFUNCTION("""COMPUTED_VALUE"""),33.0)</f>
        <v>33</v>
      </c>
      <c r="X179" s="329">
        <f>IFERROR(__xludf.DUMMYFUNCTION("""COMPUTED_VALUE"""),20.0)</f>
        <v>20</v>
      </c>
      <c r="Y179" s="329">
        <f>IFERROR(__xludf.DUMMYFUNCTION("""COMPUTED_VALUE"""),5.0)</f>
        <v>5</v>
      </c>
      <c r="Z179" s="329">
        <f>IFERROR(__xludf.DUMMYFUNCTION("""COMPUTED_VALUE"""),2531.0)</f>
        <v>2531</v>
      </c>
      <c r="AA179" s="329">
        <f>IFERROR(__xludf.DUMMYFUNCTION("""COMPUTED_VALUE"""),6627.0)</f>
        <v>6627</v>
      </c>
      <c r="AB179" s="329">
        <f>IFERROR(__xludf.DUMMYFUNCTION("""COMPUTED_VALUE"""),1813.0)</f>
        <v>1813</v>
      </c>
      <c r="AC179" s="329">
        <f>IFERROR(__xludf.DUMMYFUNCTION("""COMPUTED_VALUE"""),8440.0)</f>
        <v>8440</v>
      </c>
      <c r="AD179" s="329">
        <f>IFERROR(__xludf.DUMMYFUNCTION("""COMPUTED_VALUE"""),232984.0)</f>
        <v>232984</v>
      </c>
      <c r="AE179" s="329">
        <f>IFERROR(__xludf.DUMMYFUNCTION("""COMPUTED_VALUE"""),6627.0)</f>
        <v>6627</v>
      </c>
      <c r="AF179" s="329">
        <f>IFERROR(__xludf.DUMMYFUNCTION("""COMPUTED_VALUE"""),164816.0)</f>
        <v>164816</v>
      </c>
      <c r="AG179" s="329">
        <f>IFERROR(__xludf.DUMMYFUNCTION("""COMPUTED_VALUE"""),1813.0)</f>
        <v>1813</v>
      </c>
      <c r="AH179" s="329">
        <f>IFERROR(__xludf.DUMMYFUNCTION("""COMPUTED_VALUE"""),68169.0)</f>
        <v>68169</v>
      </c>
    </row>
    <row r="180">
      <c r="A180" s="328">
        <f>IFERROR(__xludf.DUMMYFUNCTION("""COMPUTED_VALUE"""),44252.0)</f>
        <v>44252</v>
      </c>
      <c r="B180" s="329">
        <f>IFERROR(__xludf.DUMMYFUNCTION("""COMPUTED_VALUE"""),526.0)</f>
        <v>526</v>
      </c>
      <c r="C180" s="329">
        <f>IFERROR(__xludf.DUMMYFUNCTION("""COMPUTED_VALUE"""),501.0)</f>
        <v>501</v>
      </c>
      <c r="D180" s="329">
        <f>IFERROR(__xludf.DUMMYFUNCTION("""COMPUTED_VALUE"""),149794.0)</f>
        <v>149794</v>
      </c>
      <c r="E180" s="329">
        <f>IFERROR(__xludf.DUMMYFUNCTION("""COMPUTED_VALUE"""),20984.0)</f>
        <v>20984</v>
      </c>
      <c r="F180" s="329">
        <f>IFERROR(__xludf.DUMMYFUNCTION("""COMPUTED_VALUE"""),2822835.0)</f>
        <v>2822835</v>
      </c>
      <c r="G180" s="329">
        <f>IFERROR(__xludf.DUMMYFUNCTION("""COMPUTED_VALUE"""),21510.0)</f>
        <v>21510</v>
      </c>
      <c r="H180" s="329">
        <f>IFERROR(__xludf.DUMMYFUNCTION("""COMPUTED_VALUE"""),2972629.0)</f>
        <v>2972629</v>
      </c>
      <c r="I180" s="329">
        <f>IFERROR(__xludf.DUMMYFUNCTION("""COMPUTED_VALUE"""),462.0)</f>
        <v>462</v>
      </c>
      <c r="J180" s="329">
        <f>IFERROR(__xludf.DUMMYFUNCTION("""COMPUTED_VALUE"""),444.0)</f>
        <v>444</v>
      </c>
      <c r="K180" s="329">
        <f>IFERROR(__xludf.DUMMYFUNCTION("""COMPUTED_VALUE"""),125921.0)</f>
        <v>125921</v>
      </c>
      <c r="L180" s="329">
        <f>IFERROR(__xludf.DUMMYFUNCTION("""COMPUTED_VALUE"""),1925.0)</f>
        <v>1925</v>
      </c>
      <c r="M180" s="329">
        <f>IFERROR(__xludf.DUMMYFUNCTION("""COMPUTED_VALUE"""),661791.0)</f>
        <v>661791</v>
      </c>
      <c r="N180" s="329">
        <f>IFERROR(__xludf.DUMMYFUNCTION("""COMPUTED_VALUE"""),787712.0)</f>
        <v>787712</v>
      </c>
      <c r="O180" s="329">
        <f>IFERROR(__xludf.DUMMYFUNCTION("""COMPUTED_VALUE"""),19.0)</f>
        <v>19</v>
      </c>
      <c r="P180" s="329">
        <f>IFERROR(__xludf.DUMMYFUNCTION("""COMPUTED_VALUE"""),8939.0)</f>
        <v>8939</v>
      </c>
      <c r="Q180" s="329">
        <f>IFERROR(__xludf.DUMMYFUNCTION("""COMPUTED_VALUE"""),20.0)</f>
        <v>20</v>
      </c>
      <c r="R180" s="329">
        <f>IFERROR(__xludf.DUMMYFUNCTION("""COMPUTED_VALUE"""),7757.0)</f>
        <v>7757</v>
      </c>
      <c r="S180" s="329">
        <f>IFERROR(__xludf.DUMMYFUNCTION("""COMPUTED_VALUE"""),3.0)</f>
        <v>3</v>
      </c>
      <c r="T180" s="329">
        <f>IFERROR(__xludf.DUMMYFUNCTION("""COMPUTED_VALUE"""),1004.0)</f>
        <v>1004</v>
      </c>
      <c r="U180" s="329">
        <f>IFERROR(__xludf.DUMMYFUNCTION("""COMPUTED_VALUE"""),178.0)</f>
        <v>178</v>
      </c>
      <c r="V180" s="329">
        <f>IFERROR(__xludf.DUMMYFUNCTION("""COMPUTED_VALUE"""),179.0)</f>
        <v>179</v>
      </c>
      <c r="W180" s="329">
        <f>IFERROR(__xludf.DUMMYFUNCTION("""COMPUTED_VALUE"""),30.0)</f>
        <v>30</v>
      </c>
      <c r="X180" s="329">
        <f>IFERROR(__xludf.DUMMYFUNCTION("""COMPUTED_VALUE"""),20.0)</f>
        <v>20</v>
      </c>
      <c r="Y180" s="329">
        <f>IFERROR(__xludf.DUMMYFUNCTION("""COMPUTED_VALUE"""),5.0)</f>
        <v>5</v>
      </c>
      <c r="Z180" s="329">
        <f>IFERROR(__xludf.DUMMYFUNCTION("""COMPUTED_VALUE"""),2536.0)</f>
        <v>2536</v>
      </c>
      <c r="AA180" s="329">
        <f>IFERROR(__xludf.DUMMYFUNCTION("""COMPUTED_VALUE"""),8696.0)</f>
        <v>8696</v>
      </c>
      <c r="AB180" s="329">
        <f>IFERROR(__xludf.DUMMYFUNCTION("""COMPUTED_VALUE"""),2971.0)</f>
        <v>2971</v>
      </c>
      <c r="AC180" s="329">
        <f>IFERROR(__xludf.DUMMYFUNCTION("""COMPUTED_VALUE"""),11667.0)</f>
        <v>11667</v>
      </c>
      <c r="AD180" s="329">
        <f>IFERROR(__xludf.DUMMYFUNCTION("""COMPUTED_VALUE"""),244651.0)</f>
        <v>244651</v>
      </c>
      <c r="AE180" s="329">
        <f>IFERROR(__xludf.DUMMYFUNCTION("""COMPUTED_VALUE"""),8696.0)</f>
        <v>8696</v>
      </c>
      <c r="AF180" s="329">
        <f>IFERROR(__xludf.DUMMYFUNCTION("""COMPUTED_VALUE"""),173512.0)</f>
        <v>173512</v>
      </c>
      <c r="AG180" s="329">
        <f>IFERROR(__xludf.DUMMYFUNCTION("""COMPUTED_VALUE"""),2971.0)</f>
        <v>2971</v>
      </c>
      <c r="AH180" s="329">
        <f>IFERROR(__xludf.DUMMYFUNCTION("""COMPUTED_VALUE"""),71140.0)</f>
        <v>71140</v>
      </c>
    </row>
    <row r="181">
      <c r="A181" s="328">
        <f>IFERROR(__xludf.DUMMYFUNCTION("""COMPUTED_VALUE"""),44253.0)</f>
        <v>44253</v>
      </c>
      <c r="B181" s="329">
        <f>IFERROR(__xludf.DUMMYFUNCTION("""COMPUTED_VALUE"""),433.0)</f>
        <v>433</v>
      </c>
      <c r="C181" s="329">
        <f>IFERROR(__xludf.DUMMYFUNCTION("""COMPUTED_VALUE"""),483.0)</f>
        <v>483</v>
      </c>
      <c r="D181" s="329">
        <f>IFERROR(__xludf.DUMMYFUNCTION("""COMPUTED_VALUE"""),150227.0)</f>
        <v>150227</v>
      </c>
      <c r="E181" s="329">
        <f>IFERROR(__xludf.DUMMYFUNCTION("""COMPUTED_VALUE"""),18584.0)</f>
        <v>18584</v>
      </c>
      <c r="F181" s="329">
        <f>IFERROR(__xludf.DUMMYFUNCTION("""COMPUTED_VALUE"""),2841419.0)</f>
        <v>2841419</v>
      </c>
      <c r="G181" s="329">
        <f>IFERROR(__xludf.DUMMYFUNCTION("""COMPUTED_VALUE"""),19017.0)</f>
        <v>19017</v>
      </c>
      <c r="H181" s="329">
        <f>IFERROR(__xludf.DUMMYFUNCTION("""COMPUTED_VALUE"""),2991646.0)</f>
        <v>2991646</v>
      </c>
      <c r="I181" s="329">
        <f>IFERROR(__xludf.DUMMYFUNCTION("""COMPUTED_VALUE"""),376.0)</f>
        <v>376</v>
      </c>
      <c r="J181" s="329">
        <f>IFERROR(__xludf.DUMMYFUNCTION("""COMPUTED_VALUE"""),422.0)</f>
        <v>422</v>
      </c>
      <c r="K181" s="329">
        <f>IFERROR(__xludf.DUMMYFUNCTION("""COMPUTED_VALUE"""),126297.0)</f>
        <v>126297</v>
      </c>
      <c r="L181" s="329">
        <f>IFERROR(__xludf.DUMMYFUNCTION("""COMPUTED_VALUE"""),1588.0)</f>
        <v>1588</v>
      </c>
      <c r="M181" s="329">
        <f>IFERROR(__xludf.DUMMYFUNCTION("""COMPUTED_VALUE"""),663379.0)</f>
        <v>663379</v>
      </c>
      <c r="N181" s="329">
        <f>IFERROR(__xludf.DUMMYFUNCTION("""COMPUTED_VALUE"""),789676.0)</f>
        <v>789676</v>
      </c>
      <c r="O181" s="329">
        <f>IFERROR(__xludf.DUMMYFUNCTION("""COMPUTED_VALUE"""),25.0)</f>
        <v>25</v>
      </c>
      <c r="P181" s="329">
        <f>IFERROR(__xludf.DUMMYFUNCTION("""COMPUTED_VALUE"""),8964.0)</f>
        <v>8964</v>
      </c>
      <c r="Q181" s="329">
        <f>IFERROR(__xludf.DUMMYFUNCTION("""COMPUTED_VALUE"""),24.0)</f>
        <v>24</v>
      </c>
      <c r="R181" s="329">
        <f>IFERROR(__xludf.DUMMYFUNCTION("""COMPUTED_VALUE"""),7781.0)</f>
        <v>7781</v>
      </c>
      <c r="S181" s="329">
        <f>IFERROR(__xludf.DUMMYFUNCTION("""COMPUTED_VALUE"""),1.0)</f>
        <v>1</v>
      </c>
      <c r="T181" s="329">
        <f>IFERROR(__xludf.DUMMYFUNCTION("""COMPUTED_VALUE"""),1005.0)</f>
        <v>1005</v>
      </c>
      <c r="U181" s="329">
        <f>IFERROR(__xludf.DUMMYFUNCTION("""COMPUTED_VALUE"""),178.0)</f>
        <v>178</v>
      </c>
      <c r="V181" s="329">
        <f>IFERROR(__xludf.DUMMYFUNCTION("""COMPUTED_VALUE"""),179.0)</f>
        <v>179</v>
      </c>
      <c r="W181" s="329">
        <f>IFERROR(__xludf.DUMMYFUNCTION("""COMPUTED_VALUE"""),29.0)</f>
        <v>29</v>
      </c>
      <c r="X181" s="329">
        <f>IFERROR(__xludf.DUMMYFUNCTION("""COMPUTED_VALUE"""),21.0)</f>
        <v>21</v>
      </c>
      <c r="Y181" s="329">
        <f>IFERROR(__xludf.DUMMYFUNCTION("""COMPUTED_VALUE"""),0.0)</f>
        <v>0</v>
      </c>
      <c r="Z181" s="329">
        <f>IFERROR(__xludf.DUMMYFUNCTION("""COMPUTED_VALUE"""),2536.0)</f>
        <v>2536</v>
      </c>
      <c r="AA181" s="329">
        <f>IFERROR(__xludf.DUMMYFUNCTION("""COMPUTED_VALUE"""),8407.0)</f>
        <v>8407</v>
      </c>
      <c r="AB181" s="329">
        <f>IFERROR(__xludf.DUMMYFUNCTION("""COMPUTED_VALUE"""),2636.0)</f>
        <v>2636</v>
      </c>
      <c r="AC181" s="329">
        <f>IFERROR(__xludf.DUMMYFUNCTION("""COMPUTED_VALUE"""),11043.0)</f>
        <v>11043</v>
      </c>
      <c r="AD181" s="329">
        <f>IFERROR(__xludf.DUMMYFUNCTION("""COMPUTED_VALUE"""),255694.0)</f>
        <v>255694</v>
      </c>
      <c r="AE181" s="329">
        <f>IFERROR(__xludf.DUMMYFUNCTION("""COMPUTED_VALUE"""),8407.0)</f>
        <v>8407</v>
      </c>
      <c r="AF181" s="329">
        <f>IFERROR(__xludf.DUMMYFUNCTION("""COMPUTED_VALUE"""),181919.0)</f>
        <v>181919</v>
      </c>
      <c r="AG181" s="329">
        <f>IFERROR(__xludf.DUMMYFUNCTION("""COMPUTED_VALUE"""),2636.0)</f>
        <v>2636</v>
      </c>
      <c r="AH181" s="329">
        <f>IFERROR(__xludf.DUMMYFUNCTION("""COMPUTED_VALUE"""),73776.0)</f>
        <v>73776</v>
      </c>
    </row>
    <row r="182">
      <c r="A182" s="328">
        <f>IFERROR(__xludf.DUMMYFUNCTION("""COMPUTED_VALUE"""),44254.0)</f>
        <v>44254</v>
      </c>
      <c r="B182" s="329">
        <f>IFERROR(__xludf.DUMMYFUNCTION("""COMPUTED_VALUE"""),384.0)</f>
        <v>384</v>
      </c>
      <c r="C182" s="329">
        <f>IFERROR(__xludf.DUMMYFUNCTION("""COMPUTED_VALUE"""),448.0)</f>
        <v>448</v>
      </c>
      <c r="D182" s="329">
        <f>IFERROR(__xludf.DUMMYFUNCTION("""COMPUTED_VALUE"""),150611.0)</f>
        <v>150611</v>
      </c>
      <c r="E182" s="329">
        <f>IFERROR(__xludf.DUMMYFUNCTION("""COMPUTED_VALUE"""),14920.0)</f>
        <v>14920</v>
      </c>
      <c r="F182" s="329">
        <f>IFERROR(__xludf.DUMMYFUNCTION("""COMPUTED_VALUE"""),2856339.0)</f>
        <v>2856339</v>
      </c>
      <c r="G182" s="329">
        <f>IFERROR(__xludf.DUMMYFUNCTION("""COMPUTED_VALUE"""),15304.0)</f>
        <v>15304</v>
      </c>
      <c r="H182" s="329">
        <f>IFERROR(__xludf.DUMMYFUNCTION("""COMPUTED_VALUE"""),3006950.0)</f>
        <v>3006950</v>
      </c>
      <c r="I182" s="329">
        <f>IFERROR(__xludf.DUMMYFUNCTION("""COMPUTED_VALUE"""),355.0)</f>
        <v>355</v>
      </c>
      <c r="J182" s="329">
        <f>IFERROR(__xludf.DUMMYFUNCTION("""COMPUTED_VALUE"""),398.0)</f>
        <v>398</v>
      </c>
      <c r="K182" s="329">
        <f>IFERROR(__xludf.DUMMYFUNCTION("""COMPUTED_VALUE"""),126652.0)</f>
        <v>126652</v>
      </c>
      <c r="L182" s="329">
        <f>IFERROR(__xludf.DUMMYFUNCTION("""COMPUTED_VALUE"""),1635.0)</f>
        <v>1635</v>
      </c>
      <c r="M182" s="329">
        <f>IFERROR(__xludf.DUMMYFUNCTION("""COMPUTED_VALUE"""),665014.0)</f>
        <v>665014</v>
      </c>
      <c r="N182" s="329">
        <f>IFERROR(__xludf.DUMMYFUNCTION("""COMPUTED_VALUE"""),791666.0)</f>
        <v>791666</v>
      </c>
      <c r="O182" s="329">
        <f>IFERROR(__xludf.DUMMYFUNCTION("""COMPUTED_VALUE"""),14.0)</f>
        <v>14</v>
      </c>
      <c r="P182" s="329">
        <f>IFERROR(__xludf.DUMMYFUNCTION("""COMPUTED_VALUE"""),8978.0)</f>
        <v>8978</v>
      </c>
      <c r="Q182" s="329">
        <f>IFERROR(__xludf.DUMMYFUNCTION("""COMPUTED_VALUE"""),13.0)</f>
        <v>13</v>
      </c>
      <c r="R182" s="329">
        <f>IFERROR(__xludf.DUMMYFUNCTION("""COMPUTED_VALUE"""),7794.0)</f>
        <v>7794</v>
      </c>
      <c r="S182" s="329">
        <f>IFERROR(__xludf.DUMMYFUNCTION("""COMPUTED_VALUE"""),1.0)</f>
        <v>1</v>
      </c>
      <c r="T182" s="329">
        <f>IFERROR(__xludf.DUMMYFUNCTION("""COMPUTED_VALUE"""),1006.0)</f>
        <v>1006</v>
      </c>
      <c r="U182" s="329">
        <f>IFERROR(__xludf.DUMMYFUNCTION("""COMPUTED_VALUE"""),178.0)</f>
        <v>178</v>
      </c>
      <c r="V182" s="329">
        <f>IFERROR(__xludf.DUMMYFUNCTION("""COMPUTED_VALUE"""),178.0)</f>
        <v>178</v>
      </c>
      <c r="W182" s="329">
        <f>IFERROR(__xludf.DUMMYFUNCTION("""COMPUTED_VALUE"""),29.0)</f>
        <v>29</v>
      </c>
      <c r="X182" s="329">
        <f>IFERROR(__xludf.DUMMYFUNCTION("""COMPUTED_VALUE"""),21.0)</f>
        <v>21</v>
      </c>
      <c r="Y182" s="329">
        <f>IFERROR(__xludf.DUMMYFUNCTION("""COMPUTED_VALUE"""),4.0)</f>
        <v>4</v>
      </c>
      <c r="Z182" s="329">
        <f>IFERROR(__xludf.DUMMYFUNCTION("""COMPUTED_VALUE"""),2540.0)</f>
        <v>2540</v>
      </c>
      <c r="AA182" s="329">
        <f>IFERROR(__xludf.DUMMYFUNCTION("""COMPUTED_VALUE"""),8507.0)</f>
        <v>8507</v>
      </c>
      <c r="AB182" s="329">
        <f>IFERROR(__xludf.DUMMYFUNCTION("""COMPUTED_VALUE"""),3725.0)</f>
        <v>3725</v>
      </c>
      <c r="AC182" s="329">
        <f>IFERROR(__xludf.DUMMYFUNCTION("""COMPUTED_VALUE"""),12232.0)</f>
        <v>12232</v>
      </c>
      <c r="AD182" s="329">
        <f>IFERROR(__xludf.DUMMYFUNCTION("""COMPUTED_VALUE"""),267926.0)</f>
        <v>267926</v>
      </c>
      <c r="AE182" s="329">
        <f>IFERROR(__xludf.DUMMYFUNCTION("""COMPUTED_VALUE"""),8507.0)</f>
        <v>8507</v>
      </c>
      <c r="AF182" s="329">
        <f>IFERROR(__xludf.DUMMYFUNCTION("""COMPUTED_VALUE"""),190426.0)</f>
        <v>190426</v>
      </c>
      <c r="AG182" s="329">
        <f>IFERROR(__xludf.DUMMYFUNCTION("""COMPUTED_VALUE"""),3725.0)</f>
        <v>3725</v>
      </c>
      <c r="AH182" s="329">
        <f>IFERROR(__xludf.DUMMYFUNCTION("""COMPUTED_VALUE"""),77501.0)</f>
        <v>77501</v>
      </c>
    </row>
    <row r="183">
      <c r="A183" s="328">
        <f>IFERROR(__xludf.DUMMYFUNCTION("""COMPUTED_VALUE"""),44255.0)</f>
        <v>44255</v>
      </c>
      <c r="B183" s="329">
        <f>IFERROR(__xludf.DUMMYFUNCTION("""COMPUTED_VALUE"""),193.0)</f>
        <v>193</v>
      </c>
      <c r="C183" s="329">
        <f>IFERROR(__xludf.DUMMYFUNCTION("""COMPUTED_VALUE"""),337.0)</f>
        <v>337</v>
      </c>
      <c r="D183" s="329">
        <f>IFERROR(__xludf.DUMMYFUNCTION("""COMPUTED_VALUE"""),150804.0)</f>
        <v>150804</v>
      </c>
      <c r="E183" s="329">
        <f>IFERROR(__xludf.DUMMYFUNCTION("""COMPUTED_VALUE"""),6184.0)</f>
        <v>6184</v>
      </c>
      <c r="F183" s="329">
        <f>IFERROR(__xludf.DUMMYFUNCTION("""COMPUTED_VALUE"""),2862523.0)</f>
        <v>2862523</v>
      </c>
      <c r="G183" s="329">
        <f>IFERROR(__xludf.DUMMYFUNCTION("""COMPUTED_VALUE"""),6377.0)</f>
        <v>6377</v>
      </c>
      <c r="H183" s="329">
        <f>IFERROR(__xludf.DUMMYFUNCTION("""COMPUTED_VALUE"""),3013327.0)</f>
        <v>3013327</v>
      </c>
      <c r="I183" s="329">
        <f>IFERROR(__xludf.DUMMYFUNCTION("""COMPUTED_VALUE"""),173.0)</f>
        <v>173</v>
      </c>
      <c r="J183" s="329">
        <f>IFERROR(__xludf.DUMMYFUNCTION("""COMPUTED_VALUE"""),301.0)</f>
        <v>301</v>
      </c>
      <c r="K183" s="329">
        <f>IFERROR(__xludf.DUMMYFUNCTION("""COMPUTED_VALUE"""),126825.0)</f>
        <v>126825</v>
      </c>
      <c r="L183" s="329">
        <f>IFERROR(__xludf.DUMMYFUNCTION("""COMPUTED_VALUE"""),726.0)</f>
        <v>726</v>
      </c>
      <c r="M183" s="329">
        <f>IFERROR(__xludf.DUMMYFUNCTION("""COMPUTED_VALUE"""),665740.0)</f>
        <v>665740</v>
      </c>
      <c r="N183" s="329">
        <f>IFERROR(__xludf.DUMMYFUNCTION("""COMPUTED_VALUE"""),792565.0)</f>
        <v>792565</v>
      </c>
      <c r="O183" s="329">
        <f>IFERROR(__xludf.DUMMYFUNCTION("""COMPUTED_VALUE"""),8.0)</f>
        <v>8</v>
      </c>
      <c r="P183" s="329">
        <f>IFERROR(__xludf.DUMMYFUNCTION("""COMPUTED_VALUE"""),8986.0)</f>
        <v>8986</v>
      </c>
      <c r="Q183" s="329">
        <f>IFERROR(__xludf.DUMMYFUNCTION("""COMPUTED_VALUE"""),9.0)</f>
        <v>9</v>
      </c>
      <c r="R183" s="329">
        <f>IFERROR(__xludf.DUMMYFUNCTION("""COMPUTED_VALUE"""),7803.0)</f>
        <v>7803</v>
      </c>
      <c r="S183" s="329">
        <f>IFERROR(__xludf.DUMMYFUNCTION("""COMPUTED_VALUE"""),2.0)</f>
        <v>2</v>
      </c>
      <c r="T183" s="329">
        <f>IFERROR(__xludf.DUMMYFUNCTION("""COMPUTED_VALUE"""),1008.0)</f>
        <v>1008</v>
      </c>
      <c r="U183" s="329">
        <f>IFERROR(__xludf.DUMMYFUNCTION("""COMPUTED_VALUE"""),175.0)</f>
        <v>175</v>
      </c>
      <c r="V183" s="329">
        <f>IFERROR(__xludf.DUMMYFUNCTION("""COMPUTED_VALUE"""),177.0)</f>
        <v>177</v>
      </c>
      <c r="W183" s="329">
        <f>IFERROR(__xludf.DUMMYFUNCTION("""COMPUTED_VALUE"""),27.0)</f>
        <v>27</v>
      </c>
      <c r="X183" s="329">
        <f>IFERROR(__xludf.DUMMYFUNCTION("""COMPUTED_VALUE"""),19.0)</f>
        <v>19</v>
      </c>
      <c r="Y183" s="329">
        <f>IFERROR(__xludf.DUMMYFUNCTION("""COMPUTED_VALUE"""),3.0)</f>
        <v>3</v>
      </c>
      <c r="Z183" s="329">
        <f>IFERROR(__xludf.DUMMYFUNCTION("""COMPUTED_VALUE"""),2543.0)</f>
        <v>2543</v>
      </c>
      <c r="AA183" s="329">
        <f>IFERROR(__xludf.DUMMYFUNCTION("""COMPUTED_VALUE"""),2501.0)</f>
        <v>2501</v>
      </c>
      <c r="AB183" s="329">
        <f>IFERROR(__xludf.DUMMYFUNCTION("""COMPUTED_VALUE"""),1338.0)</f>
        <v>1338</v>
      </c>
      <c r="AC183" s="329">
        <f>IFERROR(__xludf.DUMMYFUNCTION("""COMPUTED_VALUE"""),3839.0)</f>
        <v>3839</v>
      </c>
      <c r="AD183" s="329">
        <f>IFERROR(__xludf.DUMMYFUNCTION("""COMPUTED_VALUE"""),271765.0)</f>
        <v>271765</v>
      </c>
      <c r="AE183" s="329">
        <f>IFERROR(__xludf.DUMMYFUNCTION("""COMPUTED_VALUE"""),2501.0)</f>
        <v>2501</v>
      </c>
      <c r="AF183" s="329">
        <f>IFERROR(__xludf.DUMMYFUNCTION("""COMPUTED_VALUE"""),192927.0)</f>
        <v>192927</v>
      </c>
      <c r="AG183" s="329">
        <f>IFERROR(__xludf.DUMMYFUNCTION("""COMPUTED_VALUE"""),1338.0)</f>
        <v>1338</v>
      </c>
      <c r="AH183" s="329">
        <f>IFERROR(__xludf.DUMMYFUNCTION("""COMPUTED_VALUE"""),78839.0)</f>
        <v>78839</v>
      </c>
    </row>
    <row r="184">
      <c r="A184" s="328">
        <f>IFERROR(__xludf.DUMMYFUNCTION("""COMPUTED_VALUE"""),44256.0)</f>
        <v>44256</v>
      </c>
      <c r="B184" s="329">
        <f>IFERROR(__xludf.DUMMYFUNCTION("""COMPUTED_VALUE"""),360.0)</f>
        <v>360</v>
      </c>
      <c r="C184" s="329">
        <f>IFERROR(__xludf.DUMMYFUNCTION("""COMPUTED_VALUE"""),312.0)</f>
        <v>312</v>
      </c>
      <c r="D184" s="329">
        <f>IFERROR(__xludf.DUMMYFUNCTION("""COMPUTED_VALUE"""),151164.0)</f>
        <v>151164</v>
      </c>
      <c r="E184" s="329">
        <f>IFERROR(__xludf.DUMMYFUNCTION("""COMPUTED_VALUE"""),11380.0)</f>
        <v>11380</v>
      </c>
      <c r="F184" s="329">
        <f>IFERROR(__xludf.DUMMYFUNCTION("""COMPUTED_VALUE"""),2873903.0)</f>
        <v>2873903</v>
      </c>
      <c r="G184" s="329">
        <f>IFERROR(__xludf.DUMMYFUNCTION("""COMPUTED_VALUE"""),11740.0)</f>
        <v>11740</v>
      </c>
      <c r="H184" s="329">
        <f>IFERROR(__xludf.DUMMYFUNCTION("""COMPUTED_VALUE"""),3025067.0)</f>
        <v>3025067</v>
      </c>
      <c r="I184" s="329">
        <f>IFERROR(__xludf.DUMMYFUNCTION("""COMPUTED_VALUE"""),323.0)</f>
        <v>323</v>
      </c>
      <c r="J184" s="329">
        <f>IFERROR(__xludf.DUMMYFUNCTION("""COMPUTED_VALUE"""),284.0)</f>
        <v>284</v>
      </c>
      <c r="K184" s="329">
        <f>IFERROR(__xludf.DUMMYFUNCTION("""COMPUTED_VALUE"""),127148.0)</f>
        <v>127148</v>
      </c>
      <c r="L184" s="329">
        <f>IFERROR(__xludf.DUMMYFUNCTION("""COMPUTED_VALUE"""),1385.0)</f>
        <v>1385</v>
      </c>
      <c r="M184" s="329">
        <f>IFERROR(__xludf.DUMMYFUNCTION("""COMPUTED_VALUE"""),667125.0)</f>
        <v>667125</v>
      </c>
      <c r="N184" s="329">
        <f>IFERROR(__xludf.DUMMYFUNCTION("""COMPUTED_VALUE"""),794273.0)</f>
        <v>794273</v>
      </c>
      <c r="O184" s="329">
        <f>IFERROR(__xludf.DUMMYFUNCTION("""COMPUTED_VALUE"""),15.0)</f>
        <v>15</v>
      </c>
      <c r="P184" s="329">
        <f>IFERROR(__xludf.DUMMYFUNCTION("""COMPUTED_VALUE"""),9001.0)</f>
        <v>9001</v>
      </c>
      <c r="Q184" s="329">
        <f>IFERROR(__xludf.DUMMYFUNCTION("""COMPUTED_VALUE"""),21.0)</f>
        <v>21</v>
      </c>
      <c r="R184" s="329">
        <f>IFERROR(__xludf.DUMMYFUNCTION("""COMPUTED_VALUE"""),7824.0)</f>
        <v>7824</v>
      </c>
      <c r="S184" s="329">
        <f>IFERROR(__xludf.DUMMYFUNCTION("""COMPUTED_VALUE"""),4.0)</f>
        <v>4</v>
      </c>
      <c r="T184" s="329">
        <f>IFERROR(__xludf.DUMMYFUNCTION("""COMPUTED_VALUE"""),1012.0)</f>
        <v>1012</v>
      </c>
      <c r="U184" s="329">
        <f>IFERROR(__xludf.DUMMYFUNCTION("""COMPUTED_VALUE"""),165.0)</f>
        <v>165</v>
      </c>
      <c r="V184" s="329">
        <f>IFERROR(__xludf.DUMMYFUNCTION("""COMPUTED_VALUE"""),173.0)</f>
        <v>173</v>
      </c>
      <c r="W184" s="329">
        <f>IFERROR(__xludf.DUMMYFUNCTION("""COMPUTED_VALUE"""),26.0)</f>
        <v>26</v>
      </c>
      <c r="X184" s="329">
        <f>IFERROR(__xludf.DUMMYFUNCTION("""COMPUTED_VALUE"""),17.0)</f>
        <v>17</v>
      </c>
      <c r="Y184" s="329">
        <f>IFERROR(__xludf.DUMMYFUNCTION("""COMPUTED_VALUE"""),6.0)</f>
        <v>6</v>
      </c>
      <c r="Z184" s="329">
        <f>IFERROR(__xludf.DUMMYFUNCTION("""COMPUTED_VALUE"""),2549.0)</f>
        <v>2549</v>
      </c>
      <c r="AA184" s="329">
        <f>IFERROR(__xludf.DUMMYFUNCTION("""COMPUTED_VALUE"""),4802.0)</f>
        <v>4802</v>
      </c>
      <c r="AB184" s="329">
        <f>IFERROR(__xludf.DUMMYFUNCTION("""COMPUTED_VALUE"""),1484.0)</f>
        <v>1484</v>
      </c>
      <c r="AC184" s="329">
        <f>IFERROR(__xludf.DUMMYFUNCTION("""COMPUTED_VALUE"""),6286.0)</f>
        <v>6286</v>
      </c>
      <c r="AD184" s="329">
        <f>IFERROR(__xludf.DUMMYFUNCTION("""COMPUTED_VALUE"""),278051.0)</f>
        <v>278051</v>
      </c>
      <c r="AE184" s="329">
        <f>IFERROR(__xludf.DUMMYFUNCTION("""COMPUTED_VALUE"""),4802.0)</f>
        <v>4802</v>
      </c>
      <c r="AF184" s="329">
        <f>IFERROR(__xludf.DUMMYFUNCTION("""COMPUTED_VALUE"""),197729.0)</f>
        <v>197729</v>
      </c>
      <c r="AG184" s="329">
        <f>IFERROR(__xludf.DUMMYFUNCTION("""COMPUTED_VALUE"""),1484.0)</f>
        <v>1484</v>
      </c>
      <c r="AH184" s="329">
        <f>IFERROR(__xludf.DUMMYFUNCTION("""COMPUTED_VALUE"""),80323.0)</f>
        <v>80323</v>
      </c>
    </row>
    <row r="185">
      <c r="A185" s="328">
        <f>IFERROR(__xludf.DUMMYFUNCTION("""COMPUTED_VALUE"""),44257.0)</f>
        <v>44257</v>
      </c>
      <c r="B185" s="329">
        <f>IFERROR(__xludf.DUMMYFUNCTION("""COMPUTED_VALUE"""),481.0)</f>
        <v>481</v>
      </c>
      <c r="C185" s="329">
        <f>IFERROR(__xludf.DUMMYFUNCTION("""COMPUTED_VALUE"""),345.0)</f>
        <v>345</v>
      </c>
      <c r="D185" s="329">
        <f>IFERROR(__xludf.DUMMYFUNCTION("""COMPUTED_VALUE"""),151645.0)</f>
        <v>151645</v>
      </c>
      <c r="E185" s="329">
        <f>IFERROR(__xludf.DUMMYFUNCTION("""COMPUTED_VALUE"""),20853.0)</f>
        <v>20853</v>
      </c>
      <c r="F185" s="329">
        <f>IFERROR(__xludf.DUMMYFUNCTION("""COMPUTED_VALUE"""),2894756.0)</f>
        <v>2894756</v>
      </c>
      <c r="G185" s="329">
        <f>IFERROR(__xludf.DUMMYFUNCTION("""COMPUTED_VALUE"""),21334.0)</f>
        <v>21334</v>
      </c>
      <c r="H185" s="329">
        <f>IFERROR(__xludf.DUMMYFUNCTION("""COMPUTED_VALUE"""),3046401.0)</f>
        <v>3046401</v>
      </c>
      <c r="I185" s="329">
        <f>IFERROR(__xludf.DUMMYFUNCTION("""COMPUTED_VALUE"""),429.0)</f>
        <v>429</v>
      </c>
      <c r="J185" s="329">
        <f>IFERROR(__xludf.DUMMYFUNCTION("""COMPUTED_VALUE"""),308.0)</f>
        <v>308</v>
      </c>
      <c r="K185" s="329">
        <f>IFERROR(__xludf.DUMMYFUNCTION("""COMPUTED_VALUE"""),127577.0)</f>
        <v>127577</v>
      </c>
      <c r="L185" s="329">
        <f>IFERROR(__xludf.DUMMYFUNCTION("""COMPUTED_VALUE"""),1705.0)</f>
        <v>1705</v>
      </c>
      <c r="M185" s="329">
        <f>IFERROR(__xludf.DUMMYFUNCTION("""COMPUTED_VALUE"""),668830.0)</f>
        <v>668830</v>
      </c>
      <c r="N185" s="329">
        <f>IFERROR(__xludf.DUMMYFUNCTION("""COMPUTED_VALUE"""),796407.0)</f>
        <v>796407</v>
      </c>
      <c r="O185" s="329">
        <f>IFERROR(__xludf.DUMMYFUNCTION("""COMPUTED_VALUE"""),23.0)</f>
        <v>23</v>
      </c>
      <c r="P185" s="329">
        <f>IFERROR(__xludf.DUMMYFUNCTION("""COMPUTED_VALUE"""),9024.0)</f>
        <v>9024</v>
      </c>
      <c r="Q185" s="329">
        <f>IFERROR(__xludf.DUMMYFUNCTION("""COMPUTED_VALUE"""),23.0)</f>
        <v>23</v>
      </c>
      <c r="R185" s="329">
        <f>IFERROR(__xludf.DUMMYFUNCTION("""COMPUTED_VALUE"""),7847.0)</f>
        <v>7847</v>
      </c>
      <c r="S185" s="329">
        <f>IFERROR(__xludf.DUMMYFUNCTION("""COMPUTED_VALUE"""),0.0)</f>
        <v>0</v>
      </c>
      <c r="T185" s="329">
        <f>IFERROR(__xludf.DUMMYFUNCTION("""COMPUTED_VALUE"""),1012.0)</f>
        <v>1012</v>
      </c>
      <c r="U185" s="329">
        <f>IFERROR(__xludf.DUMMYFUNCTION("""COMPUTED_VALUE"""),165.0)</f>
        <v>165</v>
      </c>
      <c r="V185" s="329">
        <f>IFERROR(__xludf.DUMMYFUNCTION("""COMPUTED_VALUE"""),168.0)</f>
        <v>168</v>
      </c>
      <c r="W185" s="329">
        <f>IFERROR(__xludf.DUMMYFUNCTION("""COMPUTED_VALUE"""),27.0)</f>
        <v>27</v>
      </c>
      <c r="X185" s="329">
        <f>IFERROR(__xludf.DUMMYFUNCTION("""COMPUTED_VALUE"""),18.0)</f>
        <v>18</v>
      </c>
      <c r="Y185" s="329">
        <f>IFERROR(__xludf.DUMMYFUNCTION("""COMPUTED_VALUE"""),0.0)</f>
        <v>0</v>
      </c>
      <c r="Z185" s="329">
        <f>IFERROR(__xludf.DUMMYFUNCTION("""COMPUTED_VALUE"""),2549.0)</f>
        <v>2549</v>
      </c>
      <c r="AA185" s="329">
        <f>IFERROR(__xludf.DUMMYFUNCTION("""COMPUTED_VALUE"""),6210.0)</f>
        <v>6210</v>
      </c>
      <c r="AB185" s="329">
        <f>IFERROR(__xludf.DUMMYFUNCTION("""COMPUTED_VALUE"""),1351.0)</f>
        <v>1351</v>
      </c>
      <c r="AC185" s="329">
        <f>IFERROR(__xludf.DUMMYFUNCTION("""COMPUTED_VALUE"""),7561.0)</f>
        <v>7561</v>
      </c>
      <c r="AD185" s="329">
        <f>IFERROR(__xludf.DUMMYFUNCTION("""COMPUTED_VALUE"""),285612.0)</f>
        <v>285612</v>
      </c>
      <c r="AE185" s="329">
        <f>IFERROR(__xludf.DUMMYFUNCTION("""COMPUTED_VALUE"""),6210.0)</f>
        <v>6210</v>
      </c>
      <c r="AF185" s="329">
        <f>IFERROR(__xludf.DUMMYFUNCTION("""COMPUTED_VALUE"""),203939.0)</f>
        <v>203939</v>
      </c>
      <c r="AG185" s="329">
        <f>IFERROR(__xludf.DUMMYFUNCTION("""COMPUTED_VALUE"""),1351.0)</f>
        <v>1351</v>
      </c>
      <c r="AH185" s="329">
        <f>IFERROR(__xludf.DUMMYFUNCTION("""COMPUTED_VALUE"""),81674.0)</f>
        <v>81674</v>
      </c>
    </row>
    <row r="186">
      <c r="A186" s="328">
        <f>IFERROR(__xludf.DUMMYFUNCTION("""COMPUTED_VALUE"""),44258.0)</f>
        <v>44258</v>
      </c>
      <c r="B186" s="329">
        <f>IFERROR(__xludf.DUMMYFUNCTION("""COMPUTED_VALUE"""),474.0)</f>
        <v>474</v>
      </c>
      <c r="C186" s="329">
        <f>IFERROR(__xludf.DUMMYFUNCTION("""COMPUTED_VALUE"""),438.0)</f>
        <v>438</v>
      </c>
      <c r="D186" s="329">
        <f>IFERROR(__xludf.DUMMYFUNCTION("""COMPUTED_VALUE"""),152119.0)</f>
        <v>152119</v>
      </c>
      <c r="E186" s="329">
        <f>IFERROR(__xludf.DUMMYFUNCTION("""COMPUTED_VALUE"""),24036.0)</f>
        <v>24036</v>
      </c>
      <c r="F186" s="329">
        <f>IFERROR(__xludf.DUMMYFUNCTION("""COMPUTED_VALUE"""),2918792.0)</f>
        <v>2918792</v>
      </c>
      <c r="G186" s="329">
        <f>IFERROR(__xludf.DUMMYFUNCTION("""COMPUTED_VALUE"""),24510.0)</f>
        <v>24510</v>
      </c>
      <c r="H186" s="329">
        <f>IFERROR(__xludf.DUMMYFUNCTION("""COMPUTED_VALUE"""),3070911.0)</f>
        <v>3070911</v>
      </c>
      <c r="I186" s="329">
        <f>IFERROR(__xludf.DUMMYFUNCTION("""COMPUTED_VALUE"""),425.0)</f>
        <v>425</v>
      </c>
      <c r="J186" s="329">
        <f>IFERROR(__xludf.DUMMYFUNCTION("""COMPUTED_VALUE"""),392.0)</f>
        <v>392</v>
      </c>
      <c r="K186" s="329">
        <f>IFERROR(__xludf.DUMMYFUNCTION("""COMPUTED_VALUE"""),128002.0)</f>
        <v>128002</v>
      </c>
      <c r="L186" s="329">
        <f>IFERROR(__xludf.DUMMYFUNCTION("""COMPUTED_VALUE"""),1829.0)</f>
        <v>1829</v>
      </c>
      <c r="M186" s="329">
        <f>IFERROR(__xludf.DUMMYFUNCTION("""COMPUTED_VALUE"""),670659.0)</f>
        <v>670659</v>
      </c>
      <c r="N186" s="329">
        <f>IFERROR(__xludf.DUMMYFUNCTION("""COMPUTED_VALUE"""),798661.0)</f>
        <v>798661</v>
      </c>
      <c r="O186" s="329">
        <f>IFERROR(__xludf.DUMMYFUNCTION("""COMPUTED_VALUE"""),16.0)</f>
        <v>16</v>
      </c>
      <c r="P186" s="329">
        <f>IFERROR(__xludf.DUMMYFUNCTION("""COMPUTED_VALUE"""),9040.0)</f>
        <v>9040</v>
      </c>
      <c r="Q186" s="329">
        <f>IFERROR(__xludf.DUMMYFUNCTION("""COMPUTED_VALUE"""),23.0)</f>
        <v>23</v>
      </c>
      <c r="R186" s="329">
        <f>IFERROR(__xludf.DUMMYFUNCTION("""COMPUTED_VALUE"""),7870.0)</f>
        <v>7870</v>
      </c>
      <c r="S186" s="329">
        <f>IFERROR(__xludf.DUMMYFUNCTION("""COMPUTED_VALUE"""),2.0)</f>
        <v>2</v>
      </c>
      <c r="T186" s="329">
        <f>IFERROR(__xludf.DUMMYFUNCTION("""COMPUTED_VALUE"""),1014.0)</f>
        <v>1014</v>
      </c>
      <c r="U186" s="329">
        <f>IFERROR(__xludf.DUMMYFUNCTION("""COMPUTED_VALUE"""),156.0)</f>
        <v>156</v>
      </c>
      <c r="V186" s="329">
        <f>IFERROR(__xludf.DUMMYFUNCTION("""COMPUTED_VALUE"""),162.0)</f>
        <v>162</v>
      </c>
      <c r="W186" s="329">
        <f>IFERROR(__xludf.DUMMYFUNCTION("""COMPUTED_VALUE"""),28.0)</f>
        <v>28</v>
      </c>
      <c r="X186" s="329">
        <f>IFERROR(__xludf.DUMMYFUNCTION("""COMPUTED_VALUE"""),17.0)</f>
        <v>17</v>
      </c>
      <c r="Y186" s="329">
        <f>IFERROR(__xludf.DUMMYFUNCTION("""COMPUTED_VALUE"""),3.0)</f>
        <v>3</v>
      </c>
      <c r="Z186" s="329">
        <f>IFERROR(__xludf.DUMMYFUNCTION("""COMPUTED_VALUE"""),2552.0)</f>
        <v>2552</v>
      </c>
      <c r="AA186" s="329">
        <f>IFERROR(__xludf.DUMMYFUNCTION("""COMPUTED_VALUE"""),7605.0)</f>
        <v>7605</v>
      </c>
      <c r="AB186" s="329">
        <f>IFERROR(__xludf.DUMMYFUNCTION("""COMPUTED_VALUE"""),3140.0)</f>
        <v>3140</v>
      </c>
      <c r="AC186" s="329">
        <f>IFERROR(__xludf.DUMMYFUNCTION("""COMPUTED_VALUE"""),10745.0)</f>
        <v>10745</v>
      </c>
      <c r="AD186" s="329">
        <f>IFERROR(__xludf.DUMMYFUNCTION("""COMPUTED_VALUE"""),296357.0)</f>
        <v>296357</v>
      </c>
      <c r="AE186" s="329">
        <f>IFERROR(__xludf.DUMMYFUNCTION("""COMPUTED_VALUE"""),7605.0)</f>
        <v>7605</v>
      </c>
      <c r="AF186" s="329">
        <f>IFERROR(__xludf.DUMMYFUNCTION("""COMPUTED_VALUE"""),211544.0)</f>
        <v>211544</v>
      </c>
      <c r="AG186" s="329">
        <f>IFERROR(__xludf.DUMMYFUNCTION("""COMPUTED_VALUE"""),3140.0)</f>
        <v>3140</v>
      </c>
      <c r="AH186" s="329">
        <f>IFERROR(__xludf.DUMMYFUNCTION("""COMPUTED_VALUE"""),84814.0)</f>
        <v>84814</v>
      </c>
    </row>
    <row r="187">
      <c r="A187" s="328">
        <f>IFERROR(__xludf.DUMMYFUNCTION("""COMPUTED_VALUE"""),44259.0)</f>
        <v>44259</v>
      </c>
      <c r="B187" s="329">
        <f>IFERROR(__xludf.DUMMYFUNCTION("""COMPUTED_VALUE"""),429.0)</f>
        <v>429</v>
      </c>
      <c r="C187" s="329">
        <f>IFERROR(__xludf.DUMMYFUNCTION("""COMPUTED_VALUE"""),461.0)</f>
        <v>461</v>
      </c>
      <c r="D187" s="329">
        <f>IFERROR(__xludf.DUMMYFUNCTION("""COMPUTED_VALUE"""),152548.0)</f>
        <v>152548</v>
      </c>
      <c r="E187" s="329">
        <f>IFERROR(__xludf.DUMMYFUNCTION("""COMPUTED_VALUE"""),20739.0)</f>
        <v>20739</v>
      </c>
      <c r="F187" s="329">
        <f>IFERROR(__xludf.DUMMYFUNCTION("""COMPUTED_VALUE"""),2939531.0)</f>
        <v>2939531</v>
      </c>
      <c r="G187" s="329">
        <f>IFERROR(__xludf.DUMMYFUNCTION("""COMPUTED_VALUE"""),21168.0)</f>
        <v>21168</v>
      </c>
      <c r="H187" s="329">
        <f>IFERROR(__xludf.DUMMYFUNCTION("""COMPUTED_VALUE"""),3092079.0)</f>
        <v>3092079</v>
      </c>
      <c r="I187" s="329">
        <f>IFERROR(__xludf.DUMMYFUNCTION("""COMPUTED_VALUE"""),383.0)</f>
        <v>383</v>
      </c>
      <c r="J187" s="329">
        <f>IFERROR(__xludf.DUMMYFUNCTION("""COMPUTED_VALUE"""),412.0)</f>
        <v>412</v>
      </c>
      <c r="K187" s="329">
        <f>IFERROR(__xludf.DUMMYFUNCTION("""COMPUTED_VALUE"""),128385.0)</f>
        <v>128385</v>
      </c>
      <c r="L187" s="329">
        <f>IFERROR(__xludf.DUMMYFUNCTION("""COMPUTED_VALUE"""),1734.0)</f>
        <v>1734</v>
      </c>
      <c r="M187" s="329">
        <f>IFERROR(__xludf.DUMMYFUNCTION("""COMPUTED_VALUE"""),672393.0)</f>
        <v>672393</v>
      </c>
      <c r="N187" s="329">
        <f>IFERROR(__xludf.DUMMYFUNCTION("""COMPUTED_VALUE"""),800778.0)</f>
        <v>800778</v>
      </c>
      <c r="O187" s="329">
        <f>IFERROR(__xludf.DUMMYFUNCTION("""COMPUTED_VALUE"""),21.0)</f>
        <v>21</v>
      </c>
      <c r="P187" s="329">
        <f>IFERROR(__xludf.DUMMYFUNCTION("""COMPUTED_VALUE"""),9061.0)</f>
        <v>9061</v>
      </c>
      <c r="Q187" s="329">
        <f>IFERROR(__xludf.DUMMYFUNCTION("""COMPUTED_VALUE"""),29.0)</f>
        <v>29</v>
      </c>
      <c r="R187" s="329">
        <f>IFERROR(__xludf.DUMMYFUNCTION("""COMPUTED_VALUE"""),7899.0)</f>
        <v>7899</v>
      </c>
      <c r="S187" s="329">
        <f>IFERROR(__xludf.DUMMYFUNCTION("""COMPUTED_VALUE"""),2.0)</f>
        <v>2</v>
      </c>
      <c r="T187" s="329">
        <f>IFERROR(__xludf.DUMMYFUNCTION("""COMPUTED_VALUE"""),1016.0)</f>
        <v>1016</v>
      </c>
      <c r="U187" s="329">
        <f>IFERROR(__xludf.DUMMYFUNCTION("""COMPUTED_VALUE"""),146.0)</f>
        <v>146</v>
      </c>
      <c r="V187" s="329">
        <f>IFERROR(__xludf.DUMMYFUNCTION("""COMPUTED_VALUE"""),156.0)</f>
        <v>156</v>
      </c>
      <c r="W187" s="329">
        <f>IFERROR(__xludf.DUMMYFUNCTION("""COMPUTED_VALUE"""),26.0)</f>
        <v>26</v>
      </c>
      <c r="X187" s="329">
        <f>IFERROR(__xludf.DUMMYFUNCTION("""COMPUTED_VALUE"""),17.0)</f>
        <v>17</v>
      </c>
      <c r="Y187" s="329">
        <f>IFERROR(__xludf.DUMMYFUNCTION("""COMPUTED_VALUE"""),3.0)</f>
        <v>3</v>
      </c>
      <c r="Z187" s="329">
        <f>IFERROR(__xludf.DUMMYFUNCTION("""COMPUTED_VALUE"""),2555.0)</f>
        <v>2555</v>
      </c>
      <c r="AA187" s="329">
        <f>IFERROR(__xludf.DUMMYFUNCTION("""COMPUTED_VALUE"""),6737.0)</f>
        <v>6737</v>
      </c>
      <c r="AB187" s="329">
        <f>IFERROR(__xludf.DUMMYFUNCTION("""COMPUTED_VALUE"""),2816.0)</f>
        <v>2816</v>
      </c>
      <c r="AC187" s="329">
        <f>IFERROR(__xludf.DUMMYFUNCTION("""COMPUTED_VALUE"""),9553.0)</f>
        <v>9553</v>
      </c>
      <c r="AD187" s="329">
        <f>IFERROR(__xludf.DUMMYFUNCTION("""COMPUTED_VALUE"""),305910.0)</f>
        <v>305910</v>
      </c>
      <c r="AE187" s="329">
        <f>IFERROR(__xludf.DUMMYFUNCTION("""COMPUTED_VALUE"""),6737.0)</f>
        <v>6737</v>
      </c>
      <c r="AF187" s="329">
        <f>IFERROR(__xludf.DUMMYFUNCTION("""COMPUTED_VALUE"""),218281.0)</f>
        <v>218281</v>
      </c>
      <c r="AG187" s="329">
        <f>IFERROR(__xludf.DUMMYFUNCTION("""COMPUTED_VALUE"""),2816.0)</f>
        <v>2816</v>
      </c>
      <c r="AH187" s="329">
        <f>IFERROR(__xludf.DUMMYFUNCTION("""COMPUTED_VALUE"""),87630.0)</f>
        <v>87630</v>
      </c>
    </row>
    <row r="188">
      <c r="A188" s="328">
        <f>IFERROR(__xludf.DUMMYFUNCTION("""COMPUTED_VALUE"""),44260.0)</f>
        <v>44260</v>
      </c>
      <c r="B188" s="329">
        <f>IFERROR(__xludf.DUMMYFUNCTION("""COMPUTED_VALUE"""),424.0)</f>
        <v>424</v>
      </c>
      <c r="C188" s="329">
        <f>IFERROR(__xludf.DUMMYFUNCTION("""COMPUTED_VALUE"""),442.0)</f>
        <v>442</v>
      </c>
      <c r="D188" s="329">
        <f>IFERROR(__xludf.DUMMYFUNCTION("""COMPUTED_VALUE"""),152972.0)</f>
        <v>152972</v>
      </c>
      <c r="E188" s="329">
        <f>IFERROR(__xludf.DUMMYFUNCTION("""COMPUTED_VALUE"""),18658.0)</f>
        <v>18658</v>
      </c>
      <c r="F188" s="329">
        <f>IFERROR(__xludf.DUMMYFUNCTION("""COMPUTED_VALUE"""),2958189.0)</f>
        <v>2958189</v>
      </c>
      <c r="G188" s="329">
        <f>IFERROR(__xludf.DUMMYFUNCTION("""COMPUTED_VALUE"""),19082.0)</f>
        <v>19082</v>
      </c>
      <c r="H188" s="329">
        <f>IFERROR(__xludf.DUMMYFUNCTION("""COMPUTED_VALUE"""),3111161.0)</f>
        <v>3111161</v>
      </c>
      <c r="I188" s="329">
        <f>IFERROR(__xludf.DUMMYFUNCTION("""COMPUTED_VALUE"""),357.0)</f>
        <v>357</v>
      </c>
      <c r="J188" s="329">
        <f>IFERROR(__xludf.DUMMYFUNCTION("""COMPUTED_VALUE"""),388.0)</f>
        <v>388</v>
      </c>
      <c r="K188" s="329">
        <f>IFERROR(__xludf.DUMMYFUNCTION("""COMPUTED_VALUE"""),128742.0)</f>
        <v>128742</v>
      </c>
      <c r="L188" s="329">
        <f>IFERROR(__xludf.DUMMYFUNCTION("""COMPUTED_VALUE"""),1866.0)</f>
        <v>1866</v>
      </c>
      <c r="M188" s="329">
        <f>IFERROR(__xludf.DUMMYFUNCTION("""COMPUTED_VALUE"""),674259.0)</f>
        <v>674259</v>
      </c>
      <c r="N188" s="329">
        <f>IFERROR(__xludf.DUMMYFUNCTION("""COMPUTED_VALUE"""),803001.0)</f>
        <v>803001</v>
      </c>
      <c r="O188" s="329">
        <f>IFERROR(__xludf.DUMMYFUNCTION("""COMPUTED_VALUE"""),19.0)</f>
        <v>19</v>
      </c>
      <c r="P188" s="329">
        <f>IFERROR(__xludf.DUMMYFUNCTION("""COMPUTED_VALUE"""),9080.0)</f>
        <v>9080</v>
      </c>
      <c r="Q188" s="329">
        <f>IFERROR(__xludf.DUMMYFUNCTION("""COMPUTED_VALUE"""),18.0)</f>
        <v>18</v>
      </c>
      <c r="R188" s="329">
        <f>IFERROR(__xludf.DUMMYFUNCTION("""COMPUTED_VALUE"""),7917.0)</f>
        <v>7917</v>
      </c>
      <c r="S188" s="329">
        <f>IFERROR(__xludf.DUMMYFUNCTION("""COMPUTED_VALUE"""),2.0)</f>
        <v>2</v>
      </c>
      <c r="T188" s="329">
        <f>IFERROR(__xludf.DUMMYFUNCTION("""COMPUTED_VALUE"""),1018.0)</f>
        <v>1018</v>
      </c>
      <c r="U188" s="329">
        <f>IFERROR(__xludf.DUMMYFUNCTION("""COMPUTED_VALUE"""),145.0)</f>
        <v>145</v>
      </c>
      <c r="V188" s="329">
        <f>IFERROR(__xludf.DUMMYFUNCTION("""COMPUTED_VALUE"""),149.0)</f>
        <v>149</v>
      </c>
      <c r="W188" s="329">
        <f>IFERROR(__xludf.DUMMYFUNCTION("""COMPUTED_VALUE"""),26.0)</f>
        <v>26</v>
      </c>
      <c r="X188" s="329">
        <f>IFERROR(__xludf.DUMMYFUNCTION("""COMPUTED_VALUE"""),17.0)</f>
        <v>17</v>
      </c>
      <c r="Y188" s="329">
        <f>IFERROR(__xludf.DUMMYFUNCTION("""COMPUTED_VALUE"""),3.0)</f>
        <v>3</v>
      </c>
      <c r="Z188" s="329">
        <f>IFERROR(__xludf.DUMMYFUNCTION("""COMPUTED_VALUE"""),2558.0)</f>
        <v>2558</v>
      </c>
      <c r="AA188" s="329">
        <f>IFERROR(__xludf.DUMMYFUNCTION("""COMPUTED_VALUE"""),6315.0)</f>
        <v>6315</v>
      </c>
      <c r="AB188" s="329">
        <f>IFERROR(__xludf.DUMMYFUNCTION("""COMPUTED_VALUE"""),2839.0)</f>
        <v>2839</v>
      </c>
      <c r="AC188" s="329">
        <f>IFERROR(__xludf.DUMMYFUNCTION("""COMPUTED_VALUE"""),9154.0)</f>
        <v>9154</v>
      </c>
      <c r="AD188" s="329">
        <f>IFERROR(__xludf.DUMMYFUNCTION("""COMPUTED_VALUE"""),315064.0)</f>
        <v>315064</v>
      </c>
      <c r="AE188" s="329">
        <f>IFERROR(__xludf.DUMMYFUNCTION("""COMPUTED_VALUE"""),6315.0)</f>
        <v>6315</v>
      </c>
      <c r="AF188" s="329">
        <f>IFERROR(__xludf.DUMMYFUNCTION("""COMPUTED_VALUE"""),224596.0)</f>
        <v>224596</v>
      </c>
      <c r="AG188" s="329">
        <f>IFERROR(__xludf.DUMMYFUNCTION("""COMPUTED_VALUE"""),2839.0)</f>
        <v>2839</v>
      </c>
      <c r="AH188" s="329">
        <f>IFERROR(__xludf.DUMMYFUNCTION("""COMPUTED_VALUE"""),90469.0)</f>
        <v>90469</v>
      </c>
    </row>
    <row r="189">
      <c r="A189" s="328">
        <f>IFERROR(__xludf.DUMMYFUNCTION("""COMPUTED_VALUE"""),44261.0)</f>
        <v>44261</v>
      </c>
      <c r="B189" s="329">
        <f>IFERROR(__xludf.DUMMYFUNCTION("""COMPUTED_VALUE"""),299.0)</f>
        <v>299</v>
      </c>
      <c r="C189" s="329">
        <f>IFERROR(__xludf.DUMMYFUNCTION("""COMPUTED_VALUE"""),384.0)</f>
        <v>384</v>
      </c>
      <c r="D189" s="329">
        <f>IFERROR(__xludf.DUMMYFUNCTION("""COMPUTED_VALUE"""),153271.0)</f>
        <v>153271</v>
      </c>
      <c r="E189" s="329">
        <f>IFERROR(__xludf.DUMMYFUNCTION("""COMPUTED_VALUE"""),13482.0)</f>
        <v>13482</v>
      </c>
      <c r="F189" s="329">
        <f>IFERROR(__xludf.DUMMYFUNCTION("""COMPUTED_VALUE"""),2971671.0)</f>
        <v>2971671</v>
      </c>
      <c r="G189" s="329">
        <f>IFERROR(__xludf.DUMMYFUNCTION("""COMPUTED_VALUE"""),13781.0)</f>
        <v>13781</v>
      </c>
      <c r="H189" s="329">
        <f>IFERROR(__xludf.DUMMYFUNCTION("""COMPUTED_VALUE"""),3124942.0)</f>
        <v>3124942</v>
      </c>
      <c r="I189" s="329">
        <f>IFERROR(__xludf.DUMMYFUNCTION("""COMPUTED_VALUE"""),246.0)</f>
        <v>246</v>
      </c>
      <c r="J189" s="329">
        <f>IFERROR(__xludf.DUMMYFUNCTION("""COMPUTED_VALUE"""),329.0)</f>
        <v>329</v>
      </c>
      <c r="K189" s="329">
        <f>IFERROR(__xludf.DUMMYFUNCTION("""COMPUTED_VALUE"""),128988.0)</f>
        <v>128988</v>
      </c>
      <c r="L189" s="329">
        <f>IFERROR(__xludf.DUMMYFUNCTION("""COMPUTED_VALUE"""),1460.0)</f>
        <v>1460</v>
      </c>
      <c r="M189" s="329">
        <f>IFERROR(__xludf.DUMMYFUNCTION("""COMPUTED_VALUE"""),675719.0)</f>
        <v>675719</v>
      </c>
      <c r="N189" s="329">
        <f>IFERROR(__xludf.DUMMYFUNCTION("""COMPUTED_VALUE"""),804707.0)</f>
        <v>804707</v>
      </c>
      <c r="O189" s="329">
        <f>IFERROR(__xludf.DUMMYFUNCTION("""COMPUTED_VALUE"""),17.0)</f>
        <v>17</v>
      </c>
      <c r="P189" s="329">
        <f>IFERROR(__xludf.DUMMYFUNCTION("""COMPUTED_VALUE"""),9097.0)</f>
        <v>9097</v>
      </c>
      <c r="Q189" s="329">
        <f>IFERROR(__xludf.DUMMYFUNCTION("""COMPUTED_VALUE"""),16.0)</f>
        <v>16</v>
      </c>
      <c r="R189" s="329">
        <f>IFERROR(__xludf.DUMMYFUNCTION("""COMPUTED_VALUE"""),7933.0)</f>
        <v>7933</v>
      </c>
      <c r="S189" s="329">
        <f>IFERROR(__xludf.DUMMYFUNCTION("""COMPUTED_VALUE"""),1.0)</f>
        <v>1</v>
      </c>
      <c r="T189" s="329">
        <f>IFERROR(__xludf.DUMMYFUNCTION("""COMPUTED_VALUE"""),1019.0)</f>
        <v>1019</v>
      </c>
      <c r="U189" s="329">
        <f>IFERROR(__xludf.DUMMYFUNCTION("""COMPUTED_VALUE"""),145.0)</f>
        <v>145</v>
      </c>
      <c r="V189" s="329">
        <f>IFERROR(__xludf.DUMMYFUNCTION("""COMPUTED_VALUE"""),145.0)</f>
        <v>145</v>
      </c>
      <c r="W189" s="329">
        <f>IFERROR(__xludf.DUMMYFUNCTION("""COMPUTED_VALUE"""),24.0)</f>
        <v>24</v>
      </c>
      <c r="X189" s="329">
        <f>IFERROR(__xludf.DUMMYFUNCTION("""COMPUTED_VALUE"""),19.0)</f>
        <v>19</v>
      </c>
      <c r="Y189" s="329">
        <f>IFERROR(__xludf.DUMMYFUNCTION("""COMPUTED_VALUE"""),1.0)</f>
        <v>1</v>
      </c>
      <c r="Z189" s="329">
        <f>IFERROR(__xludf.DUMMYFUNCTION("""COMPUTED_VALUE"""),2559.0)</f>
        <v>2559</v>
      </c>
      <c r="AA189" s="329">
        <f>IFERROR(__xludf.DUMMYFUNCTION("""COMPUTED_VALUE"""),7722.0)</f>
        <v>7722</v>
      </c>
      <c r="AB189" s="329">
        <f>IFERROR(__xludf.DUMMYFUNCTION("""COMPUTED_VALUE"""),2352.0)</f>
        <v>2352</v>
      </c>
      <c r="AC189" s="329">
        <f>IFERROR(__xludf.DUMMYFUNCTION("""COMPUTED_VALUE"""),10074.0)</f>
        <v>10074</v>
      </c>
      <c r="AD189" s="329">
        <f>IFERROR(__xludf.DUMMYFUNCTION("""COMPUTED_VALUE"""),325138.0)</f>
        <v>325138</v>
      </c>
      <c r="AE189" s="329">
        <f>IFERROR(__xludf.DUMMYFUNCTION("""COMPUTED_VALUE"""),7722.0)</f>
        <v>7722</v>
      </c>
      <c r="AF189" s="329">
        <f>IFERROR(__xludf.DUMMYFUNCTION("""COMPUTED_VALUE"""),232318.0)</f>
        <v>232318</v>
      </c>
      <c r="AG189" s="329">
        <f>IFERROR(__xludf.DUMMYFUNCTION("""COMPUTED_VALUE"""),2741.0)</f>
        <v>2741</v>
      </c>
      <c r="AH189" s="329">
        <f>IFERROR(__xludf.DUMMYFUNCTION("""COMPUTED_VALUE"""),93210.0)</f>
        <v>93210</v>
      </c>
    </row>
    <row r="190">
      <c r="A190" s="328">
        <f>IFERROR(__xludf.DUMMYFUNCTION("""COMPUTED_VALUE"""),44262.0)</f>
        <v>44262</v>
      </c>
      <c r="B190" s="329">
        <f>IFERROR(__xludf.DUMMYFUNCTION("""COMPUTED_VALUE"""),244.0)</f>
        <v>244</v>
      </c>
      <c r="C190" s="329">
        <f>IFERROR(__xludf.DUMMYFUNCTION("""COMPUTED_VALUE"""),322.0)</f>
        <v>322</v>
      </c>
      <c r="D190" s="329">
        <f>IFERROR(__xludf.DUMMYFUNCTION("""COMPUTED_VALUE"""),153515.0)</f>
        <v>153515</v>
      </c>
      <c r="E190" s="329">
        <f>IFERROR(__xludf.DUMMYFUNCTION("""COMPUTED_VALUE"""),5091.0)</f>
        <v>5091</v>
      </c>
      <c r="F190" s="329">
        <f>IFERROR(__xludf.DUMMYFUNCTION("""COMPUTED_VALUE"""),2976762.0)</f>
        <v>2976762</v>
      </c>
      <c r="G190" s="329">
        <f>IFERROR(__xludf.DUMMYFUNCTION("""COMPUTED_VALUE"""),5335.0)</f>
        <v>5335</v>
      </c>
      <c r="H190" s="329">
        <f>IFERROR(__xludf.DUMMYFUNCTION("""COMPUTED_VALUE"""),3130277.0)</f>
        <v>3130277</v>
      </c>
      <c r="I190" s="329">
        <f>IFERROR(__xludf.DUMMYFUNCTION("""COMPUTED_VALUE"""),202.0)</f>
        <v>202</v>
      </c>
      <c r="J190" s="329">
        <f>IFERROR(__xludf.DUMMYFUNCTION("""COMPUTED_VALUE"""),268.0)</f>
        <v>268</v>
      </c>
      <c r="K190" s="329">
        <f>IFERROR(__xludf.DUMMYFUNCTION("""COMPUTED_VALUE"""),129190.0)</f>
        <v>129190</v>
      </c>
      <c r="L190" s="329">
        <f>IFERROR(__xludf.DUMMYFUNCTION("""COMPUTED_VALUE"""),682.0)</f>
        <v>682</v>
      </c>
      <c r="M190" s="329">
        <f>IFERROR(__xludf.DUMMYFUNCTION("""COMPUTED_VALUE"""),676401.0)</f>
        <v>676401</v>
      </c>
      <c r="N190" s="329">
        <f>IFERROR(__xludf.DUMMYFUNCTION("""COMPUTED_VALUE"""),805591.0)</f>
        <v>805591</v>
      </c>
      <c r="O190" s="329">
        <f>IFERROR(__xludf.DUMMYFUNCTION("""COMPUTED_VALUE"""),13.0)</f>
        <v>13</v>
      </c>
      <c r="P190" s="329">
        <f>IFERROR(__xludf.DUMMYFUNCTION("""COMPUTED_VALUE"""),9110.0)</f>
        <v>9110</v>
      </c>
      <c r="Q190" s="329">
        <f>IFERROR(__xludf.DUMMYFUNCTION("""COMPUTED_VALUE"""),6.0)</f>
        <v>6</v>
      </c>
      <c r="R190" s="329">
        <f>IFERROR(__xludf.DUMMYFUNCTION("""COMPUTED_VALUE"""),7939.0)</f>
        <v>7939</v>
      </c>
      <c r="S190" s="329">
        <f>IFERROR(__xludf.DUMMYFUNCTION("""COMPUTED_VALUE"""),0.0)</f>
        <v>0</v>
      </c>
      <c r="T190" s="329">
        <f>IFERROR(__xludf.DUMMYFUNCTION("""COMPUTED_VALUE"""),1019.0)</f>
        <v>1019</v>
      </c>
      <c r="U190" s="329">
        <f>IFERROR(__xludf.DUMMYFUNCTION("""COMPUTED_VALUE"""),152.0)</f>
        <v>152</v>
      </c>
      <c r="V190" s="329">
        <f>IFERROR(__xludf.DUMMYFUNCTION("""COMPUTED_VALUE"""),147.0)</f>
        <v>147</v>
      </c>
      <c r="W190" s="329">
        <f>IFERROR(__xludf.DUMMYFUNCTION("""COMPUTED_VALUE"""),23.0)</f>
        <v>23</v>
      </c>
      <c r="X190" s="329">
        <f>IFERROR(__xludf.DUMMYFUNCTION("""COMPUTED_VALUE"""),18.0)</f>
        <v>18</v>
      </c>
      <c r="Y190" s="329">
        <f>IFERROR(__xludf.DUMMYFUNCTION("""COMPUTED_VALUE"""),4.0)</f>
        <v>4</v>
      </c>
      <c r="Z190" s="329">
        <f>IFERROR(__xludf.DUMMYFUNCTION("""COMPUTED_VALUE"""),2563.0)</f>
        <v>2563</v>
      </c>
      <c r="AA190" s="329">
        <f>IFERROR(__xludf.DUMMYFUNCTION("""COMPUTED_VALUE"""),2925.0)</f>
        <v>2925</v>
      </c>
      <c r="AB190" s="329">
        <f>IFERROR(__xludf.DUMMYFUNCTION("""COMPUTED_VALUE"""),432.0)</f>
        <v>432</v>
      </c>
      <c r="AC190" s="329">
        <f>IFERROR(__xludf.DUMMYFUNCTION("""COMPUTED_VALUE"""),3357.0)</f>
        <v>3357</v>
      </c>
      <c r="AD190" s="329">
        <f>IFERROR(__xludf.DUMMYFUNCTION("""COMPUTED_VALUE"""),328495.0)</f>
        <v>328495</v>
      </c>
      <c r="AE190" s="329">
        <f>IFERROR(__xludf.DUMMYFUNCTION("""COMPUTED_VALUE"""),2925.0)</f>
        <v>2925</v>
      </c>
      <c r="AF190" s="329">
        <f>IFERROR(__xludf.DUMMYFUNCTION("""COMPUTED_VALUE"""),235243.0)</f>
        <v>235243</v>
      </c>
      <c r="AG190" s="329">
        <f>IFERROR(__xludf.DUMMYFUNCTION("""COMPUTED_VALUE"""),812.0)</f>
        <v>812</v>
      </c>
      <c r="AH190" s="329">
        <f>IFERROR(__xludf.DUMMYFUNCTION("""COMPUTED_VALUE"""),94022.0)</f>
        <v>94022</v>
      </c>
    </row>
    <row r="191">
      <c r="A191" s="328">
        <f>IFERROR(__xludf.DUMMYFUNCTION("""COMPUTED_VALUE"""),44263.0)</f>
        <v>44263</v>
      </c>
      <c r="B191" s="329">
        <f>IFERROR(__xludf.DUMMYFUNCTION("""COMPUTED_VALUE"""),368.0)</f>
        <v>368</v>
      </c>
      <c r="C191" s="329">
        <f>IFERROR(__xludf.DUMMYFUNCTION("""COMPUTED_VALUE"""),304.0)</f>
        <v>304</v>
      </c>
      <c r="D191" s="329">
        <f>IFERROR(__xludf.DUMMYFUNCTION("""COMPUTED_VALUE"""),153883.0)</f>
        <v>153883</v>
      </c>
      <c r="E191" s="329">
        <f>IFERROR(__xludf.DUMMYFUNCTION("""COMPUTED_VALUE"""),12276.0)</f>
        <v>12276</v>
      </c>
      <c r="F191" s="329">
        <f>IFERROR(__xludf.DUMMYFUNCTION("""COMPUTED_VALUE"""),2989038.0)</f>
        <v>2989038</v>
      </c>
      <c r="G191" s="329">
        <f>IFERROR(__xludf.DUMMYFUNCTION("""COMPUTED_VALUE"""),12644.0)</f>
        <v>12644</v>
      </c>
      <c r="H191" s="329">
        <f>IFERROR(__xludf.DUMMYFUNCTION("""COMPUTED_VALUE"""),3142921.0)</f>
        <v>3142921</v>
      </c>
      <c r="I191" s="329">
        <f>IFERROR(__xludf.DUMMYFUNCTION("""COMPUTED_VALUE"""),305.0)</f>
        <v>305</v>
      </c>
      <c r="J191" s="329">
        <f>IFERROR(__xludf.DUMMYFUNCTION("""COMPUTED_VALUE"""),251.0)</f>
        <v>251</v>
      </c>
      <c r="K191" s="329">
        <f>IFERROR(__xludf.DUMMYFUNCTION("""COMPUTED_VALUE"""),129495.0)</f>
        <v>129495</v>
      </c>
      <c r="L191" s="329">
        <f>IFERROR(__xludf.DUMMYFUNCTION("""COMPUTED_VALUE"""),1436.0)</f>
        <v>1436</v>
      </c>
      <c r="M191" s="329">
        <f>IFERROR(__xludf.DUMMYFUNCTION("""COMPUTED_VALUE"""),677837.0)</f>
        <v>677837</v>
      </c>
      <c r="N191" s="329">
        <f>IFERROR(__xludf.DUMMYFUNCTION("""COMPUTED_VALUE"""),807332.0)</f>
        <v>807332</v>
      </c>
      <c r="O191" s="329">
        <f>IFERROR(__xludf.DUMMYFUNCTION("""COMPUTED_VALUE"""),26.0)</f>
        <v>26</v>
      </c>
      <c r="P191" s="329">
        <f>IFERROR(__xludf.DUMMYFUNCTION("""COMPUTED_VALUE"""),9136.0)</f>
        <v>9136</v>
      </c>
      <c r="Q191" s="329">
        <f>IFERROR(__xludf.DUMMYFUNCTION("""COMPUTED_VALUE"""),22.0)</f>
        <v>22</v>
      </c>
      <c r="R191" s="329">
        <f>IFERROR(__xludf.DUMMYFUNCTION("""COMPUTED_VALUE"""),7961.0)</f>
        <v>7961</v>
      </c>
      <c r="S191" s="329">
        <f>IFERROR(__xludf.DUMMYFUNCTION("""COMPUTED_VALUE"""),1.0)</f>
        <v>1</v>
      </c>
      <c r="T191" s="329">
        <f>IFERROR(__xludf.DUMMYFUNCTION("""COMPUTED_VALUE"""),1020.0)</f>
        <v>1020</v>
      </c>
      <c r="U191" s="329">
        <f>IFERROR(__xludf.DUMMYFUNCTION("""COMPUTED_VALUE"""),155.0)</f>
        <v>155</v>
      </c>
      <c r="V191" s="329">
        <f>IFERROR(__xludf.DUMMYFUNCTION("""COMPUTED_VALUE"""),151.0)</f>
        <v>151</v>
      </c>
      <c r="W191" s="329">
        <f>IFERROR(__xludf.DUMMYFUNCTION("""COMPUTED_VALUE"""),24.0)</f>
        <v>24</v>
      </c>
      <c r="X191" s="329">
        <f>IFERROR(__xludf.DUMMYFUNCTION("""COMPUTED_VALUE"""),18.0)</f>
        <v>18</v>
      </c>
      <c r="Y191" s="329">
        <f>IFERROR(__xludf.DUMMYFUNCTION("""COMPUTED_VALUE"""),1.0)</f>
        <v>1</v>
      </c>
      <c r="Z191" s="329">
        <f>IFERROR(__xludf.DUMMYFUNCTION("""COMPUTED_VALUE"""),2564.0)</f>
        <v>2564</v>
      </c>
      <c r="AA191" s="329">
        <f>IFERROR(__xludf.DUMMYFUNCTION("""COMPUTED_VALUE"""),4485.0)</f>
        <v>4485</v>
      </c>
      <c r="AB191" s="329">
        <f>IFERROR(__xludf.DUMMYFUNCTION("""COMPUTED_VALUE"""),1625.0)</f>
        <v>1625</v>
      </c>
      <c r="AC191" s="329">
        <f>IFERROR(__xludf.DUMMYFUNCTION("""COMPUTED_VALUE"""),6110.0)</f>
        <v>6110</v>
      </c>
      <c r="AD191" s="329">
        <f>IFERROR(__xludf.DUMMYFUNCTION("""COMPUTED_VALUE"""),334605.0)</f>
        <v>334605</v>
      </c>
      <c r="AE191" s="329">
        <f>IFERROR(__xludf.DUMMYFUNCTION("""COMPUTED_VALUE"""),4485.0)</f>
        <v>4485</v>
      </c>
      <c r="AF191" s="329">
        <f>IFERROR(__xludf.DUMMYFUNCTION("""COMPUTED_VALUE"""),239728.0)</f>
        <v>239728</v>
      </c>
      <c r="AG191" s="329">
        <f>IFERROR(__xludf.DUMMYFUNCTION("""COMPUTED_VALUE"""),2126.0)</f>
        <v>2126</v>
      </c>
      <c r="AH191" s="329">
        <f>IFERROR(__xludf.DUMMYFUNCTION("""COMPUTED_VALUE"""),96148.0)</f>
        <v>96148</v>
      </c>
    </row>
    <row r="192">
      <c r="A192" s="328">
        <f>IFERROR(__xludf.DUMMYFUNCTION("""COMPUTED_VALUE"""),44264.0)</f>
        <v>44264</v>
      </c>
      <c r="B192" s="329">
        <f>IFERROR(__xludf.DUMMYFUNCTION("""COMPUTED_VALUE"""),427.0)</f>
        <v>427</v>
      </c>
      <c r="C192" s="329">
        <f>IFERROR(__xludf.DUMMYFUNCTION("""COMPUTED_VALUE"""),346.0)</f>
        <v>346</v>
      </c>
      <c r="D192" s="329">
        <f>IFERROR(__xludf.DUMMYFUNCTION("""COMPUTED_VALUE"""),154310.0)</f>
        <v>154310</v>
      </c>
      <c r="E192" s="329">
        <f>IFERROR(__xludf.DUMMYFUNCTION("""COMPUTED_VALUE"""),19735.0)</f>
        <v>19735</v>
      </c>
      <c r="F192" s="329">
        <f>IFERROR(__xludf.DUMMYFUNCTION("""COMPUTED_VALUE"""),3008773.0)</f>
        <v>3008773</v>
      </c>
      <c r="G192" s="329">
        <f>IFERROR(__xludf.DUMMYFUNCTION("""COMPUTED_VALUE"""),20162.0)</f>
        <v>20162</v>
      </c>
      <c r="H192" s="329">
        <f>IFERROR(__xludf.DUMMYFUNCTION("""COMPUTED_VALUE"""),3163083.0)</f>
        <v>3163083</v>
      </c>
      <c r="I192" s="329">
        <f>IFERROR(__xludf.DUMMYFUNCTION("""COMPUTED_VALUE"""),379.0)</f>
        <v>379</v>
      </c>
      <c r="J192" s="329">
        <f>IFERROR(__xludf.DUMMYFUNCTION("""COMPUTED_VALUE"""),295.0)</f>
        <v>295</v>
      </c>
      <c r="K192" s="329">
        <f>IFERROR(__xludf.DUMMYFUNCTION("""COMPUTED_VALUE"""),129874.0)</f>
        <v>129874</v>
      </c>
      <c r="L192" s="329">
        <f>IFERROR(__xludf.DUMMYFUNCTION("""COMPUTED_VALUE"""),1854.0)</f>
        <v>1854</v>
      </c>
      <c r="M192" s="329">
        <f>IFERROR(__xludf.DUMMYFUNCTION("""COMPUTED_VALUE"""),679691.0)</f>
        <v>679691</v>
      </c>
      <c r="N192" s="329">
        <f>IFERROR(__xludf.DUMMYFUNCTION("""COMPUTED_VALUE"""),809565.0)</f>
        <v>809565</v>
      </c>
      <c r="O192" s="329">
        <f>IFERROR(__xludf.DUMMYFUNCTION("""COMPUTED_VALUE"""),23.0)</f>
        <v>23</v>
      </c>
      <c r="P192" s="329">
        <f>IFERROR(__xludf.DUMMYFUNCTION("""COMPUTED_VALUE"""),9159.0)</f>
        <v>9159</v>
      </c>
      <c r="Q192" s="329">
        <f>IFERROR(__xludf.DUMMYFUNCTION("""COMPUTED_VALUE"""),24.0)</f>
        <v>24</v>
      </c>
      <c r="R192" s="329">
        <f>IFERROR(__xludf.DUMMYFUNCTION("""COMPUTED_VALUE"""),7985.0)</f>
        <v>7985</v>
      </c>
      <c r="S192" s="329">
        <f>IFERROR(__xludf.DUMMYFUNCTION("""COMPUTED_VALUE"""),2.0)</f>
        <v>2</v>
      </c>
      <c r="T192" s="329">
        <f>IFERROR(__xludf.DUMMYFUNCTION("""COMPUTED_VALUE"""),1022.0)</f>
        <v>1022</v>
      </c>
      <c r="U192" s="329">
        <f>IFERROR(__xludf.DUMMYFUNCTION("""COMPUTED_VALUE"""),152.0)</f>
        <v>152</v>
      </c>
      <c r="V192" s="329">
        <f>IFERROR(__xludf.DUMMYFUNCTION("""COMPUTED_VALUE"""),153.0)</f>
        <v>153</v>
      </c>
      <c r="W192" s="329">
        <f>IFERROR(__xludf.DUMMYFUNCTION("""COMPUTED_VALUE"""),27.0)</f>
        <v>27</v>
      </c>
      <c r="X192" s="329">
        <f>IFERROR(__xludf.DUMMYFUNCTION("""COMPUTED_VALUE"""),18.0)</f>
        <v>18</v>
      </c>
      <c r="Y192" s="329">
        <f>IFERROR(__xludf.DUMMYFUNCTION("""COMPUTED_VALUE"""),2.0)</f>
        <v>2</v>
      </c>
      <c r="Z192" s="329">
        <f>IFERROR(__xludf.DUMMYFUNCTION("""COMPUTED_VALUE"""),2566.0)</f>
        <v>2566</v>
      </c>
      <c r="AA192" s="329">
        <f>IFERROR(__xludf.DUMMYFUNCTION("""COMPUTED_VALUE"""),5099.0)</f>
        <v>5099</v>
      </c>
      <c r="AB192" s="329">
        <f>IFERROR(__xludf.DUMMYFUNCTION("""COMPUTED_VALUE"""),2459.0)</f>
        <v>2459</v>
      </c>
      <c r="AC192" s="329">
        <f>IFERROR(__xludf.DUMMYFUNCTION("""COMPUTED_VALUE"""),7558.0)</f>
        <v>7558</v>
      </c>
      <c r="AD192" s="329">
        <f>IFERROR(__xludf.DUMMYFUNCTION("""COMPUTED_VALUE"""),342163.0)</f>
        <v>342163</v>
      </c>
      <c r="AE192" s="329">
        <f>IFERROR(__xludf.DUMMYFUNCTION("""COMPUTED_VALUE"""),5099.0)</f>
        <v>5099</v>
      </c>
      <c r="AF192" s="329">
        <f>IFERROR(__xludf.DUMMYFUNCTION("""COMPUTED_VALUE"""),244827.0)</f>
        <v>244827</v>
      </c>
      <c r="AG192" s="329">
        <f>IFERROR(__xludf.DUMMYFUNCTION("""COMPUTED_VALUE"""),3240.0)</f>
        <v>3240</v>
      </c>
      <c r="AH192" s="329">
        <f>IFERROR(__xludf.DUMMYFUNCTION("""COMPUTED_VALUE"""),99388.0)</f>
        <v>99388</v>
      </c>
    </row>
    <row r="193">
      <c r="A193" s="328">
        <f>IFERROR(__xludf.DUMMYFUNCTION("""COMPUTED_VALUE"""),44265.0)</f>
        <v>44265</v>
      </c>
      <c r="B193" s="329">
        <f>IFERROR(__xludf.DUMMYFUNCTION("""COMPUTED_VALUE"""),538.0)</f>
        <v>538</v>
      </c>
      <c r="C193" s="329">
        <f>IFERROR(__xludf.DUMMYFUNCTION("""COMPUTED_VALUE"""),444.0)</f>
        <v>444</v>
      </c>
      <c r="D193" s="329">
        <f>IFERROR(__xludf.DUMMYFUNCTION("""COMPUTED_VALUE"""),154848.0)</f>
        <v>154848</v>
      </c>
      <c r="E193" s="329">
        <f>IFERROR(__xludf.DUMMYFUNCTION("""COMPUTED_VALUE"""),25645.0)</f>
        <v>25645</v>
      </c>
      <c r="F193" s="329">
        <f>IFERROR(__xludf.DUMMYFUNCTION("""COMPUTED_VALUE"""),3034418.0)</f>
        <v>3034418</v>
      </c>
      <c r="G193" s="329">
        <f>IFERROR(__xludf.DUMMYFUNCTION("""COMPUTED_VALUE"""),26183.0)</f>
        <v>26183</v>
      </c>
      <c r="H193" s="329">
        <f>IFERROR(__xludf.DUMMYFUNCTION("""COMPUTED_VALUE"""),3189266.0)</f>
        <v>3189266</v>
      </c>
      <c r="I193" s="329">
        <f>IFERROR(__xludf.DUMMYFUNCTION("""COMPUTED_VALUE"""),481.0)</f>
        <v>481</v>
      </c>
      <c r="J193" s="329">
        <f>IFERROR(__xludf.DUMMYFUNCTION("""COMPUTED_VALUE"""),388.0)</f>
        <v>388</v>
      </c>
      <c r="K193" s="329">
        <f>IFERROR(__xludf.DUMMYFUNCTION("""COMPUTED_VALUE"""),130355.0)</f>
        <v>130355</v>
      </c>
      <c r="L193" s="329">
        <f>IFERROR(__xludf.DUMMYFUNCTION("""COMPUTED_VALUE"""),2067.0)</f>
        <v>2067</v>
      </c>
      <c r="M193" s="329">
        <f>IFERROR(__xludf.DUMMYFUNCTION("""COMPUTED_VALUE"""),681758.0)</f>
        <v>681758</v>
      </c>
      <c r="N193" s="329">
        <f>IFERROR(__xludf.DUMMYFUNCTION("""COMPUTED_VALUE"""),812113.0)</f>
        <v>812113</v>
      </c>
      <c r="O193" s="329">
        <f>IFERROR(__xludf.DUMMYFUNCTION("""COMPUTED_VALUE"""),19.0)</f>
        <v>19</v>
      </c>
      <c r="P193" s="329">
        <f>IFERROR(__xludf.DUMMYFUNCTION("""COMPUTED_VALUE"""),9178.0)</f>
        <v>9178</v>
      </c>
      <c r="Q193" s="329">
        <f>IFERROR(__xludf.DUMMYFUNCTION("""COMPUTED_VALUE"""),27.0)</f>
        <v>27</v>
      </c>
      <c r="R193" s="329">
        <f>IFERROR(__xludf.DUMMYFUNCTION("""COMPUTED_VALUE"""),8012.0)</f>
        <v>8012</v>
      </c>
      <c r="S193" s="329">
        <f>IFERROR(__xludf.DUMMYFUNCTION("""COMPUTED_VALUE"""),0.0)</f>
        <v>0</v>
      </c>
      <c r="T193" s="329">
        <f>IFERROR(__xludf.DUMMYFUNCTION("""COMPUTED_VALUE"""),1022.0)</f>
        <v>1022</v>
      </c>
      <c r="U193" s="329">
        <f>IFERROR(__xludf.DUMMYFUNCTION("""COMPUTED_VALUE"""),144.0)</f>
        <v>144</v>
      </c>
      <c r="V193" s="329">
        <f>IFERROR(__xludf.DUMMYFUNCTION("""COMPUTED_VALUE"""),150.0)</f>
        <v>150</v>
      </c>
      <c r="W193" s="329">
        <f>IFERROR(__xludf.DUMMYFUNCTION("""COMPUTED_VALUE"""),25.0)</f>
        <v>25</v>
      </c>
      <c r="X193" s="329">
        <f>IFERROR(__xludf.DUMMYFUNCTION("""COMPUTED_VALUE"""),19.0)</f>
        <v>19</v>
      </c>
      <c r="Y193" s="329">
        <f>IFERROR(__xludf.DUMMYFUNCTION("""COMPUTED_VALUE"""),5.0)</f>
        <v>5</v>
      </c>
      <c r="Z193" s="329">
        <f>IFERROR(__xludf.DUMMYFUNCTION("""COMPUTED_VALUE"""),2571.0)</f>
        <v>2571</v>
      </c>
      <c r="AA193" s="329">
        <f>IFERROR(__xludf.DUMMYFUNCTION("""COMPUTED_VALUE"""),5665.0)</f>
        <v>5665</v>
      </c>
      <c r="AB193" s="329">
        <f>IFERROR(__xludf.DUMMYFUNCTION("""COMPUTED_VALUE"""),2097.0)</f>
        <v>2097</v>
      </c>
      <c r="AC193" s="329">
        <f>IFERROR(__xludf.DUMMYFUNCTION("""COMPUTED_VALUE"""),7762.0)</f>
        <v>7762</v>
      </c>
      <c r="AD193" s="329">
        <f>IFERROR(__xludf.DUMMYFUNCTION("""COMPUTED_VALUE"""),349925.0)</f>
        <v>349925</v>
      </c>
      <c r="AE193" s="329">
        <f>IFERROR(__xludf.DUMMYFUNCTION("""COMPUTED_VALUE"""),5665.0)</f>
        <v>5665</v>
      </c>
      <c r="AF193" s="329">
        <f>IFERROR(__xludf.DUMMYFUNCTION("""COMPUTED_VALUE"""),250492.0)</f>
        <v>250492</v>
      </c>
      <c r="AG193" s="329">
        <f>IFERROR(__xludf.DUMMYFUNCTION("""COMPUTED_VALUE"""),2667.0)</f>
        <v>2667</v>
      </c>
      <c r="AH193" s="329">
        <f>IFERROR(__xludf.DUMMYFUNCTION("""COMPUTED_VALUE"""),102055.0)</f>
        <v>102055</v>
      </c>
    </row>
    <row r="194">
      <c r="A194" s="328">
        <f>IFERROR(__xludf.DUMMYFUNCTION("""COMPUTED_VALUE"""),44266.0)</f>
        <v>44266</v>
      </c>
      <c r="B194" s="329">
        <f>IFERROR(__xludf.DUMMYFUNCTION("""COMPUTED_VALUE"""),414.0)</f>
        <v>414</v>
      </c>
      <c r="C194" s="329">
        <f>IFERROR(__xludf.DUMMYFUNCTION("""COMPUTED_VALUE"""),460.0)</f>
        <v>460</v>
      </c>
      <c r="D194" s="329">
        <f>IFERROR(__xludf.DUMMYFUNCTION("""COMPUTED_VALUE"""),155262.0)</f>
        <v>155262</v>
      </c>
      <c r="E194" s="329">
        <f>IFERROR(__xludf.DUMMYFUNCTION("""COMPUTED_VALUE"""),20990.0)</f>
        <v>20990</v>
      </c>
      <c r="F194" s="329">
        <f>IFERROR(__xludf.DUMMYFUNCTION("""COMPUTED_VALUE"""),3055408.0)</f>
        <v>3055408</v>
      </c>
      <c r="G194" s="329">
        <f>IFERROR(__xludf.DUMMYFUNCTION("""COMPUTED_VALUE"""),21404.0)</f>
        <v>21404</v>
      </c>
      <c r="H194" s="329">
        <f>IFERROR(__xludf.DUMMYFUNCTION("""COMPUTED_VALUE"""),3210670.0)</f>
        <v>3210670</v>
      </c>
      <c r="I194" s="329">
        <f>IFERROR(__xludf.DUMMYFUNCTION("""COMPUTED_VALUE"""),364.0)</f>
        <v>364</v>
      </c>
      <c r="J194" s="329">
        <f>IFERROR(__xludf.DUMMYFUNCTION("""COMPUTED_VALUE"""),408.0)</f>
        <v>408</v>
      </c>
      <c r="K194" s="329">
        <f>IFERROR(__xludf.DUMMYFUNCTION("""COMPUTED_VALUE"""),130719.0)</f>
        <v>130719</v>
      </c>
      <c r="L194" s="329">
        <f>IFERROR(__xludf.DUMMYFUNCTION("""COMPUTED_VALUE"""),2108.0)</f>
        <v>2108</v>
      </c>
      <c r="M194" s="329">
        <f>IFERROR(__xludf.DUMMYFUNCTION("""COMPUTED_VALUE"""),683866.0)</f>
        <v>683866</v>
      </c>
      <c r="N194" s="329">
        <f>IFERROR(__xludf.DUMMYFUNCTION("""COMPUTED_VALUE"""),814585.0)</f>
        <v>814585</v>
      </c>
      <c r="O194" s="329">
        <f>IFERROR(__xludf.DUMMYFUNCTION("""COMPUTED_VALUE"""),21.0)</f>
        <v>21</v>
      </c>
      <c r="P194" s="329">
        <f>IFERROR(__xludf.DUMMYFUNCTION("""COMPUTED_VALUE"""),9199.0)</f>
        <v>9199</v>
      </c>
      <c r="Q194" s="329">
        <f>IFERROR(__xludf.DUMMYFUNCTION("""COMPUTED_VALUE"""),15.0)</f>
        <v>15</v>
      </c>
      <c r="R194" s="329">
        <f>IFERROR(__xludf.DUMMYFUNCTION("""COMPUTED_VALUE"""),8027.0)</f>
        <v>8027</v>
      </c>
      <c r="S194" s="329">
        <f>IFERROR(__xludf.DUMMYFUNCTION("""COMPUTED_VALUE"""),3.0)</f>
        <v>3</v>
      </c>
      <c r="T194" s="329">
        <f>IFERROR(__xludf.DUMMYFUNCTION("""COMPUTED_VALUE"""),1025.0)</f>
        <v>1025</v>
      </c>
      <c r="U194" s="329">
        <f>IFERROR(__xludf.DUMMYFUNCTION("""COMPUTED_VALUE"""),147.0)</f>
        <v>147</v>
      </c>
      <c r="V194" s="329">
        <f>IFERROR(__xludf.DUMMYFUNCTION("""COMPUTED_VALUE"""),148.0)</f>
        <v>148</v>
      </c>
      <c r="W194" s="329">
        <f>IFERROR(__xludf.DUMMYFUNCTION("""COMPUTED_VALUE"""),25.0)</f>
        <v>25</v>
      </c>
      <c r="X194" s="329">
        <f>IFERROR(__xludf.DUMMYFUNCTION("""COMPUTED_VALUE"""),17.0)</f>
        <v>17</v>
      </c>
      <c r="Y194" s="329">
        <f>IFERROR(__xludf.DUMMYFUNCTION("""COMPUTED_VALUE"""),3.0)</f>
        <v>3</v>
      </c>
      <c r="Z194" s="329">
        <f>IFERROR(__xludf.DUMMYFUNCTION("""COMPUTED_VALUE"""),2574.0)</f>
        <v>2574</v>
      </c>
      <c r="AA194" s="329">
        <f>IFERROR(__xludf.DUMMYFUNCTION("""COMPUTED_VALUE"""),7130.0)</f>
        <v>7130</v>
      </c>
      <c r="AB194" s="329">
        <f>IFERROR(__xludf.DUMMYFUNCTION("""COMPUTED_VALUE"""),3045.0)</f>
        <v>3045</v>
      </c>
      <c r="AC194" s="329">
        <f>IFERROR(__xludf.DUMMYFUNCTION("""COMPUTED_VALUE"""),10175.0)</f>
        <v>10175</v>
      </c>
      <c r="AD194" s="329">
        <f>IFERROR(__xludf.DUMMYFUNCTION("""COMPUTED_VALUE"""),360100.0)</f>
        <v>360100</v>
      </c>
      <c r="AE194" s="329">
        <f>IFERROR(__xludf.DUMMYFUNCTION("""COMPUTED_VALUE"""),7130.0)</f>
        <v>7130</v>
      </c>
      <c r="AF194" s="329">
        <f>IFERROR(__xludf.DUMMYFUNCTION("""COMPUTED_VALUE"""),257622.0)</f>
        <v>257622</v>
      </c>
      <c r="AG194" s="329">
        <f>IFERROR(__xludf.DUMMYFUNCTION("""COMPUTED_VALUE"""),4527.0)</f>
        <v>4527</v>
      </c>
      <c r="AH194" s="329">
        <f>IFERROR(__xludf.DUMMYFUNCTION("""COMPUTED_VALUE"""),106582.0)</f>
        <v>106582</v>
      </c>
    </row>
    <row r="195">
      <c r="A195" s="328">
        <f>IFERROR(__xludf.DUMMYFUNCTION("""COMPUTED_VALUE"""),44267.0)</f>
        <v>44267</v>
      </c>
      <c r="B195" s="329">
        <f>IFERROR(__xludf.DUMMYFUNCTION("""COMPUTED_VALUE"""),428.0)</f>
        <v>428</v>
      </c>
      <c r="C195" s="329">
        <f>IFERROR(__xludf.DUMMYFUNCTION("""COMPUTED_VALUE"""),460.0)</f>
        <v>460</v>
      </c>
      <c r="D195" s="329">
        <f>IFERROR(__xludf.DUMMYFUNCTION("""COMPUTED_VALUE"""),155690.0)</f>
        <v>155690</v>
      </c>
      <c r="E195" s="329">
        <f>IFERROR(__xludf.DUMMYFUNCTION("""COMPUTED_VALUE"""),18045.0)</f>
        <v>18045</v>
      </c>
      <c r="F195" s="329">
        <f>IFERROR(__xludf.DUMMYFUNCTION("""COMPUTED_VALUE"""),3073453.0)</f>
        <v>3073453</v>
      </c>
      <c r="G195" s="329">
        <f>IFERROR(__xludf.DUMMYFUNCTION("""COMPUTED_VALUE"""),18473.0)</f>
        <v>18473</v>
      </c>
      <c r="H195" s="329">
        <f>IFERROR(__xludf.DUMMYFUNCTION("""COMPUTED_VALUE"""),3229143.0)</f>
        <v>3229143</v>
      </c>
      <c r="I195" s="329">
        <f>IFERROR(__xludf.DUMMYFUNCTION("""COMPUTED_VALUE"""),365.0)</f>
        <v>365</v>
      </c>
      <c r="J195" s="329">
        <f>IFERROR(__xludf.DUMMYFUNCTION("""COMPUTED_VALUE"""),403.0)</f>
        <v>403</v>
      </c>
      <c r="K195" s="329">
        <f>IFERROR(__xludf.DUMMYFUNCTION("""COMPUTED_VALUE"""),131084.0)</f>
        <v>131084</v>
      </c>
      <c r="L195" s="329">
        <f>IFERROR(__xludf.DUMMYFUNCTION("""COMPUTED_VALUE"""),1904.0)</f>
        <v>1904</v>
      </c>
      <c r="M195" s="329">
        <f>IFERROR(__xludf.DUMMYFUNCTION("""COMPUTED_VALUE"""),685770.0)</f>
        <v>685770</v>
      </c>
      <c r="N195" s="329">
        <f>IFERROR(__xludf.DUMMYFUNCTION("""COMPUTED_VALUE"""),816854.0)</f>
        <v>816854</v>
      </c>
      <c r="O195" s="329">
        <f>IFERROR(__xludf.DUMMYFUNCTION("""COMPUTED_VALUE"""),22.0)</f>
        <v>22</v>
      </c>
      <c r="P195" s="329">
        <f>IFERROR(__xludf.DUMMYFUNCTION("""COMPUTED_VALUE"""),9221.0)</f>
        <v>9221</v>
      </c>
      <c r="Q195" s="329">
        <f>IFERROR(__xludf.DUMMYFUNCTION("""COMPUTED_VALUE"""),28.0)</f>
        <v>28</v>
      </c>
      <c r="R195" s="329">
        <f>IFERROR(__xludf.DUMMYFUNCTION("""COMPUTED_VALUE"""),8055.0)</f>
        <v>8055</v>
      </c>
      <c r="S195" s="329">
        <f>IFERROR(__xludf.DUMMYFUNCTION("""COMPUTED_VALUE"""),0.0)</f>
        <v>0</v>
      </c>
      <c r="T195" s="329">
        <f>IFERROR(__xludf.DUMMYFUNCTION("""COMPUTED_VALUE"""),1025.0)</f>
        <v>1025</v>
      </c>
      <c r="U195" s="329">
        <f>IFERROR(__xludf.DUMMYFUNCTION("""COMPUTED_VALUE"""),141.0)</f>
        <v>141</v>
      </c>
      <c r="V195" s="329">
        <f>IFERROR(__xludf.DUMMYFUNCTION("""COMPUTED_VALUE"""),144.0)</f>
        <v>144</v>
      </c>
      <c r="W195" s="329">
        <f>IFERROR(__xludf.DUMMYFUNCTION("""COMPUTED_VALUE"""),24.0)</f>
        <v>24</v>
      </c>
      <c r="X195" s="329">
        <f>IFERROR(__xludf.DUMMYFUNCTION("""COMPUTED_VALUE"""),16.0)</f>
        <v>16</v>
      </c>
      <c r="Y195" s="329">
        <f>IFERROR(__xludf.DUMMYFUNCTION("""COMPUTED_VALUE"""),1.0)</f>
        <v>1</v>
      </c>
      <c r="Z195" s="329">
        <f>IFERROR(__xludf.DUMMYFUNCTION("""COMPUTED_VALUE"""),2575.0)</f>
        <v>2575</v>
      </c>
      <c r="AA195" s="329">
        <f>IFERROR(__xludf.DUMMYFUNCTION("""COMPUTED_VALUE"""),7071.0)</f>
        <v>7071</v>
      </c>
      <c r="AB195" s="329">
        <f>IFERROR(__xludf.DUMMYFUNCTION("""COMPUTED_VALUE"""),2803.0)</f>
        <v>2803</v>
      </c>
      <c r="AC195" s="329">
        <f>IFERROR(__xludf.DUMMYFUNCTION("""COMPUTED_VALUE"""),9874.0)</f>
        <v>9874</v>
      </c>
      <c r="AD195" s="329">
        <f>IFERROR(__xludf.DUMMYFUNCTION("""COMPUTED_VALUE"""),369974.0)</f>
        <v>369974</v>
      </c>
      <c r="AE195" s="329">
        <f>IFERROR(__xludf.DUMMYFUNCTION("""COMPUTED_VALUE"""),7071.0)</f>
        <v>7071</v>
      </c>
      <c r="AF195" s="329">
        <f>IFERROR(__xludf.DUMMYFUNCTION("""COMPUTED_VALUE"""),264693.0)</f>
        <v>264693</v>
      </c>
      <c r="AG195" s="329">
        <f>IFERROR(__xludf.DUMMYFUNCTION("""COMPUTED_VALUE"""),3468.0)</f>
        <v>3468</v>
      </c>
      <c r="AH195" s="329">
        <f>IFERROR(__xludf.DUMMYFUNCTION("""COMPUTED_VALUE"""),110050.0)</f>
        <v>110050</v>
      </c>
    </row>
    <row r="196">
      <c r="A196" s="328">
        <f>IFERROR(__xludf.DUMMYFUNCTION("""COMPUTED_VALUE"""),44268.0)</f>
        <v>44268</v>
      </c>
      <c r="B196" s="329">
        <f>IFERROR(__xludf.DUMMYFUNCTION("""COMPUTED_VALUE"""),357.0)</f>
        <v>357</v>
      </c>
      <c r="C196" s="329">
        <f>IFERROR(__xludf.DUMMYFUNCTION("""COMPUTED_VALUE"""),400.0)</f>
        <v>400</v>
      </c>
      <c r="D196" s="329">
        <f>IFERROR(__xludf.DUMMYFUNCTION("""COMPUTED_VALUE"""),156047.0)</f>
        <v>156047</v>
      </c>
      <c r="E196" s="329">
        <f>IFERROR(__xludf.DUMMYFUNCTION("""COMPUTED_VALUE"""),13238.0)</f>
        <v>13238</v>
      </c>
      <c r="F196" s="329">
        <f>IFERROR(__xludf.DUMMYFUNCTION("""COMPUTED_VALUE"""),3086691.0)</f>
        <v>3086691</v>
      </c>
      <c r="G196" s="329">
        <f>IFERROR(__xludf.DUMMYFUNCTION("""COMPUTED_VALUE"""),13595.0)</f>
        <v>13595</v>
      </c>
      <c r="H196" s="329">
        <f>IFERROR(__xludf.DUMMYFUNCTION("""COMPUTED_VALUE"""),3242738.0)</f>
        <v>3242738</v>
      </c>
      <c r="I196" s="329">
        <f>IFERROR(__xludf.DUMMYFUNCTION("""COMPUTED_VALUE"""),295.0)</f>
        <v>295</v>
      </c>
      <c r="J196" s="329">
        <f>IFERROR(__xludf.DUMMYFUNCTION("""COMPUTED_VALUE"""),341.0)</f>
        <v>341</v>
      </c>
      <c r="K196" s="329">
        <f>IFERROR(__xludf.DUMMYFUNCTION("""COMPUTED_VALUE"""),131379.0)</f>
        <v>131379</v>
      </c>
      <c r="L196" s="329">
        <f>IFERROR(__xludf.DUMMYFUNCTION("""COMPUTED_VALUE"""),1572.0)</f>
        <v>1572</v>
      </c>
      <c r="M196" s="329">
        <f>IFERROR(__xludf.DUMMYFUNCTION("""COMPUTED_VALUE"""),687342.0)</f>
        <v>687342</v>
      </c>
      <c r="N196" s="329">
        <f>IFERROR(__xludf.DUMMYFUNCTION("""COMPUTED_VALUE"""),818721.0)</f>
        <v>818721</v>
      </c>
      <c r="O196" s="329">
        <f>IFERROR(__xludf.DUMMYFUNCTION("""COMPUTED_VALUE"""),16.0)</f>
        <v>16</v>
      </c>
      <c r="P196" s="329">
        <f>IFERROR(__xludf.DUMMYFUNCTION("""COMPUTED_VALUE"""),9237.0)</f>
        <v>9237</v>
      </c>
      <c r="Q196" s="329">
        <f>IFERROR(__xludf.DUMMYFUNCTION("""COMPUTED_VALUE"""),13.0)</f>
        <v>13</v>
      </c>
      <c r="R196" s="329">
        <f>IFERROR(__xludf.DUMMYFUNCTION("""COMPUTED_VALUE"""),8068.0)</f>
        <v>8068</v>
      </c>
      <c r="S196" s="329">
        <f>IFERROR(__xludf.DUMMYFUNCTION("""COMPUTED_VALUE"""),3.0)</f>
        <v>3</v>
      </c>
      <c r="T196" s="329">
        <f>IFERROR(__xludf.DUMMYFUNCTION("""COMPUTED_VALUE"""),1028.0)</f>
        <v>1028</v>
      </c>
      <c r="U196" s="329">
        <f>IFERROR(__xludf.DUMMYFUNCTION("""COMPUTED_VALUE"""),141.0)</f>
        <v>141</v>
      </c>
      <c r="V196" s="329">
        <f>IFERROR(__xludf.DUMMYFUNCTION("""COMPUTED_VALUE"""),143.0)</f>
        <v>143</v>
      </c>
      <c r="W196" s="329">
        <f>IFERROR(__xludf.DUMMYFUNCTION("""COMPUTED_VALUE"""),21.0)</f>
        <v>21</v>
      </c>
      <c r="X196" s="329">
        <f>IFERROR(__xludf.DUMMYFUNCTION("""COMPUTED_VALUE"""),16.0)</f>
        <v>16</v>
      </c>
      <c r="Y196" s="329">
        <f>IFERROR(__xludf.DUMMYFUNCTION("""COMPUTED_VALUE"""),4.0)</f>
        <v>4</v>
      </c>
      <c r="Z196" s="329">
        <f>IFERROR(__xludf.DUMMYFUNCTION("""COMPUTED_VALUE"""),2579.0)</f>
        <v>2579</v>
      </c>
      <c r="AA196" s="329">
        <f>IFERROR(__xludf.DUMMYFUNCTION("""COMPUTED_VALUE"""),8374.0)</f>
        <v>8374</v>
      </c>
      <c r="AB196" s="329">
        <f>IFERROR(__xludf.DUMMYFUNCTION("""COMPUTED_VALUE"""),2606.0)</f>
        <v>2606</v>
      </c>
      <c r="AC196" s="329">
        <f>IFERROR(__xludf.DUMMYFUNCTION("""COMPUTED_VALUE"""),10980.0)</f>
        <v>10980</v>
      </c>
      <c r="AD196" s="329">
        <f>IFERROR(__xludf.DUMMYFUNCTION("""COMPUTED_VALUE"""),380954.0)</f>
        <v>380954</v>
      </c>
      <c r="AE196" s="329">
        <f>IFERROR(__xludf.DUMMYFUNCTION("""COMPUTED_VALUE"""),8374.0)</f>
        <v>8374</v>
      </c>
      <c r="AF196" s="329">
        <f>IFERROR(__xludf.DUMMYFUNCTION("""COMPUTED_VALUE"""),273067.0)</f>
        <v>273067</v>
      </c>
      <c r="AG196" s="329">
        <f>IFERROR(__xludf.DUMMYFUNCTION("""COMPUTED_VALUE"""),4322.0)</f>
        <v>4322</v>
      </c>
      <c r="AH196" s="329">
        <f>IFERROR(__xludf.DUMMYFUNCTION("""COMPUTED_VALUE"""),114372.0)</f>
        <v>114372</v>
      </c>
    </row>
    <row r="197">
      <c r="A197" s="328">
        <f>IFERROR(__xludf.DUMMYFUNCTION("""COMPUTED_VALUE"""),44269.0)</f>
        <v>44269</v>
      </c>
      <c r="B197" s="329">
        <f>IFERROR(__xludf.DUMMYFUNCTION("""COMPUTED_VALUE"""),164.0)</f>
        <v>164</v>
      </c>
      <c r="C197" s="329">
        <f>IFERROR(__xludf.DUMMYFUNCTION("""COMPUTED_VALUE"""),316.0)</f>
        <v>316</v>
      </c>
      <c r="D197" s="329">
        <f>IFERROR(__xludf.DUMMYFUNCTION("""COMPUTED_VALUE"""),156211.0)</f>
        <v>156211</v>
      </c>
      <c r="E197" s="329">
        <f>IFERROR(__xludf.DUMMYFUNCTION("""COMPUTED_VALUE"""),4419.0)</f>
        <v>4419</v>
      </c>
      <c r="F197" s="329">
        <f>IFERROR(__xludf.DUMMYFUNCTION("""COMPUTED_VALUE"""),3091110.0)</f>
        <v>3091110</v>
      </c>
      <c r="G197" s="329">
        <f>IFERROR(__xludf.DUMMYFUNCTION("""COMPUTED_VALUE"""),4583.0)</f>
        <v>4583</v>
      </c>
      <c r="H197" s="329">
        <f>IFERROR(__xludf.DUMMYFUNCTION("""COMPUTED_VALUE"""),3247321.0)</f>
        <v>3247321</v>
      </c>
      <c r="I197" s="329">
        <f>IFERROR(__xludf.DUMMYFUNCTION("""COMPUTED_VALUE"""),155.0)</f>
        <v>155</v>
      </c>
      <c r="J197" s="329">
        <f>IFERROR(__xludf.DUMMYFUNCTION("""COMPUTED_VALUE"""),272.0)</f>
        <v>272</v>
      </c>
      <c r="K197" s="329">
        <f>IFERROR(__xludf.DUMMYFUNCTION("""COMPUTED_VALUE"""),131534.0)</f>
        <v>131534</v>
      </c>
      <c r="L197" s="329">
        <f>IFERROR(__xludf.DUMMYFUNCTION("""COMPUTED_VALUE"""),655.0)</f>
        <v>655</v>
      </c>
      <c r="M197" s="329">
        <f>IFERROR(__xludf.DUMMYFUNCTION("""COMPUTED_VALUE"""),687997.0)</f>
        <v>687997</v>
      </c>
      <c r="N197" s="329">
        <f>IFERROR(__xludf.DUMMYFUNCTION("""COMPUTED_VALUE"""),819531.0)</f>
        <v>819531</v>
      </c>
      <c r="O197" s="329">
        <f>IFERROR(__xludf.DUMMYFUNCTION("""COMPUTED_VALUE"""),16.0)</f>
        <v>16</v>
      </c>
      <c r="P197" s="329">
        <f>IFERROR(__xludf.DUMMYFUNCTION("""COMPUTED_VALUE"""),9253.0)</f>
        <v>9253</v>
      </c>
      <c r="Q197" s="329">
        <f>IFERROR(__xludf.DUMMYFUNCTION("""COMPUTED_VALUE"""),19.0)</f>
        <v>19</v>
      </c>
      <c r="R197" s="329">
        <f>IFERROR(__xludf.DUMMYFUNCTION("""COMPUTED_VALUE"""),8087.0)</f>
        <v>8087</v>
      </c>
      <c r="S197" s="329">
        <f>IFERROR(__xludf.DUMMYFUNCTION("""COMPUTED_VALUE"""),1.0)</f>
        <v>1</v>
      </c>
      <c r="T197" s="329">
        <f>IFERROR(__xludf.DUMMYFUNCTION("""COMPUTED_VALUE"""),1029.0)</f>
        <v>1029</v>
      </c>
      <c r="U197" s="329">
        <f>IFERROR(__xludf.DUMMYFUNCTION("""COMPUTED_VALUE"""),137.0)</f>
        <v>137</v>
      </c>
      <c r="V197" s="329">
        <f>IFERROR(__xludf.DUMMYFUNCTION("""COMPUTED_VALUE"""),140.0)</f>
        <v>140</v>
      </c>
      <c r="W197" s="329">
        <f>IFERROR(__xludf.DUMMYFUNCTION("""COMPUTED_VALUE"""),19.0)</f>
        <v>19</v>
      </c>
      <c r="X197" s="329">
        <f>IFERROR(__xludf.DUMMYFUNCTION("""COMPUTED_VALUE"""),16.0)</f>
        <v>16</v>
      </c>
      <c r="Y197" s="329">
        <f>IFERROR(__xludf.DUMMYFUNCTION("""COMPUTED_VALUE"""),2.0)</f>
        <v>2</v>
      </c>
      <c r="Z197" s="329">
        <f>IFERROR(__xludf.DUMMYFUNCTION("""COMPUTED_VALUE"""),2581.0)</f>
        <v>2581</v>
      </c>
      <c r="AA197" s="329">
        <f>IFERROR(__xludf.DUMMYFUNCTION("""COMPUTED_VALUE"""),2245.0)</f>
        <v>2245</v>
      </c>
      <c r="AB197" s="329">
        <f>IFERROR(__xludf.DUMMYFUNCTION("""COMPUTED_VALUE"""),571.0)</f>
        <v>571</v>
      </c>
      <c r="AC197" s="329">
        <f>IFERROR(__xludf.DUMMYFUNCTION("""COMPUTED_VALUE"""),2816.0)</f>
        <v>2816</v>
      </c>
      <c r="AD197" s="329">
        <f>IFERROR(__xludf.DUMMYFUNCTION("""COMPUTED_VALUE"""),383770.0)</f>
        <v>383770</v>
      </c>
      <c r="AE197" s="329">
        <f>IFERROR(__xludf.DUMMYFUNCTION("""COMPUTED_VALUE"""),2245.0)</f>
        <v>2245</v>
      </c>
      <c r="AF197" s="329">
        <f>IFERROR(__xludf.DUMMYFUNCTION("""COMPUTED_VALUE"""),275312.0)</f>
        <v>275312</v>
      </c>
      <c r="AG197" s="329">
        <f>IFERROR(__xludf.DUMMYFUNCTION("""COMPUTED_VALUE"""),606.0)</f>
        <v>606</v>
      </c>
      <c r="AH197" s="329">
        <f>IFERROR(__xludf.DUMMYFUNCTION("""COMPUTED_VALUE"""),114978.0)</f>
        <v>114978</v>
      </c>
    </row>
    <row r="198">
      <c r="A198" s="328">
        <f>IFERROR(__xludf.DUMMYFUNCTION("""COMPUTED_VALUE"""),44270.0)</f>
        <v>44270</v>
      </c>
      <c r="B198" s="329">
        <f>IFERROR(__xludf.DUMMYFUNCTION("""COMPUTED_VALUE"""),316.0)</f>
        <v>316</v>
      </c>
      <c r="C198" s="329">
        <f>IFERROR(__xludf.DUMMYFUNCTION("""COMPUTED_VALUE"""),279.0)</f>
        <v>279</v>
      </c>
      <c r="D198" s="329">
        <f>IFERROR(__xludf.DUMMYFUNCTION("""COMPUTED_VALUE"""),156527.0)</f>
        <v>156527</v>
      </c>
      <c r="E198" s="329">
        <f>IFERROR(__xludf.DUMMYFUNCTION("""COMPUTED_VALUE"""),10830.0)</f>
        <v>10830</v>
      </c>
      <c r="F198" s="329">
        <f>IFERROR(__xludf.DUMMYFUNCTION("""COMPUTED_VALUE"""),3101940.0)</f>
        <v>3101940</v>
      </c>
      <c r="G198" s="329">
        <f>IFERROR(__xludf.DUMMYFUNCTION("""COMPUTED_VALUE"""),11146.0)</f>
        <v>11146</v>
      </c>
      <c r="H198" s="329">
        <f>IFERROR(__xludf.DUMMYFUNCTION("""COMPUTED_VALUE"""),3258467.0)</f>
        <v>3258467</v>
      </c>
      <c r="I198" s="329">
        <f>IFERROR(__xludf.DUMMYFUNCTION("""COMPUTED_VALUE"""),266.0)</f>
        <v>266</v>
      </c>
      <c r="J198" s="329">
        <f>IFERROR(__xludf.DUMMYFUNCTION("""COMPUTED_VALUE"""),239.0)</f>
        <v>239</v>
      </c>
      <c r="K198" s="329">
        <f>IFERROR(__xludf.DUMMYFUNCTION("""COMPUTED_VALUE"""),131800.0)</f>
        <v>131800</v>
      </c>
      <c r="L198" s="329">
        <f>IFERROR(__xludf.DUMMYFUNCTION("""COMPUTED_VALUE"""),1308.0)</f>
        <v>1308</v>
      </c>
      <c r="M198" s="329">
        <f>IFERROR(__xludf.DUMMYFUNCTION("""COMPUTED_VALUE"""),689305.0)</f>
        <v>689305</v>
      </c>
      <c r="N198" s="329">
        <f>IFERROR(__xludf.DUMMYFUNCTION("""COMPUTED_VALUE"""),821105.0)</f>
        <v>821105</v>
      </c>
      <c r="O198" s="329">
        <f>IFERROR(__xludf.DUMMYFUNCTION("""COMPUTED_VALUE"""),15.0)</f>
        <v>15</v>
      </c>
      <c r="P198" s="329">
        <f>IFERROR(__xludf.DUMMYFUNCTION("""COMPUTED_VALUE"""),9268.0)</f>
        <v>9268</v>
      </c>
      <c r="Q198" s="329">
        <f>IFERROR(__xludf.DUMMYFUNCTION("""COMPUTED_VALUE"""),20.0)</f>
        <v>20</v>
      </c>
      <c r="R198" s="329">
        <f>IFERROR(__xludf.DUMMYFUNCTION("""COMPUTED_VALUE"""),8107.0)</f>
        <v>8107</v>
      </c>
      <c r="S198" s="329">
        <f>IFERROR(__xludf.DUMMYFUNCTION("""COMPUTED_VALUE"""),2.0)</f>
        <v>2</v>
      </c>
      <c r="T198" s="329">
        <f>IFERROR(__xludf.DUMMYFUNCTION("""COMPUTED_VALUE"""),1031.0)</f>
        <v>1031</v>
      </c>
      <c r="U198" s="329">
        <f>IFERROR(__xludf.DUMMYFUNCTION("""COMPUTED_VALUE"""),130.0)</f>
        <v>130</v>
      </c>
      <c r="V198" s="329">
        <f>IFERROR(__xludf.DUMMYFUNCTION("""COMPUTED_VALUE"""),136.0)</f>
        <v>136</v>
      </c>
      <c r="W198" s="329">
        <f>IFERROR(__xludf.DUMMYFUNCTION("""COMPUTED_VALUE"""),17.0)</f>
        <v>17</v>
      </c>
      <c r="X198" s="329">
        <f>IFERROR(__xludf.DUMMYFUNCTION("""COMPUTED_VALUE"""),14.0)</f>
        <v>14</v>
      </c>
      <c r="Y198" s="329">
        <f>IFERROR(__xludf.DUMMYFUNCTION("""COMPUTED_VALUE"""),4.0)</f>
        <v>4</v>
      </c>
      <c r="Z198" s="329">
        <f>IFERROR(__xludf.DUMMYFUNCTION("""COMPUTED_VALUE"""),2585.0)</f>
        <v>2585</v>
      </c>
      <c r="AA198" s="329">
        <f>IFERROR(__xludf.DUMMYFUNCTION("""COMPUTED_VALUE"""),1853.0)</f>
        <v>1853</v>
      </c>
      <c r="AB198" s="329">
        <f>IFERROR(__xludf.DUMMYFUNCTION("""COMPUTED_VALUE"""),4487.0)</f>
        <v>4487</v>
      </c>
      <c r="AC198" s="329">
        <f>IFERROR(__xludf.DUMMYFUNCTION("""COMPUTED_VALUE"""),6340.0)</f>
        <v>6340</v>
      </c>
      <c r="AD198" s="329">
        <f>IFERROR(__xludf.DUMMYFUNCTION("""COMPUTED_VALUE"""),390110.0)</f>
        <v>390110</v>
      </c>
      <c r="AE198" s="329">
        <f>IFERROR(__xludf.DUMMYFUNCTION("""COMPUTED_VALUE"""),1853.0)</f>
        <v>1853</v>
      </c>
      <c r="AF198" s="329">
        <f>IFERROR(__xludf.DUMMYFUNCTION("""COMPUTED_VALUE"""),277165.0)</f>
        <v>277165</v>
      </c>
      <c r="AG198" s="329">
        <f>IFERROR(__xludf.DUMMYFUNCTION("""COMPUTED_VALUE"""),4565.0)</f>
        <v>4565</v>
      </c>
      <c r="AH198" s="329">
        <f>IFERROR(__xludf.DUMMYFUNCTION("""COMPUTED_VALUE"""),119543.0)</f>
        <v>119543</v>
      </c>
    </row>
    <row r="199">
      <c r="A199" s="328">
        <f>IFERROR(__xludf.DUMMYFUNCTION("""COMPUTED_VALUE"""),44271.0)</f>
        <v>44271</v>
      </c>
      <c r="B199" s="329">
        <f>IFERROR(__xludf.DUMMYFUNCTION("""COMPUTED_VALUE"""),412.0)</f>
        <v>412</v>
      </c>
      <c r="C199" s="329">
        <f>IFERROR(__xludf.DUMMYFUNCTION("""COMPUTED_VALUE"""),297.0)</f>
        <v>297</v>
      </c>
      <c r="D199" s="329">
        <f>IFERROR(__xludf.DUMMYFUNCTION("""COMPUTED_VALUE"""),156939.0)</f>
        <v>156939</v>
      </c>
      <c r="E199" s="329">
        <f>IFERROR(__xludf.DUMMYFUNCTION("""COMPUTED_VALUE"""),18448.0)</f>
        <v>18448</v>
      </c>
      <c r="F199" s="329">
        <f>IFERROR(__xludf.DUMMYFUNCTION("""COMPUTED_VALUE"""),3120388.0)</f>
        <v>3120388</v>
      </c>
      <c r="G199" s="329">
        <f>IFERROR(__xludf.DUMMYFUNCTION("""COMPUTED_VALUE"""),18860.0)</f>
        <v>18860</v>
      </c>
      <c r="H199" s="329">
        <f>IFERROR(__xludf.DUMMYFUNCTION("""COMPUTED_VALUE"""),3277327.0)</f>
        <v>3277327</v>
      </c>
      <c r="I199" s="329">
        <f>IFERROR(__xludf.DUMMYFUNCTION("""COMPUTED_VALUE"""),384.0)</f>
        <v>384</v>
      </c>
      <c r="J199" s="329">
        <f>IFERROR(__xludf.DUMMYFUNCTION("""COMPUTED_VALUE"""),268.0)</f>
        <v>268</v>
      </c>
      <c r="K199" s="329">
        <f>IFERROR(__xludf.DUMMYFUNCTION("""COMPUTED_VALUE"""),132184.0)</f>
        <v>132184</v>
      </c>
      <c r="L199" s="329">
        <f>IFERROR(__xludf.DUMMYFUNCTION("""COMPUTED_VALUE"""),1411.0)</f>
        <v>1411</v>
      </c>
      <c r="M199" s="329">
        <f>IFERROR(__xludf.DUMMYFUNCTION("""COMPUTED_VALUE"""),690716.0)</f>
        <v>690716</v>
      </c>
      <c r="N199" s="329">
        <f>IFERROR(__xludf.DUMMYFUNCTION("""COMPUTED_VALUE"""),822900.0)</f>
        <v>822900</v>
      </c>
      <c r="O199" s="329"/>
      <c r="P199" s="329"/>
      <c r="Q199" s="329"/>
      <c r="R199" s="329"/>
      <c r="S199" s="329"/>
      <c r="T199" s="329"/>
      <c r="U199" s="329"/>
      <c r="V199" s="329"/>
      <c r="W199" s="329"/>
      <c r="X199" s="329"/>
      <c r="Y199" s="329">
        <f>IFERROR(__xludf.DUMMYFUNCTION("""COMPUTED_VALUE"""),3.0)</f>
        <v>3</v>
      </c>
      <c r="Z199" s="329">
        <f>IFERROR(__xludf.DUMMYFUNCTION("""COMPUTED_VALUE"""),2588.0)</f>
        <v>2588</v>
      </c>
      <c r="AA199" s="329">
        <f>IFERROR(__xludf.DUMMYFUNCTION("""COMPUTED_VALUE"""),1701.0)</f>
        <v>1701</v>
      </c>
      <c r="AB199" s="329">
        <f>IFERROR(__xludf.DUMMYFUNCTION("""COMPUTED_VALUE"""),6546.0)</f>
        <v>6546</v>
      </c>
      <c r="AC199" s="329">
        <f>IFERROR(__xludf.DUMMYFUNCTION("""COMPUTED_VALUE"""),8247.0)</f>
        <v>8247</v>
      </c>
      <c r="AD199" s="329">
        <f>IFERROR(__xludf.DUMMYFUNCTION("""COMPUTED_VALUE"""),398357.0)</f>
        <v>398357</v>
      </c>
      <c r="AE199" s="329">
        <f>IFERROR(__xludf.DUMMYFUNCTION("""COMPUTED_VALUE"""),1701.0)</f>
        <v>1701</v>
      </c>
      <c r="AF199" s="329">
        <f>IFERROR(__xludf.DUMMYFUNCTION("""COMPUTED_VALUE"""),278866.0)</f>
        <v>278866</v>
      </c>
      <c r="AG199" s="329">
        <f>IFERROR(__xludf.DUMMYFUNCTION("""COMPUTED_VALUE"""),6815.0)</f>
        <v>6815</v>
      </c>
      <c r="AH199" s="329">
        <f>IFERROR(__xludf.DUMMYFUNCTION("""COMPUTED_VALUE"""),126358.0)</f>
        <v>126358</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1122</v>
      </c>
      <c r="B1" s="331" t="s">
        <v>358</v>
      </c>
      <c r="C1" s="256" t="s">
        <v>222</v>
      </c>
    </row>
    <row r="2" ht="14.25" customHeight="1">
      <c r="A2" s="332" t="str">
        <f>'Cases by ZCTA'!A2</f>
        <v>02802</v>
      </c>
      <c r="B2" s="333">
        <f>'Cases by ZCTA'!B2</f>
        <v>52</v>
      </c>
      <c r="C2" s="333">
        <f>'Cases by ZCTA'!C2</f>
        <v>7750</v>
      </c>
    </row>
    <row r="3" ht="14.25" customHeight="1">
      <c r="A3" s="332" t="str">
        <f>'Cases by ZCTA'!A3</f>
        <v>02804</v>
      </c>
      <c r="B3" s="333">
        <f>'Cases by ZCTA'!B3</f>
        <v>200</v>
      </c>
      <c r="C3" s="333">
        <f>'Cases by ZCTA'!C3</f>
        <v>9980</v>
      </c>
    </row>
    <row r="4" ht="14.25" customHeight="1">
      <c r="A4" s="332" t="str">
        <f>'Cases by ZCTA'!A4</f>
        <v>02806</v>
      </c>
      <c r="B4" s="333">
        <f>'Cases by ZCTA'!B4</f>
        <v>1170</v>
      </c>
      <c r="C4" s="333">
        <f>'Cases by ZCTA'!C4</f>
        <v>7226</v>
      </c>
    </row>
    <row r="5" ht="14.25" customHeight="1">
      <c r="A5" s="332" t="str">
        <f>'Cases by ZCTA'!A5</f>
        <v>02807</v>
      </c>
      <c r="B5" s="333">
        <f>'Cases by ZCTA'!B5</f>
        <v>49</v>
      </c>
      <c r="C5" s="333">
        <f>'Cases by ZCTA'!C5</f>
        <v>5925</v>
      </c>
    </row>
    <row r="6" ht="14.25" customHeight="1">
      <c r="A6" s="332" t="str">
        <f>'Cases by ZCTA'!A6</f>
        <v>02808</v>
      </c>
      <c r="B6" s="333">
        <f>'Cases by ZCTA'!B6</f>
        <v>169</v>
      </c>
      <c r="C6" s="333">
        <f>'Cases by ZCTA'!C6</f>
        <v>6589</v>
      </c>
    </row>
    <row r="7" ht="14.25" customHeight="1">
      <c r="A7" s="332" t="str">
        <f>'Cases by ZCTA'!A7</f>
        <v>02809</v>
      </c>
      <c r="B7" s="333">
        <f>'Cases by ZCTA'!B7</f>
        <v>2145</v>
      </c>
      <c r="C7" s="333">
        <f>'Cases by ZCTA'!C7</f>
        <v>9637</v>
      </c>
    </row>
    <row r="8" ht="14.25" customHeight="1">
      <c r="A8" s="332" t="str">
        <f>'Cases by ZCTA'!A8</f>
        <v>02812</v>
      </c>
      <c r="B8" s="333">
        <f>'Cases by ZCTA'!B8</f>
        <v>85</v>
      </c>
      <c r="C8" s="333">
        <f>'Cases by ZCTA'!C8</f>
        <v>7036</v>
      </c>
    </row>
    <row r="9" ht="14.25" customHeight="1">
      <c r="A9" s="332" t="str">
        <f>'Cases by ZCTA'!A9</f>
        <v>02813</v>
      </c>
      <c r="B9" s="333">
        <f>'Cases by ZCTA'!B9</f>
        <v>470</v>
      </c>
      <c r="C9" s="333">
        <f>'Cases by ZCTA'!C9</f>
        <v>6041</v>
      </c>
    </row>
    <row r="10" ht="14.25" customHeight="1">
      <c r="A10" s="332" t="str">
        <f>'Cases by ZCTA'!A10</f>
        <v>02814</v>
      </c>
      <c r="B10" s="333">
        <f>'Cases by ZCTA'!B10</f>
        <v>669</v>
      </c>
      <c r="C10" s="333">
        <f>'Cases by ZCTA'!C10</f>
        <v>8719</v>
      </c>
    </row>
    <row r="11" ht="14.25" customHeight="1">
      <c r="A11" s="332" t="str">
        <f>'Cases by ZCTA'!A11</f>
        <v>02815</v>
      </c>
      <c r="B11" s="333">
        <f>'Cases by ZCTA'!B11</f>
        <v>24</v>
      </c>
      <c r="C11" s="333">
        <f>'Cases by ZCTA'!C11</f>
        <v>11538</v>
      </c>
    </row>
    <row r="12" ht="14.25" customHeight="1">
      <c r="A12" s="332" t="str">
        <f>'Cases by ZCTA'!A12</f>
        <v>02816</v>
      </c>
      <c r="B12" s="333">
        <f>'Cases by ZCTA'!B12</f>
        <v>3293</v>
      </c>
      <c r="C12" s="333">
        <f>'Cases by ZCTA'!C12</f>
        <v>10032</v>
      </c>
    </row>
    <row r="13" ht="14.25" customHeight="1">
      <c r="A13" s="332" t="str">
        <f>'Cases by ZCTA'!A13</f>
        <v>02817</v>
      </c>
      <c r="B13" s="333">
        <f>'Cases by ZCTA'!B13</f>
        <v>497</v>
      </c>
      <c r="C13" s="333">
        <f>'Cases by ZCTA'!C13</f>
        <v>8238</v>
      </c>
    </row>
    <row r="14" ht="14.25" customHeight="1">
      <c r="A14" s="332" t="str">
        <f>'Cases by ZCTA'!A14</f>
        <v>02818</v>
      </c>
      <c r="B14" s="333">
        <f>'Cases by ZCTA'!B14</f>
        <v>1590</v>
      </c>
      <c r="C14" s="333">
        <f>'Cases by ZCTA'!C14</f>
        <v>8741</v>
      </c>
    </row>
    <row r="15" ht="14.25" customHeight="1">
      <c r="A15" s="332" t="str">
        <f>'Cases by ZCTA'!A15</f>
        <v>02822</v>
      </c>
      <c r="B15" s="333">
        <f>'Cases by ZCTA'!B15</f>
        <v>447</v>
      </c>
      <c r="C15" s="333">
        <f>'Cases by ZCTA'!C15</f>
        <v>6792</v>
      </c>
    </row>
    <row r="16" ht="14.25" customHeight="1">
      <c r="A16" s="332" t="str">
        <f>'Cases by ZCTA'!A16</f>
        <v>02825</v>
      </c>
      <c r="B16" s="333">
        <f>'Cases by ZCTA'!B16</f>
        <v>432</v>
      </c>
      <c r="C16" s="333">
        <f>'Cases by ZCTA'!C16</f>
        <v>7855</v>
      </c>
    </row>
    <row r="17" ht="14.25" customHeight="1">
      <c r="A17" s="332" t="str">
        <f>'Cases by ZCTA'!A17</f>
        <v>02826</v>
      </c>
      <c r="B17" s="333">
        <f>'Cases by ZCTA'!B17</f>
        <v>79</v>
      </c>
      <c r="C17" s="333">
        <f>'Cases by ZCTA'!C17</f>
        <v>15768</v>
      </c>
    </row>
    <row r="18" ht="14.25" customHeight="1">
      <c r="A18" s="332" t="str">
        <f>'Cases by ZCTA'!A18</f>
        <v>02827</v>
      </c>
      <c r="B18" s="333">
        <f>'Cases by ZCTA'!B18</f>
        <v>199</v>
      </c>
      <c r="C18" s="333">
        <f>'Cases by ZCTA'!C18</f>
        <v>9660</v>
      </c>
    </row>
    <row r="19" ht="14.25" customHeight="1">
      <c r="A19" s="332" t="str">
        <f>'Cases by ZCTA'!A19</f>
        <v>02828</v>
      </c>
      <c r="B19" s="333">
        <f>'Cases by ZCTA'!B19</f>
        <v>983</v>
      </c>
      <c r="C19" s="333">
        <f>'Cases by ZCTA'!C19</f>
        <v>12502</v>
      </c>
    </row>
    <row r="20" ht="14.25" customHeight="1">
      <c r="A20" s="332" t="str">
        <f>'Cases by ZCTA'!A20</f>
        <v>02830</v>
      </c>
      <c r="B20" s="333">
        <f>'Cases by ZCTA'!B20</f>
        <v>582</v>
      </c>
      <c r="C20" s="333">
        <f>'Cases by ZCTA'!C20</f>
        <v>9806</v>
      </c>
    </row>
    <row r="21" ht="14.25" customHeight="1">
      <c r="A21" s="332" t="str">
        <f>'Cases by ZCTA'!A21</f>
        <v>02831</v>
      </c>
      <c r="B21" s="333">
        <f>'Cases by ZCTA'!B21</f>
        <v>452</v>
      </c>
      <c r="C21" s="333">
        <f>'Cases by ZCTA'!C21</f>
        <v>12911</v>
      </c>
    </row>
    <row r="22" ht="14.25" customHeight="1">
      <c r="A22" s="332" t="str">
        <f>'Cases by ZCTA'!A22</f>
        <v>02832</v>
      </c>
      <c r="B22" s="333">
        <f>'Cases by ZCTA'!B22</f>
        <v>311</v>
      </c>
      <c r="C22" s="333">
        <f>'Cases by ZCTA'!C22</f>
        <v>7199</v>
      </c>
    </row>
    <row r="23" ht="14.25" customHeight="1">
      <c r="A23" s="332" t="str">
        <f>'Cases by ZCTA'!A23</f>
        <v>02833</v>
      </c>
      <c r="B23" s="333">
        <f>'Cases by ZCTA'!B23</f>
        <v>31</v>
      </c>
      <c r="C23" s="333">
        <f>'Cases by ZCTA'!C23</f>
        <v>2710</v>
      </c>
    </row>
    <row r="24" ht="14.25" customHeight="1">
      <c r="A24" s="332" t="str">
        <f>'Cases by ZCTA'!A24</f>
        <v>02835</v>
      </c>
      <c r="B24" s="333">
        <f>'Cases by ZCTA'!B24</f>
        <v>303</v>
      </c>
      <c r="C24" s="333">
        <f>'Cases by ZCTA'!C24</f>
        <v>5513</v>
      </c>
    </row>
    <row r="25" ht="14.25" customHeight="1">
      <c r="A25" s="332" t="str">
        <f>'Cases by ZCTA'!A25</f>
        <v>02836</v>
      </c>
      <c r="B25" s="333">
        <f>'Cases by ZCTA'!B25</f>
        <v>6</v>
      </c>
      <c r="C25" s="333">
        <f>'Cases by ZCTA'!C25</f>
        <v>3209</v>
      </c>
    </row>
    <row r="26" ht="14.25" customHeight="1">
      <c r="A26" s="332" t="str">
        <f>'Cases by ZCTA'!A26</f>
        <v>02837</v>
      </c>
      <c r="B26" s="333">
        <f>'Cases by ZCTA'!B26</f>
        <v>156</v>
      </c>
      <c r="C26" s="333">
        <f>'Cases by ZCTA'!C26</f>
        <v>4451</v>
      </c>
    </row>
    <row r="27" ht="14.25" customHeight="1">
      <c r="A27" s="332" t="str">
        <f>'Cases by ZCTA'!A27</f>
        <v>02838</v>
      </c>
      <c r="B27" s="333">
        <f>'Cases by ZCTA'!B27</f>
        <v>463</v>
      </c>
      <c r="C27" s="333">
        <f>'Cases by ZCTA'!C27</f>
        <v>13157</v>
      </c>
    </row>
    <row r="28" ht="14.25" customHeight="1">
      <c r="A28" s="332" t="str">
        <f>'Cases by ZCTA'!A28</f>
        <v>02839</v>
      </c>
      <c r="B28" s="333">
        <f>'Cases by ZCTA'!B28</f>
        <v>175</v>
      </c>
      <c r="C28" s="333">
        <f>'Cases by ZCTA'!C28</f>
        <v>8487</v>
      </c>
    </row>
    <row r="29" ht="14.25" customHeight="1">
      <c r="A29" s="332" t="str">
        <f>'Cases by ZCTA'!A29</f>
        <v>02840</v>
      </c>
      <c r="B29" s="333">
        <f>'Cases by ZCTA'!B29</f>
        <v>1631</v>
      </c>
      <c r="C29" s="333">
        <f>'Cases by ZCTA'!C29</f>
        <v>7027</v>
      </c>
    </row>
    <row r="30" ht="14.25" customHeight="1">
      <c r="A30" s="332" t="str">
        <f>'Cases by ZCTA'!A30</f>
        <v>02841</v>
      </c>
      <c r="B30" s="333">
        <f>'Cases by ZCTA'!B30</f>
        <v>74</v>
      </c>
      <c r="C30" s="333">
        <f>'Cases by ZCTA'!C30</f>
        <v>4534</v>
      </c>
    </row>
    <row r="31" ht="14.25" customHeight="1">
      <c r="A31" s="332" t="str">
        <f>'Cases by ZCTA'!A31</f>
        <v>02842</v>
      </c>
      <c r="B31" s="333">
        <f>'Cases by ZCTA'!B31</f>
        <v>1007</v>
      </c>
      <c r="C31" s="333">
        <f>'Cases by ZCTA'!C31</f>
        <v>6295</v>
      </c>
    </row>
    <row r="32" ht="14.25" customHeight="1">
      <c r="A32" s="332" t="str">
        <f>'Cases by ZCTA'!A32</f>
        <v>02852</v>
      </c>
      <c r="B32" s="333">
        <f>'Cases by ZCTA'!B32</f>
        <v>1970</v>
      </c>
      <c r="C32" s="333">
        <f>'Cases by ZCTA'!C32</f>
        <v>8942</v>
      </c>
    </row>
    <row r="33" ht="14.25" customHeight="1">
      <c r="A33" s="332" t="str">
        <f>'Cases by ZCTA'!A33</f>
        <v>02857</v>
      </c>
      <c r="B33" s="333">
        <f>'Cases by ZCTA'!B33</f>
        <v>733</v>
      </c>
      <c r="C33" s="333">
        <f>'Cases by ZCTA'!C33</f>
        <v>8393</v>
      </c>
    </row>
    <row r="34" ht="14.25" customHeight="1">
      <c r="A34" s="332" t="str">
        <f>'Cases by ZCTA'!A34</f>
        <v>02858</v>
      </c>
      <c r="B34" s="333">
        <f>'Cases by ZCTA'!B34</f>
        <v>68</v>
      </c>
      <c r="C34" s="333">
        <f>'Cases by ZCTA'!C34</f>
        <v>9341</v>
      </c>
    </row>
    <row r="35" ht="14.25" customHeight="1">
      <c r="A35" s="332" t="str">
        <f>'Cases by ZCTA'!A35</f>
        <v>02859</v>
      </c>
      <c r="B35" s="333">
        <f>'Cases by ZCTA'!B35</f>
        <v>846</v>
      </c>
      <c r="C35" s="333">
        <f>'Cases by ZCTA'!C35</f>
        <v>11706</v>
      </c>
    </row>
    <row r="36" ht="14.25" customHeight="1">
      <c r="A36" s="332" t="str">
        <f>'Cases by ZCTA'!A36</f>
        <v>02860</v>
      </c>
      <c r="B36" s="333">
        <f>'Cases by ZCTA'!B36</f>
        <v>6979</v>
      </c>
      <c r="C36" s="333">
        <f>'Cases by ZCTA'!C36</f>
        <v>14809</v>
      </c>
    </row>
    <row r="37" ht="14.25" customHeight="1">
      <c r="A37" s="332" t="str">
        <f>'Cases by ZCTA'!A37</f>
        <v>02861</v>
      </c>
      <c r="B37" s="333">
        <f>'Cases by ZCTA'!B37</f>
        <v>3137</v>
      </c>
      <c r="C37" s="333">
        <f>'Cases by ZCTA'!C37</f>
        <v>12526</v>
      </c>
    </row>
    <row r="38" ht="14.25" customHeight="1">
      <c r="A38" s="332" t="str">
        <f>'Cases by ZCTA'!A38</f>
        <v>02863</v>
      </c>
      <c r="B38" s="333">
        <f>'Cases by ZCTA'!B38</f>
        <v>4107</v>
      </c>
      <c r="C38" s="333">
        <f>'Cases by ZCTA'!C38</f>
        <v>21229</v>
      </c>
    </row>
    <row r="39" ht="14.25" customHeight="1">
      <c r="A39" s="332" t="str">
        <f>'Cases by ZCTA'!A39</f>
        <v>02864</v>
      </c>
      <c r="B39" s="333">
        <f>'Cases by ZCTA'!B39</f>
        <v>3638</v>
      </c>
      <c r="C39" s="333">
        <f>'Cases by ZCTA'!C39</f>
        <v>10507</v>
      </c>
    </row>
    <row r="40" ht="14.25" customHeight="1">
      <c r="A40" s="332" t="str">
        <f>'Cases by ZCTA'!A40</f>
        <v>02865</v>
      </c>
      <c r="B40" s="333">
        <f>'Cases by ZCTA'!B40</f>
        <v>1903</v>
      </c>
      <c r="C40" s="333">
        <f>'Cases by ZCTA'!C40</f>
        <v>10907</v>
      </c>
    </row>
    <row r="41" ht="14.25" customHeight="1">
      <c r="A41" s="332" t="str">
        <f>'Cases by ZCTA'!A41</f>
        <v>02871</v>
      </c>
      <c r="B41" s="333">
        <f>'Cases by ZCTA'!B41</f>
        <v>1099</v>
      </c>
      <c r="C41" s="333">
        <f>'Cases by ZCTA'!C41</f>
        <v>6412</v>
      </c>
    </row>
    <row r="42" ht="14.25" customHeight="1">
      <c r="A42" s="332" t="str">
        <f>'Cases by ZCTA'!A42</f>
        <v>02872</v>
      </c>
      <c r="B42" s="333">
        <f>'Cases by ZCTA'!B42</f>
        <v>6</v>
      </c>
      <c r="C42" s="333">
        <f>'Cases by ZCTA'!C42</f>
        <v>2158</v>
      </c>
    </row>
    <row r="43" ht="14.25" customHeight="1">
      <c r="A43" s="332" t="str">
        <f>'Cases by ZCTA'!A43</f>
        <v>02873</v>
      </c>
      <c r="B43" s="333">
        <f>'Cases by ZCTA'!B43</f>
        <v>12</v>
      </c>
      <c r="C43" s="333">
        <f>'Cases by ZCTA'!C43</f>
        <v>6316</v>
      </c>
    </row>
    <row r="44" ht="14.25" customHeight="1">
      <c r="A44" s="332" t="str">
        <f>'Cases by ZCTA'!A44</f>
        <v>02874</v>
      </c>
      <c r="B44" s="333">
        <f>'Cases by ZCTA'!B44</f>
        <v>462</v>
      </c>
      <c r="C44" s="333">
        <f>'Cases by ZCTA'!C44</f>
        <v>7752</v>
      </c>
    </row>
    <row r="45" ht="14.25" customHeight="1">
      <c r="A45" s="332" t="str">
        <f>'Cases by ZCTA'!A45</f>
        <v>02875</v>
      </c>
      <c r="B45" s="333">
        <f>'Cases by ZCTA'!B45</f>
        <v>24</v>
      </c>
      <c r="C45" s="333">
        <f>'Cases by ZCTA'!C45</f>
        <v>4396</v>
      </c>
    </row>
    <row r="46" ht="14.25" customHeight="1">
      <c r="A46" s="332" t="str">
        <f>'Cases by ZCTA'!A46</f>
        <v>02876</v>
      </c>
      <c r="B46" s="333">
        <f>'Cases by ZCTA'!B46</f>
        <v>66</v>
      </c>
      <c r="C46" s="333">
        <f>'Cases by ZCTA'!C46</f>
        <v>22680</v>
      </c>
    </row>
    <row r="47" ht="14.25" customHeight="1">
      <c r="A47" s="332" t="str">
        <f>'Cases by ZCTA'!A47</f>
        <v>02878</v>
      </c>
      <c r="B47" s="333">
        <f>'Cases by ZCTA'!B47</f>
        <v>1199</v>
      </c>
      <c r="C47" s="333">
        <f>'Cases by ZCTA'!C47</f>
        <v>7581</v>
      </c>
    </row>
    <row r="48" ht="14.25" customHeight="1">
      <c r="A48" s="332" t="str">
        <f>'Cases by ZCTA'!A48</f>
        <v>02879</v>
      </c>
      <c r="B48" s="333">
        <f>'Cases by ZCTA'!B48</f>
        <v>1456</v>
      </c>
      <c r="C48" s="333">
        <f>'Cases by ZCTA'!C48</f>
        <v>7094</v>
      </c>
    </row>
    <row r="49" ht="14.25" customHeight="1">
      <c r="A49" s="332" t="str">
        <f>'Cases by ZCTA'!A49</f>
        <v>02881</v>
      </c>
      <c r="B49" s="333">
        <f>'Cases by ZCTA'!B49</f>
        <v>560</v>
      </c>
      <c r="C49" s="333">
        <f>'Cases by ZCTA'!C49</f>
        <v>7147</v>
      </c>
    </row>
    <row r="50" ht="14.25" customHeight="1">
      <c r="A50" s="332" t="str">
        <f>'Cases by ZCTA'!A50</f>
        <v>02882</v>
      </c>
      <c r="B50" s="333">
        <f>'Cases by ZCTA'!B50</f>
        <v>1365</v>
      </c>
      <c r="C50" s="333">
        <f>'Cases by ZCTA'!C50</f>
        <v>9784</v>
      </c>
    </row>
    <row r="51" ht="14.25" customHeight="1">
      <c r="A51" s="332" t="str">
        <f>'Cases by ZCTA'!A51</f>
        <v>02885</v>
      </c>
      <c r="B51" s="333">
        <f>'Cases by ZCTA'!B51</f>
        <v>1083</v>
      </c>
      <c r="C51" s="333">
        <f>'Cases by ZCTA'!C51</f>
        <v>10350</v>
      </c>
    </row>
    <row r="52" ht="14.25" customHeight="1">
      <c r="A52" s="332" t="str">
        <f>'Cases by ZCTA'!A52</f>
        <v>02886</v>
      </c>
      <c r="B52" s="333">
        <f>'Cases by ZCTA'!B52</f>
        <v>2881</v>
      </c>
      <c r="C52" s="333">
        <f>'Cases by ZCTA'!C52</f>
        <v>9932</v>
      </c>
    </row>
    <row r="53" ht="14.25" customHeight="1">
      <c r="A53" s="332" t="str">
        <f>'Cases by ZCTA'!A53</f>
        <v>02888</v>
      </c>
      <c r="B53" s="333">
        <f>'Cases by ZCTA'!B53</f>
        <v>1855</v>
      </c>
      <c r="C53" s="333">
        <f>'Cases by ZCTA'!C53</f>
        <v>9678</v>
      </c>
    </row>
    <row r="54" ht="14.25" customHeight="1">
      <c r="A54" s="332" t="str">
        <f>'Cases by ZCTA'!A54</f>
        <v>02889</v>
      </c>
      <c r="B54" s="333">
        <f>'Cases by ZCTA'!B54</f>
        <v>2774</v>
      </c>
      <c r="C54" s="333">
        <f>'Cases by ZCTA'!C54</f>
        <v>10149</v>
      </c>
    </row>
    <row r="55" ht="14.25" customHeight="1">
      <c r="A55" s="332" t="str">
        <f>'Cases by ZCTA'!A55</f>
        <v>02891</v>
      </c>
      <c r="B55" s="333">
        <f>'Cases by ZCTA'!B55</f>
        <v>1483</v>
      </c>
      <c r="C55" s="333">
        <f>'Cases by ZCTA'!C55</f>
        <v>7033</v>
      </c>
    </row>
    <row r="56" ht="14.25" customHeight="1">
      <c r="A56" s="332" t="str">
        <f>'Cases by ZCTA'!A56</f>
        <v>02892</v>
      </c>
      <c r="B56" s="333">
        <f>'Cases by ZCTA'!B56</f>
        <v>430</v>
      </c>
      <c r="C56" s="333">
        <f>'Cases by ZCTA'!C56</f>
        <v>8292</v>
      </c>
    </row>
    <row r="57" ht="14.25" customHeight="1">
      <c r="A57" s="332" t="str">
        <f>'Cases by ZCTA'!A57</f>
        <v>02893</v>
      </c>
      <c r="B57" s="333">
        <f>'Cases by ZCTA'!B57</f>
        <v>2914</v>
      </c>
      <c r="C57" s="333">
        <f>'Cases by ZCTA'!C57</f>
        <v>9996</v>
      </c>
    </row>
    <row r="58" ht="14.25" customHeight="1">
      <c r="A58" s="332" t="str">
        <f>'Cases by ZCTA'!A58</f>
        <v>02894</v>
      </c>
      <c r="B58" s="333">
        <f>'Cases by ZCTA'!B58</f>
        <v>49</v>
      </c>
      <c r="C58" s="333">
        <f>'Cases by ZCTA'!C58</f>
        <v>7270</v>
      </c>
    </row>
    <row r="59" ht="14.25" customHeight="1">
      <c r="A59" s="332" t="str">
        <f>'Cases by ZCTA'!A59</f>
        <v>02895</v>
      </c>
      <c r="B59" s="333">
        <f>'Cases by ZCTA'!B59</f>
        <v>4713</v>
      </c>
      <c r="C59" s="333">
        <f>'Cases by ZCTA'!C59</f>
        <v>11346</v>
      </c>
    </row>
    <row r="60" ht="14.25" customHeight="1">
      <c r="A60" s="332" t="str">
        <f>'Cases by ZCTA'!A60</f>
        <v>02896</v>
      </c>
      <c r="B60" s="333">
        <f>'Cases by ZCTA'!B60</f>
        <v>1178</v>
      </c>
      <c r="C60" s="333">
        <f>'Cases by ZCTA'!C60</f>
        <v>9769</v>
      </c>
    </row>
    <row r="61" ht="14.25" customHeight="1">
      <c r="A61" s="332" t="str">
        <f>'Cases by ZCTA'!A61</f>
        <v>02898</v>
      </c>
      <c r="B61" s="333">
        <f>'Cases by ZCTA'!B61</f>
        <v>130</v>
      </c>
      <c r="C61" s="333">
        <f>'Cases by ZCTA'!C61</f>
        <v>7912</v>
      </c>
    </row>
    <row r="62" ht="14.25" customHeight="1">
      <c r="A62" s="332" t="str">
        <f>'Cases by ZCTA'!A62</f>
        <v>02903</v>
      </c>
      <c r="B62" s="333">
        <f>'Cases by ZCTA'!B62</f>
        <v>1088</v>
      </c>
      <c r="C62" s="333">
        <f>'Cases by ZCTA'!C62</f>
        <v>10321</v>
      </c>
    </row>
    <row r="63" ht="14.25" customHeight="1">
      <c r="A63" s="332" t="str">
        <f>'Cases by ZCTA'!A63</f>
        <v>02904</v>
      </c>
      <c r="B63" s="333">
        <f>'Cases by ZCTA'!B63</f>
        <v>4482</v>
      </c>
      <c r="C63" s="333">
        <f>'Cases by ZCTA'!C63</f>
        <v>14684</v>
      </c>
    </row>
    <row r="64" ht="14.25" customHeight="1">
      <c r="A64" s="332" t="str">
        <f>'Cases by ZCTA'!A64</f>
        <v>02905</v>
      </c>
      <c r="B64" s="333">
        <f>'Cases by ZCTA'!B64</f>
        <v>3518</v>
      </c>
      <c r="C64" s="333">
        <f>'Cases by ZCTA'!C64</f>
        <v>13803</v>
      </c>
    </row>
    <row r="65" ht="14.25" customHeight="1">
      <c r="A65" s="332" t="str">
        <f>'Cases by ZCTA'!A65</f>
        <v>02906</v>
      </c>
      <c r="B65" s="333">
        <f>'Cases by ZCTA'!B65</f>
        <v>2836</v>
      </c>
      <c r="C65" s="333">
        <f>'Cases by ZCTA'!C65</f>
        <v>10058</v>
      </c>
    </row>
    <row r="66" ht="14.25" customHeight="1">
      <c r="A66" s="332" t="str">
        <f>'Cases by ZCTA'!A66</f>
        <v>02907</v>
      </c>
      <c r="B66" s="333">
        <f>'Cases by ZCTA'!B66</f>
        <v>5515</v>
      </c>
      <c r="C66" s="333">
        <f>'Cases by ZCTA'!C66</f>
        <v>17917</v>
      </c>
    </row>
    <row r="67" ht="14.25" customHeight="1">
      <c r="A67" s="332" t="str">
        <f>'Cases by ZCTA'!A67</f>
        <v>02908</v>
      </c>
      <c r="B67" s="333">
        <f>'Cases by ZCTA'!B67</f>
        <v>6624</v>
      </c>
      <c r="C67" s="333">
        <f>'Cases by ZCTA'!C67</f>
        <v>17641</v>
      </c>
    </row>
    <row r="68" ht="14.25" customHeight="1">
      <c r="A68" s="332" t="str">
        <f>'Cases by ZCTA'!A68</f>
        <v>02909</v>
      </c>
      <c r="B68" s="333">
        <f>'Cases by ZCTA'!B68</f>
        <v>7739</v>
      </c>
      <c r="C68" s="333">
        <f>'Cases by ZCTA'!C68</f>
        <v>19075</v>
      </c>
    </row>
    <row r="69" ht="14.25" customHeight="1">
      <c r="A69" s="332" t="str">
        <f>'Cases by ZCTA'!A69</f>
        <v>02910</v>
      </c>
      <c r="B69" s="333">
        <f>'Cases by ZCTA'!B69</f>
        <v>2670</v>
      </c>
      <c r="C69" s="333">
        <f>'Cases by ZCTA'!C69</f>
        <v>12058</v>
      </c>
    </row>
    <row r="70" ht="14.25" customHeight="1">
      <c r="A70" s="332" t="str">
        <f>'Cases by ZCTA'!A70</f>
        <v>02911</v>
      </c>
      <c r="B70" s="333">
        <f>'Cases by ZCTA'!B70</f>
        <v>1769</v>
      </c>
      <c r="C70" s="333">
        <f>'Cases by ZCTA'!C70</f>
        <v>11151</v>
      </c>
    </row>
    <row r="71" ht="14.25" customHeight="1">
      <c r="A71" s="332" t="str">
        <f>'Cases by ZCTA'!A71</f>
        <v>02912</v>
      </c>
      <c r="B71" s="333">
        <f>'Cases by ZCTA'!B71</f>
        <v>50</v>
      </c>
      <c r="C71" s="333">
        <f>'Cases by ZCTA'!C71</f>
        <v>3676</v>
      </c>
    </row>
    <row r="72" ht="14.25" customHeight="1">
      <c r="A72" s="332" t="str">
        <f>'Cases by ZCTA'!A72</f>
        <v>02914</v>
      </c>
      <c r="B72" s="333">
        <f>'Cases by ZCTA'!B72</f>
        <v>2792</v>
      </c>
      <c r="C72" s="333">
        <f>'Cases by ZCTA'!C72</f>
        <v>12923</v>
      </c>
    </row>
    <row r="73" ht="14.25" customHeight="1">
      <c r="A73" s="332" t="str">
        <f>'Cases by ZCTA'!A73</f>
        <v>02915</v>
      </c>
      <c r="B73" s="333">
        <f>'Cases by ZCTA'!B73</f>
        <v>1523</v>
      </c>
      <c r="C73" s="333">
        <f>'Cases by ZCTA'!C73</f>
        <v>9149</v>
      </c>
    </row>
    <row r="74" ht="14.25" customHeight="1">
      <c r="A74" s="332" t="str">
        <f>'Cases by ZCTA'!A74</f>
        <v>02916</v>
      </c>
      <c r="B74" s="333">
        <f>'Cases by ZCTA'!B74</f>
        <v>721</v>
      </c>
      <c r="C74" s="333">
        <f>'Cases by ZCTA'!C74</f>
        <v>7945</v>
      </c>
    </row>
    <row r="75" ht="14.25" customHeight="1">
      <c r="A75" s="332" t="str">
        <f>'Cases by ZCTA'!A75</f>
        <v>02917</v>
      </c>
      <c r="B75" s="333">
        <f>'Cases by ZCTA'!B75</f>
        <v>1880</v>
      </c>
      <c r="C75" s="333">
        <f>'Cases by ZCTA'!C75</f>
        <v>13620</v>
      </c>
    </row>
    <row r="76" ht="14.25" customHeight="1">
      <c r="A76" s="332" t="str">
        <f>'Cases by ZCTA'!A76</f>
        <v>02919</v>
      </c>
      <c r="B76" s="333">
        <f>'Cases by ZCTA'!B76</f>
        <v>4187</v>
      </c>
      <c r="C76" s="333">
        <f>'Cases by ZCTA'!C76</f>
        <v>14313</v>
      </c>
    </row>
    <row r="77" ht="14.25" customHeight="1">
      <c r="A77" s="332" t="str">
        <f>'Cases by ZCTA'!A77</f>
        <v>02920</v>
      </c>
      <c r="B77" s="333">
        <f>'Cases by ZCTA'!B77</f>
        <v>5959</v>
      </c>
      <c r="C77" s="333">
        <f>'Cases by ZCTA'!C77</f>
        <v>16019</v>
      </c>
    </row>
    <row r="78" ht="14.25" customHeight="1">
      <c r="A78" s="332" t="str">
        <f>'Cases by ZCTA'!A78</f>
        <v>02921</v>
      </c>
      <c r="B78" s="333">
        <f>'Cases by ZCTA'!B78</f>
        <v>1504</v>
      </c>
      <c r="C78" s="333">
        <f>'Cases by ZCTA'!C78</f>
        <v>12114</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1123</v>
      </c>
      <c r="AB1" s="340" t="s">
        <v>1124</v>
      </c>
      <c r="AC1" s="340" t="s">
        <v>1125</v>
      </c>
      <c r="AD1" s="340" t="s">
        <v>1126</v>
      </c>
    </row>
    <row r="2">
      <c r="A2" s="341">
        <f>Summary!B1</f>
        <v>44272</v>
      </c>
      <c r="B2" s="342">
        <f>Summary!B2</f>
        <v>412</v>
      </c>
      <c r="C2" s="343">
        <f>Summary!B3</f>
        <v>297</v>
      </c>
      <c r="D2" s="343">
        <f>Summary!B4</f>
        <v>156939</v>
      </c>
      <c r="E2" s="343">
        <f>Summary!B5</f>
        <v>18448</v>
      </c>
      <c r="F2" s="343">
        <f>Summary!B6</f>
        <v>3120388</v>
      </c>
      <c r="G2" s="343">
        <f>Summary!B7</f>
        <v>18860</v>
      </c>
      <c r="H2" s="343">
        <f>Summary!B8</f>
        <v>3277327</v>
      </c>
      <c r="I2" s="343">
        <f>Summary!B9</f>
        <v>384</v>
      </c>
      <c r="J2" s="343">
        <f>Summary!B10</f>
        <v>268</v>
      </c>
      <c r="K2" s="343">
        <f>Summary!B11</f>
        <v>132184</v>
      </c>
      <c r="L2" s="343">
        <f>Summary!B12</f>
        <v>1411</v>
      </c>
      <c r="M2" s="343">
        <f>Summary!B13</f>
        <v>690716</v>
      </c>
      <c r="N2" s="343">
        <f>Summary!B14</f>
        <v>822900</v>
      </c>
      <c r="O2" s="343">
        <f>Summary!B15</f>
        <v>15</v>
      </c>
      <c r="P2" s="343">
        <f>Summary!B16</f>
        <v>9268</v>
      </c>
      <c r="Q2" s="343">
        <f>Summary!B17</f>
        <v>20</v>
      </c>
      <c r="R2" s="343">
        <f>Summary!B18</f>
        <v>8107</v>
      </c>
      <c r="S2" s="343">
        <f>Summary!B19</f>
        <v>2</v>
      </c>
      <c r="T2" s="343">
        <f>Summary!B20</f>
        <v>1031</v>
      </c>
      <c r="U2" s="343">
        <f>Summary!B21</f>
        <v>130</v>
      </c>
      <c r="V2" s="343">
        <f>Summary!B22</f>
        <v>136</v>
      </c>
      <c r="W2" s="343">
        <f>Summary!B23</f>
        <v>17</v>
      </c>
      <c r="X2" s="343">
        <f>Summary!B24</f>
        <v>14</v>
      </c>
      <c r="Y2" s="343">
        <f>Summary!B25</f>
        <v>5</v>
      </c>
      <c r="Z2" s="343">
        <f>Summary!B26</f>
        <v>2588</v>
      </c>
      <c r="AA2" s="344">
        <f>I2+E2</f>
        <v>18832</v>
      </c>
      <c r="AB2" s="344">
        <f>K2+F2</f>
        <v>3252572</v>
      </c>
      <c r="AC2" s="345">
        <f>K2/H2</f>
        <v>0.04033286883</v>
      </c>
      <c r="AD2" s="345">
        <f>I2/G2</f>
        <v>0.02036055143</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