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<sst xmlns="http://schemas.openxmlformats.org/spreadsheetml/2006/main" count="11387" uniqueCount="1128">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</sst>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44280.0</v>
      </c>
    </row>
    <row r="2" ht="14.25" customHeight="1">
      <c r="A2" s="3" t="s">
        <v>1</v>
      </c>
      <c r="B2" s="4">
        <v>479.0</v>
      </c>
    </row>
    <row r="3" ht="14.25" customHeight="1">
      <c r="A3" s="3" t="s">
        <v>2</v>
      </c>
      <c r="B3" s="4">
        <v>454.0</v>
      </c>
    </row>
    <row r="4" ht="14.25" customHeight="1">
      <c r="A4" s="3" t="s">
        <v>3</v>
      </c>
      <c r="B4" s="4">
        <v>160393.0</v>
      </c>
    </row>
    <row r="5" ht="14.25" customHeight="1">
      <c r="A5" s="3" t="s">
        <v>4</v>
      </c>
      <c r="B5" s="4">
        <v>20155.0</v>
      </c>
    </row>
    <row r="6" ht="14.25" customHeight="1">
      <c r="A6" s="5" t="s">
        <v>5</v>
      </c>
      <c r="B6" s="4">
        <v>3257122.0</v>
      </c>
    </row>
    <row r="7" ht="14.25" customHeight="1">
      <c r="A7" s="6" t="s">
        <v>6</v>
      </c>
      <c r="B7" s="4">
        <v>20634.0</v>
      </c>
    </row>
    <row r="8" ht="14.25" customHeight="1">
      <c r="A8" s="6" t="s">
        <v>7</v>
      </c>
      <c r="B8" s="7">
        <v>3417515.0</v>
      </c>
    </row>
    <row r="9" ht="14.25" customHeight="1">
      <c r="A9" s="8" t="s">
        <v>8</v>
      </c>
      <c r="B9" s="7">
        <v>441.0</v>
      </c>
    </row>
    <row r="10" ht="14.25" customHeight="1">
      <c r="A10" s="9" t="s">
        <v>9</v>
      </c>
      <c r="B10" s="7">
        <v>405.0</v>
      </c>
    </row>
    <row r="11" ht="14.25" customHeight="1">
      <c r="A11" s="8" t="s">
        <v>10</v>
      </c>
      <c r="B11" s="7">
        <v>135290.0</v>
      </c>
    </row>
    <row r="12" ht="14.25" customHeight="1">
      <c r="A12" s="8" t="s">
        <v>11</v>
      </c>
      <c r="B12" s="7">
        <v>1521.0</v>
      </c>
    </row>
    <row r="13" ht="14.25" customHeight="1">
      <c r="A13" s="8" t="s">
        <v>12</v>
      </c>
      <c r="B13" s="7">
        <v>701411.0</v>
      </c>
    </row>
    <row r="14" ht="15.0" customHeight="1">
      <c r="A14" s="8" t="s">
        <v>13</v>
      </c>
      <c r="B14" s="7">
        <v>836701.0</v>
      </c>
    </row>
    <row r="15" ht="14.25" customHeight="1">
      <c r="A15" s="10" t="s">
        <v>14</v>
      </c>
      <c r="B15" s="4">
        <v>13.0</v>
      </c>
    </row>
    <row r="16" ht="14.25" customHeight="1">
      <c r="A16" s="10" t="s">
        <v>15</v>
      </c>
      <c r="B16" s="4">
        <v>9394.0</v>
      </c>
    </row>
    <row r="17" ht="14.25" customHeight="1">
      <c r="A17" s="10" t="s">
        <v>16</v>
      </c>
      <c r="B17" s="4">
        <v>18.0</v>
      </c>
    </row>
    <row r="18" ht="14.25" customHeight="1">
      <c r="A18" s="10" t="s">
        <v>17</v>
      </c>
      <c r="B18" s="4">
        <v>8240.0</v>
      </c>
    </row>
    <row r="19" ht="14.25" customHeight="1">
      <c r="A19" s="10" t="s">
        <v>18</v>
      </c>
      <c r="B19" s="4">
        <v>0.0</v>
      </c>
    </row>
    <row r="20" ht="14.25" customHeight="1">
      <c r="A20" s="10" t="s">
        <v>19</v>
      </c>
      <c r="B20" s="4">
        <v>1044.0</v>
      </c>
    </row>
    <row r="21" ht="14.25" customHeight="1">
      <c r="A21" s="10" t="s">
        <v>20</v>
      </c>
      <c r="B21" s="7">
        <v>110.0</v>
      </c>
    </row>
    <row r="22" ht="14.25" customHeight="1">
      <c r="A22" s="10" t="s">
        <v>21</v>
      </c>
      <c r="B22" s="7">
        <v>118.0</v>
      </c>
    </row>
    <row r="23" ht="14.25" customHeight="1">
      <c r="A23" s="10" t="s">
        <v>22</v>
      </c>
      <c r="B23" s="7">
        <v>18.0</v>
      </c>
    </row>
    <row r="24" ht="14.25" customHeight="1">
      <c r="A24" s="10" t="s">
        <v>23</v>
      </c>
      <c r="B24" s="7">
        <v>11.0</v>
      </c>
    </row>
    <row r="25" ht="14.25" customHeight="1">
      <c r="A25" s="11" t="s">
        <v>24</v>
      </c>
      <c r="B25" s="7">
        <v>1.0</v>
      </c>
    </row>
    <row r="26" ht="14.25" customHeight="1">
      <c r="A26" s="12" t="s">
        <v>25</v>
      </c>
      <c r="B26" s="7">
        <v>2607.0</v>
      </c>
    </row>
    <row r="27" ht="14.25" customHeight="1">
      <c r="A27" s="13" t="s">
        <v>26</v>
      </c>
      <c r="B27" s="14">
        <v>2046.0</v>
      </c>
    </row>
    <row r="28" ht="14.25" customHeight="1">
      <c r="A28" s="15" t="s">
        <v>27</v>
      </c>
      <c r="B28" s="16">
        <v>4486.0</v>
      </c>
    </row>
    <row r="29" ht="14.25" customHeight="1">
      <c r="A29" s="15" t="s">
        <v>28</v>
      </c>
      <c r="B29" s="16">
        <v>6532.0</v>
      </c>
    </row>
    <row r="30" ht="14.25" customHeight="1">
      <c r="A30" s="15" t="s">
        <v>29</v>
      </c>
      <c r="B30" s="16">
        <v>488430.0</v>
      </c>
    </row>
    <row r="31" ht="14.25" customHeight="1">
      <c r="A31" s="15" t="s">
        <v>30</v>
      </c>
      <c r="B31" s="16">
        <v>2046.0</v>
      </c>
    </row>
    <row r="32" ht="14.25" customHeight="1">
      <c r="A32" s="15" t="s">
        <v>31</v>
      </c>
      <c r="B32" s="16">
        <v>312150.0</v>
      </c>
    </row>
    <row r="33" ht="14.25" customHeight="1">
      <c r="A33" s="15" t="s">
        <v>32</v>
      </c>
      <c r="B33" s="17">
        <v>4714.0</v>
      </c>
    </row>
    <row r="34" ht="14.25" customHeight="1">
      <c r="A34" s="15" t="s">
        <v>33</v>
      </c>
      <c r="B34" s="17">
        <v>187694.0</v>
      </c>
    </row>
    <row r="35" ht="31.5" customHeight="1">
      <c r="A35" s="18" t="s">
        <v>34</v>
      </c>
      <c r="B35" s="17">
        <v>3392412.0</v>
      </c>
    </row>
    <row r="36" ht="14.25" customHeight="1">
      <c r="A36" s="18" t="s">
        <v>35</v>
      </c>
      <c r="B36" s="17">
        <v>20596.0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151.0</v>
      </c>
      <c r="M30" s="29">
        <v>2068.0</v>
      </c>
      <c r="N30" s="29">
        <v>2286.0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2243.0</v>
      </c>
      <c r="N31" s="29">
        <v>2493.0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2461.0</v>
      </c>
      <c r="N32" s="29">
        <v>2776.0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2736.0</v>
      </c>
      <c r="N33" s="29">
        <v>3156.0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2898.0</v>
      </c>
      <c r="N34" s="29">
        <v>3398.0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3162.0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3702.0</v>
      </c>
      <c r="N36" s="29">
        <v>4375.0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4085.0</v>
      </c>
      <c r="N37" s="29">
        <v>4820.0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4703.0</v>
      </c>
      <c r="N38" s="29">
        <v>5536.0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5252.0</v>
      </c>
      <c r="N39" s="29">
        <v>6223.0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6171.0</v>
      </c>
      <c r="N40" s="29">
        <v>7323.0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1387.0</v>
      </c>
      <c r="M41" s="29">
        <v>7558.0</v>
      </c>
      <c r="N41" s="29">
        <v>8916.0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1296.0</v>
      </c>
      <c r="M42" s="29">
        <v>8854.0</v>
      </c>
      <c r="N42" s="29">
        <v>10472.0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10223.0</v>
      </c>
      <c r="N43" s="29">
        <v>12112.0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1189.0</v>
      </c>
      <c r="M44" s="29">
        <v>11412.0</v>
      </c>
      <c r="N44" s="29">
        <v>13578.0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2060.0</v>
      </c>
      <c r="M45" s="29">
        <v>13472.0</v>
      </c>
      <c r="N45" s="29">
        <v>16038.0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1509.0</v>
      </c>
      <c r="M46" s="29">
        <v>14981.0</v>
      </c>
      <c r="N46" s="29">
        <v>17827.0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1230.0</v>
      </c>
      <c r="M47" s="29">
        <v>16211.0</v>
      </c>
      <c r="N47" s="29">
        <v>19343.0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16946.0</v>
      </c>
      <c r="N48" s="29">
        <v>20265.0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18255.0</v>
      </c>
      <c r="N49" s="29">
        <v>21836.0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19573.0</v>
      </c>
      <c r="N50" s="29">
        <v>23460.0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1792.0</v>
      </c>
      <c r="M51" s="29">
        <v>21365.0</v>
      </c>
      <c r="N51" s="29">
        <v>25636.0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1239.0</v>
      </c>
      <c r="M52" s="29">
        <v>22604.0</v>
      </c>
      <c r="N52" s="29">
        <v>27166.0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23758.0</v>
      </c>
      <c r="N53" s="29">
        <v>28605.0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1516.0</v>
      </c>
      <c r="M54" s="29">
        <v>25274.0</v>
      </c>
      <c r="N54" s="29">
        <v>30458.0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1338.0</v>
      </c>
      <c r="M55" s="29">
        <v>26612.0</v>
      </c>
      <c r="N55" s="29">
        <v>32171.0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1469.0</v>
      </c>
      <c r="M56" s="29">
        <v>28081.0</v>
      </c>
      <c r="N56" s="29">
        <v>34023.0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1614.0</v>
      </c>
      <c r="M57" s="29">
        <v>29695.0</v>
      </c>
      <c r="N57" s="29">
        <v>36017.0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1585.0</v>
      </c>
      <c r="M58" s="29">
        <v>31280.0</v>
      </c>
      <c r="N58" s="29">
        <v>38013.0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2092.0</v>
      </c>
      <c r="M59" s="29">
        <v>33372.0</v>
      </c>
      <c r="N59" s="29">
        <v>40510.0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34830.0</v>
      </c>
      <c r="N60" s="29">
        <v>42267.0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1621.0</v>
      </c>
      <c r="M61" s="29">
        <v>36451.0</v>
      </c>
      <c r="N61" s="29">
        <v>44162.0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37435.0</v>
      </c>
      <c r="N62" s="29">
        <v>45352.0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38822.0</v>
      </c>
      <c r="N63" s="29">
        <v>47069.0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2010.0</v>
      </c>
      <c r="M64" s="29">
        <v>40832.0</v>
      </c>
      <c r="N64" s="29">
        <v>49450.0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1568.0</v>
      </c>
      <c r="M65" s="29">
        <v>42400.0</v>
      </c>
      <c r="N65" s="29">
        <v>51368.0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1785.0</v>
      </c>
      <c r="M66" s="29">
        <v>44185.0</v>
      </c>
      <c r="N66" s="29">
        <v>53476.0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45278.0</v>
      </c>
      <c r="N67" s="29">
        <v>54763.0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1304.0</v>
      </c>
      <c r="M68" s="29">
        <v>46582.0</v>
      </c>
      <c r="N68" s="29">
        <v>56250.0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1364.0</v>
      </c>
      <c r="M69" s="29">
        <v>47946.0</v>
      </c>
      <c r="N69" s="29">
        <v>57904.0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1709.0</v>
      </c>
      <c r="M70" s="29">
        <v>49655.0</v>
      </c>
      <c r="N70" s="29">
        <v>59913.0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51291.0</v>
      </c>
      <c r="N71" s="29">
        <v>61888.0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52953.0</v>
      </c>
      <c r="N72" s="29">
        <v>63821.0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1446.0</v>
      </c>
      <c r="M73" s="29">
        <v>54399.0</v>
      </c>
      <c r="N73" s="29">
        <v>65496.0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1949.0</v>
      </c>
      <c r="M74" s="29">
        <v>56348.0</v>
      </c>
      <c r="N74" s="29">
        <v>67733.0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1316.0</v>
      </c>
      <c r="M75" s="29">
        <v>57664.0</v>
      </c>
      <c r="N75" s="29">
        <v>69239.0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1151.0</v>
      </c>
      <c r="M76" s="29">
        <v>58815.0</v>
      </c>
      <c r="N76" s="29">
        <v>70563.0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60231.0</v>
      </c>
      <c r="N77" s="29">
        <v>72204.0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1707.0</v>
      </c>
      <c r="M78" s="29">
        <v>61938.0</v>
      </c>
      <c r="N78" s="29">
        <v>74110.0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1733.0</v>
      </c>
      <c r="M79" s="29">
        <v>63671.0</v>
      </c>
      <c r="N79" s="29">
        <v>76076.0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1583.0</v>
      </c>
      <c r="M80" s="29">
        <v>65254.0</v>
      </c>
      <c r="N80" s="29">
        <v>77891.0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66942.0</v>
      </c>
      <c r="N81" s="29">
        <v>79826.0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1350.0</v>
      </c>
      <c r="M82" s="29">
        <v>68292.0</v>
      </c>
      <c r="N82" s="29">
        <v>81302.0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1230.0</v>
      </c>
      <c r="M83" s="29">
        <v>69522.0</v>
      </c>
      <c r="N83" s="29">
        <v>82666.0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1723.0</v>
      </c>
      <c r="M84" s="29">
        <v>71245.0</v>
      </c>
      <c r="N84" s="29">
        <v>84604.0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72605.0</v>
      </c>
      <c r="N85" s="29">
        <v>86147.0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1730.0</v>
      </c>
      <c r="M86" s="29">
        <v>74335.0</v>
      </c>
      <c r="N86" s="29">
        <v>88045.0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1416.0</v>
      </c>
      <c r="M87" s="29">
        <v>75751.0</v>
      </c>
      <c r="N87" s="29">
        <v>89667.0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1137.0</v>
      </c>
      <c r="M88" s="29">
        <v>76888.0</v>
      </c>
      <c r="N88" s="29">
        <v>90913.0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692.0</v>
      </c>
      <c r="M89" s="29">
        <v>77580.0</v>
      </c>
      <c r="N89" s="29">
        <v>91689.0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78214.0</v>
      </c>
      <c r="N90" s="29">
        <v>92400.0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1464.0</v>
      </c>
      <c r="M91" s="29">
        <v>79678.0</v>
      </c>
      <c r="N91" s="29">
        <v>94022.0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1026.0</v>
      </c>
      <c r="M92" s="29">
        <v>80704.0</v>
      </c>
      <c r="N92" s="29">
        <v>95180.0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977.0</v>
      </c>
      <c r="M93" s="29">
        <v>81681.0</v>
      </c>
      <c r="N93" s="29">
        <v>96287.0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1376.0</v>
      </c>
      <c r="M94" s="29">
        <v>83057.0</v>
      </c>
      <c r="N94" s="29">
        <v>97838.0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1548.0</v>
      </c>
      <c r="M95" s="29">
        <v>84605.0</v>
      </c>
      <c r="N95" s="29">
        <v>99495.0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85353.0</v>
      </c>
      <c r="N96" s="29">
        <v>100321.0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86586.0</v>
      </c>
      <c r="N97" s="29">
        <v>101647.0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1279.0</v>
      </c>
      <c r="M98" s="29">
        <v>87865.0</v>
      </c>
      <c r="N98" s="29">
        <v>103024.0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1498.0</v>
      </c>
      <c r="M99" s="29">
        <v>89363.0</v>
      </c>
      <c r="N99" s="29">
        <v>104621.0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1786.0</v>
      </c>
      <c r="M100" s="29">
        <v>91149.0</v>
      </c>
      <c r="N100" s="29">
        <v>106514.0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1347.0</v>
      </c>
      <c r="M101" s="29">
        <v>92496.0</v>
      </c>
      <c r="N101" s="29">
        <v>107960.0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996.0</v>
      </c>
      <c r="M102" s="29">
        <v>93492.0</v>
      </c>
      <c r="N102" s="29">
        <v>109023.0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94203.0</v>
      </c>
      <c r="N103" s="29">
        <v>109784.0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15625.0</v>
      </c>
      <c r="L104" s="36">
        <v>868.0</v>
      </c>
      <c r="M104" s="36">
        <v>95071.0</v>
      </c>
      <c r="N104" s="36">
        <v>110696.0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15689.0</v>
      </c>
      <c r="L105" s="36">
        <v>1130.0</v>
      </c>
      <c r="M105" s="36">
        <v>96201.0</v>
      </c>
      <c r="N105" s="36">
        <v>111890.0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15790.0</v>
      </c>
      <c r="L106" s="36">
        <v>1335.0</v>
      </c>
      <c r="M106" s="36">
        <v>97536.0</v>
      </c>
      <c r="N106" s="36">
        <v>113326.0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15878.0</v>
      </c>
      <c r="L107" s="36">
        <v>1388.0</v>
      </c>
      <c r="M107" s="36">
        <v>98924.0</v>
      </c>
      <c r="N107" s="36">
        <v>114802.0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15956.0</v>
      </c>
      <c r="L108" s="36">
        <v>1871.0</v>
      </c>
      <c r="M108" s="36">
        <v>100795.0</v>
      </c>
      <c r="N108" s="36">
        <v>116751.0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16005.0</v>
      </c>
      <c r="L109" s="36">
        <v>1179.0</v>
      </c>
      <c r="M109" s="36">
        <v>101974.0</v>
      </c>
      <c r="N109" s="36">
        <v>117979.0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16038.0</v>
      </c>
      <c r="L110" s="36">
        <v>884.0</v>
      </c>
      <c r="M110" s="36">
        <v>102858.0</v>
      </c>
      <c r="N110" s="36">
        <v>118896.0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16113.0</v>
      </c>
      <c r="L111" s="36">
        <v>1627.0</v>
      </c>
      <c r="M111" s="36">
        <v>104485.0</v>
      </c>
      <c r="N111" s="36">
        <v>120598.0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16163.0</v>
      </c>
      <c r="L112" s="36">
        <v>1401.0</v>
      </c>
      <c r="M112" s="36">
        <v>105886.0</v>
      </c>
      <c r="N112" s="36">
        <v>122049.0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16214.0</v>
      </c>
      <c r="L113" s="36">
        <v>1202.0</v>
      </c>
      <c r="M113" s="36">
        <v>107088.0</v>
      </c>
      <c r="N113" s="36">
        <v>123302.0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16284.0</v>
      </c>
      <c r="L114" s="36">
        <v>1191.0</v>
      </c>
      <c r="M114" s="36">
        <v>108279.0</v>
      </c>
      <c r="N114" s="36">
        <v>124563.0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16343.0</v>
      </c>
      <c r="L115" s="36">
        <v>1228.0</v>
      </c>
      <c r="M115" s="36">
        <v>109507.0</v>
      </c>
      <c r="N115" s="36">
        <v>125850.0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16379.0</v>
      </c>
      <c r="L116" s="36">
        <v>727.0</v>
      </c>
      <c r="M116" s="36">
        <v>110234.0</v>
      </c>
      <c r="N116" s="36">
        <v>126613.0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16409.0</v>
      </c>
      <c r="L117" s="36">
        <v>623.0</v>
      </c>
      <c r="M117" s="36">
        <v>110857.0</v>
      </c>
      <c r="N117" s="36">
        <v>127266.0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16474.0</v>
      </c>
      <c r="L118" s="36">
        <v>1551.0</v>
      </c>
      <c r="M118" s="36">
        <v>112408.0</v>
      </c>
      <c r="N118" s="36">
        <v>128882.0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16555.0</v>
      </c>
      <c r="L119" s="36">
        <v>1629.0</v>
      </c>
      <c r="M119" s="36">
        <v>114037.0</v>
      </c>
      <c r="N119" s="36">
        <v>130592.0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16600.0</v>
      </c>
      <c r="L120" s="36">
        <v>1525.0</v>
      </c>
      <c r="M120" s="36">
        <v>115562.0</v>
      </c>
      <c r="N120" s="36">
        <v>132162.0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16651.0</v>
      </c>
      <c r="L121" s="36">
        <v>1358.0</v>
      </c>
      <c r="M121" s="36">
        <v>116920.0</v>
      </c>
      <c r="N121" s="36">
        <v>133571.0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16711.0</v>
      </c>
      <c r="L122" s="36">
        <v>1229.0</v>
      </c>
      <c r="M122" s="36">
        <v>118149.0</v>
      </c>
      <c r="N122" s="36">
        <v>134860.0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16748.0</v>
      </c>
      <c r="L123" s="36">
        <v>1110.0</v>
      </c>
      <c r="M123" s="36">
        <v>119259.0</v>
      </c>
      <c r="N123" s="36">
        <v>136007.0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16765.0</v>
      </c>
      <c r="L124" s="36">
        <v>549.0</v>
      </c>
      <c r="M124" s="36">
        <v>119808.0</v>
      </c>
      <c r="N124" s="36">
        <v>136573.0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16805.0</v>
      </c>
      <c r="L125" s="36">
        <v>1240.0</v>
      </c>
      <c r="M125" s="36">
        <v>121048.0</v>
      </c>
      <c r="N125" s="36">
        <v>137853.0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16838.0</v>
      </c>
      <c r="L126" s="36">
        <v>908.0</v>
      </c>
      <c r="M126" s="36">
        <v>121956.0</v>
      </c>
      <c r="N126" s="36">
        <v>138794.0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16917.0</v>
      </c>
      <c r="L127" s="36">
        <v>1746.0</v>
      </c>
      <c r="M127" s="36">
        <v>123702.0</v>
      </c>
      <c r="N127" s="36">
        <v>140619.0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16976.0</v>
      </c>
      <c r="L128" s="36">
        <v>975.0</v>
      </c>
      <c r="M128" s="36">
        <v>124677.0</v>
      </c>
      <c r="N128" s="36">
        <v>141653.0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17000.0</v>
      </c>
      <c r="L129" s="36">
        <v>719.0</v>
      </c>
      <c r="M129" s="36">
        <v>125396.0</v>
      </c>
      <c r="N129" s="36">
        <v>142396.0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17033.0</v>
      </c>
      <c r="L130" s="36">
        <v>911.0</v>
      </c>
      <c r="M130" s="36">
        <v>126307.0</v>
      </c>
      <c r="N130" s="36">
        <v>143340.0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17059.0</v>
      </c>
      <c r="L131" s="36">
        <v>1311.0</v>
      </c>
      <c r="M131" s="36">
        <v>127618.0</v>
      </c>
      <c r="N131" s="36">
        <v>144677.0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17116.0</v>
      </c>
      <c r="L132" s="36">
        <v>1428.0</v>
      </c>
      <c r="M132" s="36">
        <v>129046.0</v>
      </c>
      <c r="N132" s="36">
        <v>146162.0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17163.0</v>
      </c>
      <c r="L133" s="36">
        <v>1412.0</v>
      </c>
      <c r="M133" s="36">
        <v>130458.0</v>
      </c>
      <c r="N133" s="36">
        <v>147621.0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17227.0</v>
      </c>
      <c r="L134" s="36">
        <v>1290.0</v>
      </c>
      <c r="M134" s="36">
        <v>131748.0</v>
      </c>
      <c r="N134" s="36">
        <v>148975.0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17277.0</v>
      </c>
      <c r="L135" s="36">
        <v>1471.0</v>
      </c>
      <c r="M135" s="36">
        <v>133219.0</v>
      </c>
      <c r="N135" s="36">
        <v>150496.0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17357.0</v>
      </c>
      <c r="L136" s="36">
        <v>1890.0</v>
      </c>
      <c r="M136" s="36">
        <v>135109.0</v>
      </c>
      <c r="N136" s="36">
        <v>152466.0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17393.0</v>
      </c>
      <c r="L137" s="36">
        <v>1197.0</v>
      </c>
      <c r="M137" s="36">
        <v>136306.0</v>
      </c>
      <c r="N137" s="36">
        <v>153699.0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17427.0</v>
      </c>
      <c r="L138" s="36">
        <v>862.0</v>
      </c>
      <c r="M138" s="36">
        <v>137168.0</v>
      </c>
      <c r="N138" s="36">
        <v>154595.0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17488.0</v>
      </c>
      <c r="L139" s="36">
        <v>1371.0</v>
      </c>
      <c r="M139" s="36">
        <v>138539.0</v>
      </c>
      <c r="N139" s="36">
        <v>156027.0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17532.0</v>
      </c>
      <c r="L140" s="36">
        <v>1288.0</v>
      </c>
      <c r="M140" s="36">
        <v>139827.0</v>
      </c>
      <c r="N140" s="36">
        <v>157359.0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17632.0</v>
      </c>
      <c r="L141" s="36">
        <v>1591.0</v>
      </c>
      <c r="M141" s="36">
        <v>141418.0</v>
      </c>
      <c r="N141" s="36">
        <v>159050.0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17708.0</v>
      </c>
      <c r="L142" s="36">
        <v>1472.0</v>
      </c>
      <c r="M142" s="36">
        <v>142890.0</v>
      </c>
      <c r="N142" s="36">
        <v>160598.0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17787.0</v>
      </c>
      <c r="L143" s="36">
        <v>1701.0</v>
      </c>
      <c r="M143" s="36">
        <v>144591.0</v>
      </c>
      <c r="N143" s="36">
        <v>162378.0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17857.0</v>
      </c>
      <c r="L144" s="36">
        <v>1286.0</v>
      </c>
      <c r="M144" s="36">
        <v>145877.0</v>
      </c>
      <c r="N144" s="36">
        <v>163734.0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17914.0</v>
      </c>
      <c r="L145" s="36">
        <v>1049.0</v>
      </c>
      <c r="M145" s="36">
        <v>146926.0</v>
      </c>
      <c r="N145" s="36">
        <v>164840.0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17982.0</v>
      </c>
      <c r="L146" s="36">
        <v>1338.0</v>
      </c>
      <c r="M146" s="36">
        <v>148264.0</v>
      </c>
      <c r="N146" s="36">
        <v>166246.0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18090.0</v>
      </c>
      <c r="L147" s="36">
        <v>1738.0</v>
      </c>
      <c r="M147" s="36">
        <v>150002.0</v>
      </c>
      <c r="N147" s="36">
        <v>168092.0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18176.0</v>
      </c>
      <c r="L148" s="36">
        <v>1538.0</v>
      </c>
      <c r="M148" s="36">
        <v>151540.0</v>
      </c>
      <c r="N148" s="36">
        <v>169716.0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18291.0</v>
      </c>
      <c r="L149" s="36">
        <v>1797.0</v>
      </c>
      <c r="M149" s="36">
        <v>153337.0</v>
      </c>
      <c r="N149" s="36">
        <v>171628.0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18410.0</v>
      </c>
      <c r="L150" s="36">
        <v>2103.0</v>
      </c>
      <c r="M150" s="36">
        <v>155440.0</v>
      </c>
      <c r="N150" s="36">
        <v>173850.0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18517.0</v>
      </c>
      <c r="L151" s="36">
        <v>1935.0</v>
      </c>
      <c r="M151" s="36">
        <v>157375.0</v>
      </c>
      <c r="N151" s="36">
        <v>175892.0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18571.0</v>
      </c>
      <c r="L152" s="36">
        <v>1201.0</v>
      </c>
      <c r="M152" s="36">
        <v>158576.0</v>
      </c>
      <c r="N152" s="36">
        <v>177147.0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18710.0</v>
      </c>
      <c r="L153" s="36">
        <v>2120.0</v>
      </c>
      <c r="M153" s="36">
        <v>160696.0</v>
      </c>
      <c r="N153" s="36">
        <v>179406.0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18805.0</v>
      </c>
      <c r="L154" s="36">
        <v>1500.0</v>
      </c>
      <c r="M154" s="36">
        <v>162196.0</v>
      </c>
      <c r="N154" s="36">
        <v>181001.0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18958.0</v>
      </c>
      <c r="L155" s="36">
        <v>2098.0</v>
      </c>
      <c r="M155" s="36">
        <v>164294.0</v>
      </c>
      <c r="N155" s="36">
        <v>183252.0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19054.0</v>
      </c>
      <c r="L156" s="36">
        <v>1492.0</v>
      </c>
      <c r="M156" s="36">
        <v>165786.0</v>
      </c>
      <c r="N156" s="36">
        <v>184840.0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19143.0</v>
      </c>
      <c r="L157" s="36">
        <v>1667.0</v>
      </c>
      <c r="M157" s="36">
        <v>167453.0</v>
      </c>
      <c r="N157" s="36">
        <v>186596.0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19232.0</v>
      </c>
      <c r="L158" s="36">
        <v>1414.0</v>
      </c>
      <c r="M158" s="36">
        <v>168867.0</v>
      </c>
      <c r="N158" s="36">
        <v>188099.0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19294.0</v>
      </c>
      <c r="L159" s="36">
        <v>1176.0</v>
      </c>
      <c r="M159" s="36">
        <v>170043.0</v>
      </c>
      <c r="N159" s="36">
        <v>189337.0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19444.0</v>
      </c>
      <c r="L160" s="36">
        <v>2013.0</v>
      </c>
      <c r="M160" s="36">
        <v>172056.0</v>
      </c>
      <c r="N160" s="36">
        <v>191500.0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19543.0</v>
      </c>
      <c r="L161" s="36">
        <v>1619.0</v>
      </c>
      <c r="M161" s="36">
        <v>173675.0</v>
      </c>
      <c r="N161" s="36">
        <v>193218.0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19662.0</v>
      </c>
      <c r="L162" s="36">
        <v>2249.0</v>
      </c>
      <c r="M162" s="36">
        <v>175924.0</v>
      </c>
      <c r="N162" s="36">
        <v>195586.0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19782.0</v>
      </c>
      <c r="L163" s="36">
        <v>2143.0</v>
      </c>
      <c r="M163" s="36">
        <v>178067.0</v>
      </c>
      <c r="N163" s="36">
        <v>197849.0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19868.0</v>
      </c>
      <c r="L164" s="36">
        <v>1945.0</v>
      </c>
      <c r="M164" s="36">
        <v>180012.0</v>
      </c>
      <c r="N164" s="36">
        <v>199880.0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1646.0</v>
      </c>
      <c r="M165" s="36">
        <v>181658.0</v>
      </c>
      <c r="N165" s="36">
        <v>201617.0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969.0</v>
      </c>
      <c r="M166" s="36">
        <v>182627.0</v>
      </c>
      <c r="N166" s="36">
        <v>202621.0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1854.0</v>
      </c>
      <c r="M167" s="36">
        <v>184481.0</v>
      </c>
      <c r="N167" s="36">
        <v>204588.0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2087.0</v>
      </c>
      <c r="M168" s="36">
        <v>186568.0</v>
      </c>
      <c r="N168" s="36">
        <v>206766.0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2386.0</v>
      </c>
      <c r="M169" s="36">
        <v>188954.0</v>
      </c>
      <c r="N169" s="36">
        <v>209254.0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1746.0</v>
      </c>
      <c r="M170" s="36">
        <v>190700.0</v>
      </c>
      <c r="N170" s="36">
        <v>211095.0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1792.0</v>
      </c>
      <c r="M171" s="36">
        <v>192492.0</v>
      </c>
      <c r="N171" s="36">
        <v>212985.0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1551.0</v>
      </c>
      <c r="M172" s="36">
        <v>194043.0</v>
      </c>
      <c r="N172" s="36">
        <v>214623.0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20649.0</v>
      </c>
      <c r="L173" s="36">
        <v>878.0</v>
      </c>
      <c r="M173" s="36">
        <v>194921.0</v>
      </c>
      <c r="N173" s="36">
        <v>215570.0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2191.0</v>
      </c>
      <c r="M174" s="36">
        <v>197112.0</v>
      </c>
      <c r="N174" s="36">
        <v>217848.0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2514.0</v>
      </c>
      <c r="M175" s="36">
        <v>199626.0</v>
      </c>
      <c r="N175" s="36">
        <v>220455.0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2364.0</v>
      </c>
      <c r="M176" s="36">
        <v>201990.0</v>
      </c>
      <c r="N176" s="36">
        <v>222909.0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3223.0</v>
      </c>
      <c r="M177" s="36">
        <v>205213.0</v>
      </c>
      <c r="N177" s="36">
        <v>226270.0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2665.0</v>
      </c>
      <c r="M178" s="36">
        <v>207878.0</v>
      </c>
      <c r="N178" s="36">
        <v>229060.0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2322.0</v>
      </c>
      <c r="M179" s="36">
        <v>210200.0</v>
      </c>
      <c r="N179" s="36">
        <v>231466.0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2207.0</v>
      </c>
      <c r="M180" s="36">
        <v>212407.0</v>
      </c>
      <c r="N180" s="36">
        <v>233729.0</v>
      </c>
      <c r="O180" s="36">
        <v>11.0</v>
      </c>
      <c r="P180" s="38">
        <v>2427.0</v>
      </c>
      <c r="Q180" s="38">
        <v>5.0</v>
      </c>
      <c r="R180" s="38">
        <v>2011.0</v>
      </c>
      <c r="S180" s="38">
        <v>0.0</v>
      </c>
      <c r="T180" s="38">
        <v>334.0</v>
      </c>
      <c r="U180" s="38">
        <v>82.0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2859.0</v>
      </c>
      <c r="M181" s="36">
        <v>215266.0</v>
      </c>
      <c r="N181" s="36">
        <v>236665.0</v>
      </c>
      <c r="O181" s="36">
        <v>7.0</v>
      </c>
      <c r="P181" s="38">
        <v>2434.0</v>
      </c>
      <c r="Q181" s="38">
        <v>10.0</v>
      </c>
      <c r="R181" s="38">
        <v>2021.0</v>
      </c>
      <c r="S181" s="38">
        <v>1.0</v>
      </c>
      <c r="T181" s="38">
        <v>335.0</v>
      </c>
      <c r="U181" s="38">
        <v>78.0</v>
      </c>
      <c r="V181" s="38">
        <v>79.0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2116.0</v>
      </c>
      <c r="M182" s="36">
        <v>217382.0</v>
      </c>
      <c r="N182" s="36">
        <v>238874.0</v>
      </c>
      <c r="O182" s="36">
        <v>10.0</v>
      </c>
      <c r="P182" s="38">
        <v>2444.0</v>
      </c>
      <c r="Q182" s="38">
        <v>4.0</v>
      </c>
      <c r="R182" s="38">
        <v>2025.0</v>
      </c>
      <c r="S182" s="38">
        <v>1.0</v>
      </c>
      <c r="T182" s="38">
        <v>336.0</v>
      </c>
      <c r="U182" s="38">
        <v>83.0</v>
      </c>
      <c r="V182" s="38">
        <v>81.0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2819.0</v>
      </c>
      <c r="M183" s="36">
        <v>220201.0</v>
      </c>
      <c r="N183" s="36">
        <v>241820.0</v>
      </c>
      <c r="O183" s="36">
        <v>4.0</v>
      </c>
      <c r="P183" s="38">
        <v>2448.0</v>
      </c>
      <c r="Q183" s="38">
        <v>8.0</v>
      </c>
      <c r="R183" s="38">
        <v>2033.0</v>
      </c>
      <c r="S183" s="38">
        <v>0.0</v>
      </c>
      <c r="T183" s="38">
        <v>336.0</v>
      </c>
      <c r="U183" s="38">
        <v>79.0</v>
      </c>
      <c r="V183" s="38">
        <v>80.0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2896.0</v>
      </c>
      <c r="M184" s="36">
        <v>223097.0</v>
      </c>
      <c r="N184" s="36">
        <v>244785.0</v>
      </c>
      <c r="O184" s="36">
        <v>6.0</v>
      </c>
      <c r="P184" s="38">
        <v>2454.0</v>
      </c>
      <c r="Q184" s="38">
        <v>14.0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2221.0</v>
      </c>
      <c r="M185" s="36">
        <v>225318.0</v>
      </c>
      <c r="N185" s="36">
        <v>247092.0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1776.0</v>
      </c>
      <c r="M186" s="36">
        <v>227094.0</v>
      </c>
      <c r="N186" s="36">
        <v>248920.0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1843.0</v>
      </c>
      <c r="M187" s="36">
        <v>228937.0</v>
      </c>
      <c r="N187" s="36">
        <v>250811.0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2035.0</v>
      </c>
      <c r="M188" s="36">
        <v>230972.0</v>
      </c>
      <c r="N188" s="36">
        <v>252927.0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2198.0</v>
      </c>
      <c r="M189" s="36">
        <v>233170.0</v>
      </c>
      <c r="N189" s="36">
        <v>255191.0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22126.0</v>
      </c>
      <c r="L190" s="36">
        <v>2819.0</v>
      </c>
      <c r="M190" s="36">
        <v>235989.0</v>
      </c>
      <c r="N190" s="36">
        <v>258115.0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22200.0</v>
      </c>
      <c r="L191" s="36">
        <v>2347.0</v>
      </c>
      <c r="M191" s="36">
        <v>238336.0</v>
      </c>
      <c r="N191" s="36">
        <v>260536.0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22282.0</v>
      </c>
      <c r="L192" s="36">
        <v>2172.0</v>
      </c>
      <c r="M192" s="36">
        <v>240508.0</v>
      </c>
      <c r="N192" s="36">
        <v>262790.0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22324.0</v>
      </c>
      <c r="L193" s="36">
        <v>1456.0</v>
      </c>
      <c r="M193" s="36">
        <v>241964.0</v>
      </c>
      <c r="N193" s="36">
        <v>264288.0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22389.0</v>
      </c>
      <c r="L194" s="36">
        <v>1769.0</v>
      </c>
      <c r="M194" s="36">
        <v>243733.0</v>
      </c>
      <c r="N194" s="36">
        <v>266122.0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22415.0</v>
      </c>
      <c r="L195" s="36">
        <v>593.0</v>
      </c>
      <c r="M195" s="36">
        <v>244326.0</v>
      </c>
      <c r="N195" s="36">
        <v>266741.0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22481.0</v>
      </c>
      <c r="L196" s="36">
        <v>1445.0</v>
      </c>
      <c r="M196" s="36">
        <v>245771.0</v>
      </c>
      <c r="N196" s="36">
        <v>268252.0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22583.0</v>
      </c>
      <c r="L197" s="36">
        <v>1953.0</v>
      </c>
      <c r="M197" s="36">
        <v>247724.0</v>
      </c>
      <c r="N197" s="36">
        <v>270307.0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22694.0</v>
      </c>
      <c r="L198" s="36">
        <v>2066.0</v>
      </c>
      <c r="M198" s="36">
        <v>249790.0</v>
      </c>
      <c r="N198" s="36">
        <v>272484.0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22789.0</v>
      </c>
      <c r="L199" s="36">
        <v>1795.0</v>
      </c>
      <c r="M199" s="36">
        <v>251585.0</v>
      </c>
      <c r="N199" s="36">
        <v>274374.0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22886.0</v>
      </c>
      <c r="L200" s="36">
        <v>1361.0</v>
      </c>
      <c r="M200" s="36">
        <v>252946.0</v>
      </c>
      <c r="N200" s="36">
        <v>275832.0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22939.0</v>
      </c>
      <c r="L201" s="36">
        <v>800.0</v>
      </c>
      <c r="M201" s="36">
        <v>253746.0</v>
      </c>
      <c r="N201" s="36">
        <v>276685.0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23035.0</v>
      </c>
      <c r="L202" s="36">
        <v>1566.0</v>
      </c>
      <c r="M202" s="36">
        <v>255312.0</v>
      </c>
      <c r="N202" s="36">
        <v>278347.0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23158.0</v>
      </c>
      <c r="L203" s="36">
        <v>1996.0</v>
      </c>
      <c r="M203" s="36">
        <v>257308.0</v>
      </c>
      <c r="N203" s="36">
        <v>280466.0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23275.0</v>
      </c>
      <c r="L204" s="36">
        <v>1802.0</v>
      </c>
      <c r="M204" s="36">
        <v>259110.0</v>
      </c>
      <c r="N204" s="36">
        <v>282385.0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23428.0</v>
      </c>
      <c r="L205" s="36">
        <v>1766.0</v>
      </c>
      <c r="M205" s="36">
        <v>260876.0</v>
      </c>
      <c r="N205" s="36">
        <v>284304.0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23559.0</v>
      </c>
      <c r="L206" s="36">
        <v>1742.0</v>
      </c>
      <c r="M206" s="36">
        <v>262618.0</v>
      </c>
      <c r="N206" s="36">
        <v>286177.0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23670.0</v>
      </c>
      <c r="L207" s="36">
        <v>1559.0</v>
      </c>
      <c r="M207" s="36">
        <v>264177.0</v>
      </c>
      <c r="N207" s="36">
        <v>287847.0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23719.0</v>
      </c>
      <c r="L208" s="36">
        <v>1197.0</v>
      </c>
      <c r="M208" s="36">
        <v>265374.0</v>
      </c>
      <c r="N208" s="36">
        <v>289093.0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23814.0</v>
      </c>
      <c r="L209" s="36">
        <v>2256.0</v>
      </c>
      <c r="M209" s="36">
        <v>267630.0</v>
      </c>
      <c r="N209" s="36">
        <v>291444.0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23937.0</v>
      </c>
      <c r="L210" s="36">
        <v>1997.0</v>
      </c>
      <c r="M210" s="36">
        <v>269627.0</v>
      </c>
      <c r="N210" s="36">
        <v>293564.0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24065.0</v>
      </c>
      <c r="L211" s="36">
        <v>2026.0</v>
      </c>
      <c r="M211" s="36">
        <v>271653.0</v>
      </c>
      <c r="N211" s="36">
        <v>295718.0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24182.0</v>
      </c>
      <c r="L212" s="36">
        <v>2865.0</v>
      </c>
      <c r="M212" s="36">
        <v>274518.0</v>
      </c>
      <c r="N212" s="36">
        <v>298700.0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24325.0</v>
      </c>
      <c r="L213" s="36">
        <v>2725.0</v>
      </c>
      <c r="M213" s="36">
        <v>277243.0</v>
      </c>
      <c r="N213" s="36">
        <v>301568.0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24445.0</v>
      </c>
      <c r="L214" s="36">
        <v>2272.0</v>
      </c>
      <c r="M214" s="36">
        <v>279515.0</v>
      </c>
      <c r="N214" s="36">
        <v>303960.0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24479.0</v>
      </c>
      <c r="L215" s="36">
        <v>784.0</v>
      </c>
      <c r="M215" s="36">
        <v>280299.0</v>
      </c>
      <c r="N215" s="36">
        <v>304778.0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24616.0</v>
      </c>
      <c r="L216" s="36">
        <v>2096.0</v>
      </c>
      <c r="M216" s="36">
        <v>282395.0</v>
      </c>
      <c r="N216" s="36">
        <v>307011.0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24801.0</v>
      </c>
      <c r="L217" s="36">
        <v>2557.0</v>
      </c>
      <c r="M217" s="36">
        <v>284952.0</v>
      </c>
      <c r="N217" s="36">
        <v>309753.0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24990.0</v>
      </c>
      <c r="L218" s="36">
        <v>2360.0</v>
      </c>
      <c r="M218" s="36">
        <v>287312.0</v>
      </c>
      <c r="N218" s="36">
        <v>312302.0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25156.0</v>
      </c>
      <c r="L219" s="36">
        <v>2182.0</v>
      </c>
      <c r="M219" s="36">
        <v>289494.0</v>
      </c>
      <c r="N219" s="36">
        <v>314650.0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25339.0</v>
      </c>
      <c r="L220" s="36">
        <v>2273.0</v>
      </c>
      <c r="M220" s="36">
        <v>291767.0</v>
      </c>
      <c r="N220" s="36">
        <v>317106.0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25470.0</v>
      </c>
      <c r="L221" s="36">
        <v>1858.0</v>
      </c>
      <c r="M221" s="36">
        <v>293625.0</v>
      </c>
      <c r="N221" s="36">
        <v>319095.0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25547.0</v>
      </c>
      <c r="L222" s="36">
        <v>869.0</v>
      </c>
      <c r="M222" s="36">
        <v>294494.0</v>
      </c>
      <c r="N222" s="36">
        <v>320041.0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25707.0</v>
      </c>
      <c r="L223" s="36">
        <v>2792.0</v>
      </c>
      <c r="M223" s="36">
        <v>297286.0</v>
      </c>
      <c r="N223" s="36">
        <v>322993.0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25894.0</v>
      </c>
      <c r="L224" s="36">
        <v>2644.0</v>
      </c>
      <c r="M224" s="36">
        <v>299930.0</v>
      </c>
      <c r="N224" s="36">
        <v>325824.0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26137.0</v>
      </c>
      <c r="L225" s="36">
        <v>3223.0</v>
      </c>
      <c r="M225" s="36">
        <v>303153.0</v>
      </c>
      <c r="N225" s="36">
        <v>329290.0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26412.0</v>
      </c>
      <c r="L226" s="36">
        <v>3820.0</v>
      </c>
      <c r="M226" s="36">
        <v>306973.0</v>
      </c>
      <c r="N226" s="36">
        <v>333385.0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26612.0</v>
      </c>
      <c r="L227" s="36">
        <v>3827.0</v>
      </c>
      <c r="M227" s="36">
        <v>310800.0</v>
      </c>
      <c r="N227" s="36">
        <v>337412.0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26804.0</v>
      </c>
      <c r="L228" s="36">
        <v>3445.0</v>
      </c>
      <c r="M228" s="36">
        <v>314245.0</v>
      </c>
      <c r="N228" s="36">
        <v>341049.0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26892.0</v>
      </c>
      <c r="L229" s="36">
        <v>1074.0</v>
      </c>
      <c r="M229" s="36">
        <v>315319.0</v>
      </c>
      <c r="N229" s="36">
        <v>342211.0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27049.0</v>
      </c>
      <c r="L230" s="36">
        <v>1587.0</v>
      </c>
      <c r="M230" s="36">
        <v>316906.0</v>
      </c>
      <c r="N230" s="36">
        <v>343955.0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27262.0</v>
      </c>
      <c r="L231" s="36">
        <v>2141.0</v>
      </c>
      <c r="M231" s="36">
        <v>319047.0</v>
      </c>
      <c r="N231" s="36">
        <v>346309.0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27567.0</v>
      </c>
      <c r="L232" s="36">
        <v>3683.0</v>
      </c>
      <c r="M232" s="36">
        <v>322730.0</v>
      </c>
      <c r="N232" s="36">
        <v>350297.0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27819.0</v>
      </c>
      <c r="L233" s="36">
        <v>3270.0</v>
      </c>
      <c r="M233" s="36">
        <v>326000.0</v>
      </c>
      <c r="N233" s="36">
        <v>353819.0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28095.0</v>
      </c>
      <c r="L234" s="36">
        <v>3077.0</v>
      </c>
      <c r="M234" s="36">
        <v>329077.0</v>
      </c>
      <c r="N234" s="36">
        <v>357172.0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28403.0</v>
      </c>
      <c r="L235" s="36">
        <v>2965.0</v>
      </c>
      <c r="M235" s="36">
        <v>332042.0</v>
      </c>
      <c r="N235" s="36">
        <v>360445.0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28528.0</v>
      </c>
      <c r="L236" s="36">
        <v>1197.0</v>
      </c>
      <c r="M236" s="36">
        <v>333239.0</v>
      </c>
      <c r="N236" s="36">
        <v>361767.0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28846.0</v>
      </c>
      <c r="L237" s="36">
        <v>2378.0</v>
      </c>
      <c r="M237" s="36">
        <v>335617.0</v>
      </c>
      <c r="N237" s="36">
        <v>364463.0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29229.0</v>
      </c>
      <c r="L238" s="36">
        <v>2770.0</v>
      </c>
      <c r="M238" s="36">
        <v>338387.0</v>
      </c>
      <c r="N238" s="36">
        <v>367616.0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29699.0</v>
      </c>
      <c r="L239" s="36">
        <v>3198.0</v>
      </c>
      <c r="M239" s="36">
        <v>341585.0</v>
      </c>
      <c r="N239" s="36">
        <v>371284.0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30184.0</v>
      </c>
      <c r="L240" s="36">
        <v>2935.0</v>
      </c>
      <c r="M240" s="36">
        <v>344520.0</v>
      </c>
      <c r="N240" s="36">
        <v>374704.0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30644.0</v>
      </c>
      <c r="L241" s="36">
        <v>2614.0</v>
      </c>
      <c r="M241" s="36">
        <v>347134.0</v>
      </c>
      <c r="N241" s="36">
        <v>377778.0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30980.0</v>
      </c>
      <c r="L242" s="36">
        <v>2076.0</v>
      </c>
      <c r="M242" s="36">
        <v>349210.0</v>
      </c>
      <c r="N242" s="36">
        <v>380190.0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31191.0</v>
      </c>
      <c r="L243" s="36">
        <v>1339.0</v>
      </c>
      <c r="M243" s="36">
        <v>350549.0</v>
      </c>
      <c r="N243" s="36">
        <v>381740.0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31593.0</v>
      </c>
      <c r="L244" s="36">
        <v>2747.0</v>
      </c>
      <c r="M244" s="36">
        <v>353296.0</v>
      </c>
      <c r="N244" s="36">
        <v>384889.0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453.0</v>
      </c>
      <c r="J245" s="36">
        <v>355.0</v>
      </c>
      <c r="K245" s="36">
        <v>32046.0</v>
      </c>
      <c r="L245" s="36">
        <v>2218.0</v>
      </c>
      <c r="M245" s="36">
        <v>355514.0</v>
      </c>
      <c r="N245" s="36">
        <v>387560.0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32456.0</v>
      </c>
      <c r="L246" s="36">
        <v>2488.0</v>
      </c>
      <c r="M246" s="36">
        <v>358002.0</v>
      </c>
      <c r="N246" s="36">
        <v>390458.0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32984.0</v>
      </c>
      <c r="L247" s="36">
        <v>2915.0</v>
      </c>
      <c r="M247" s="36">
        <v>360917.0</v>
      </c>
      <c r="N247" s="36">
        <v>393901.0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33455.0</v>
      </c>
      <c r="L248" s="36">
        <v>2732.0</v>
      </c>
      <c r="M248" s="36">
        <v>363649.0</v>
      </c>
      <c r="N248" s="36">
        <v>397104.0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33941.0</v>
      </c>
      <c r="L249" s="36">
        <v>2249.0</v>
      </c>
      <c r="M249" s="36">
        <v>365898.0</v>
      </c>
      <c r="N249" s="36">
        <v>399839.0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34216.0</v>
      </c>
      <c r="L250" s="36">
        <v>1161.0</v>
      </c>
      <c r="M250" s="36">
        <v>367059.0</v>
      </c>
      <c r="N250" s="36">
        <v>401275.0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34672.0</v>
      </c>
      <c r="L251" s="36">
        <v>2732.0</v>
      </c>
      <c r="M251" s="36">
        <v>369791.0</v>
      </c>
      <c r="N251" s="36">
        <v>404463.0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35201.0</v>
      </c>
      <c r="L252" s="36">
        <v>2312.0</v>
      </c>
      <c r="M252" s="36">
        <v>372103.0</v>
      </c>
      <c r="N252" s="36">
        <v>407304.0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35840.0</v>
      </c>
      <c r="L253" s="36">
        <v>2714.0</v>
      </c>
      <c r="M253" s="36">
        <v>374817.0</v>
      </c>
      <c r="N253" s="36">
        <v>410657.0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36522.0</v>
      </c>
      <c r="L254" s="36">
        <v>2634.0</v>
      </c>
      <c r="M254" s="36">
        <v>377451.0</v>
      </c>
      <c r="N254" s="36">
        <v>413973.0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37214.0</v>
      </c>
      <c r="L255" s="36">
        <v>2817.0</v>
      </c>
      <c r="M255" s="36">
        <v>380268.0</v>
      </c>
      <c r="N255" s="36">
        <v>417482.0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37789.0</v>
      </c>
      <c r="L256" s="36">
        <v>2281.0</v>
      </c>
      <c r="M256" s="36">
        <v>382549.0</v>
      </c>
      <c r="N256" s="36">
        <v>420338.0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38115.0</v>
      </c>
      <c r="L257" s="36">
        <v>1195.0</v>
      </c>
      <c r="M257" s="36">
        <v>383744.0</v>
      </c>
      <c r="N257" s="36">
        <v>421859.0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38878.0</v>
      </c>
      <c r="L258" s="36">
        <v>2153.0</v>
      </c>
      <c r="M258" s="36">
        <v>385897.0</v>
      </c>
      <c r="N258" s="36">
        <v>424775.0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39858.0</v>
      </c>
      <c r="L259" s="36">
        <v>2664.0</v>
      </c>
      <c r="M259" s="36">
        <v>388561.0</v>
      </c>
      <c r="N259" s="36">
        <v>428419.0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40862.0</v>
      </c>
      <c r="L260" s="36">
        <v>2475.0</v>
      </c>
      <c r="M260" s="36">
        <v>391036.0</v>
      </c>
      <c r="N260" s="36">
        <v>431898.0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41674.0</v>
      </c>
      <c r="L261" s="36">
        <v>2054.0</v>
      </c>
      <c r="M261" s="36">
        <v>393090.0</v>
      </c>
      <c r="N261" s="36">
        <v>434764.0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42787.0</v>
      </c>
      <c r="L262" s="36">
        <v>2869.0</v>
      </c>
      <c r="M262" s="36">
        <v>395959.0</v>
      </c>
      <c r="N262" s="36">
        <v>438746.0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43525.0</v>
      </c>
      <c r="L263" s="36">
        <v>2302.0</v>
      </c>
      <c r="M263" s="36">
        <v>398261.0</v>
      </c>
      <c r="N263" s="36">
        <v>441786.0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44024.0</v>
      </c>
      <c r="L264" s="36">
        <v>1331.0</v>
      </c>
      <c r="M264" s="36">
        <v>399592.0</v>
      </c>
      <c r="N264" s="36">
        <v>443616.0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44696.0</v>
      </c>
      <c r="L265" s="36">
        <v>2472.0</v>
      </c>
      <c r="M265" s="36">
        <v>402064.0</v>
      </c>
      <c r="N265" s="36">
        <v>446760.0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46095.0</v>
      </c>
      <c r="L266" s="36">
        <v>3849.0</v>
      </c>
      <c r="M266" s="36">
        <v>405913.0</v>
      </c>
      <c r="N266" s="36">
        <v>452008.0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47116.0</v>
      </c>
      <c r="L267" s="36">
        <v>2995.0</v>
      </c>
      <c r="M267" s="36">
        <v>408908.0</v>
      </c>
      <c r="N267" s="36">
        <v>456024.0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48150.0</v>
      </c>
      <c r="L268" s="36">
        <v>3156.0</v>
      </c>
      <c r="M268" s="36">
        <v>412064.0</v>
      </c>
      <c r="N268" s="36">
        <v>460214.0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49458.0</v>
      </c>
      <c r="L269" s="36">
        <v>4059.0</v>
      </c>
      <c r="M269" s="36">
        <v>416123.0</v>
      </c>
      <c r="N269" s="36">
        <v>465581.0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50213.0</v>
      </c>
      <c r="L270" s="36">
        <v>2943.0</v>
      </c>
      <c r="M270" s="36">
        <v>419066.0</v>
      </c>
      <c r="N270" s="36">
        <v>469279.0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50698.0</v>
      </c>
      <c r="L271" s="36">
        <v>1680.0</v>
      </c>
      <c r="M271" s="36">
        <v>420746.0</v>
      </c>
      <c r="N271" s="36">
        <v>471444.0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51589.0</v>
      </c>
      <c r="L272" s="36">
        <v>3191.0</v>
      </c>
      <c r="M272" s="36">
        <v>423937.0</v>
      </c>
      <c r="N272" s="36">
        <v>475526.0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52532.0</v>
      </c>
      <c r="L273" s="36">
        <v>2575.0</v>
      </c>
      <c r="M273" s="36">
        <v>426512.0</v>
      </c>
      <c r="N273" s="36">
        <v>479044.0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53717.0</v>
      </c>
      <c r="L274" s="36">
        <v>3230.0</v>
      </c>
      <c r="M274" s="36">
        <v>429742.0</v>
      </c>
      <c r="N274" s="36">
        <v>483459.0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54193.0</v>
      </c>
      <c r="L275" s="36">
        <v>1428.0</v>
      </c>
      <c r="M275" s="36">
        <v>431170.0</v>
      </c>
      <c r="N275" s="36">
        <v>485363.0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55167.0</v>
      </c>
      <c r="L276" s="36">
        <v>2376.0</v>
      </c>
      <c r="M276" s="36">
        <v>433546.0</v>
      </c>
      <c r="N276" s="36">
        <v>488713.0</v>
      </c>
      <c r="O276" s="36">
        <v>52.0</v>
      </c>
      <c r="P276" s="38">
        <v>4530.0</v>
      </c>
      <c r="Q276" s="38">
        <v>46.0</v>
      </c>
      <c r="R276" s="38">
        <v>3632.0</v>
      </c>
      <c r="S276" s="38">
        <v>7.0</v>
      </c>
      <c r="T276" s="38">
        <v>484.0</v>
      </c>
      <c r="U276" s="38">
        <v>414.0</v>
      </c>
      <c r="V276" s="38">
        <v>411.0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56265.0</v>
      </c>
      <c r="L277" s="36">
        <v>2660.0</v>
      </c>
      <c r="M277" s="36">
        <v>436206.0</v>
      </c>
      <c r="N277" s="36">
        <v>492471.0</v>
      </c>
      <c r="O277" s="36">
        <v>64.0</v>
      </c>
      <c r="P277" s="38">
        <v>4594.0</v>
      </c>
      <c r="Q277" s="38">
        <v>39.0</v>
      </c>
      <c r="R277" s="38">
        <v>3671.0</v>
      </c>
      <c r="S277" s="38">
        <v>0.0</v>
      </c>
      <c r="T277" s="38">
        <v>484.0</v>
      </c>
      <c r="U277" s="38">
        <v>439.0</v>
      </c>
      <c r="V277" s="38">
        <v>423.0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57020.0</v>
      </c>
      <c r="L278" s="36">
        <v>2194.0</v>
      </c>
      <c r="M278" s="36">
        <v>438400.0</v>
      </c>
      <c r="N278" s="36">
        <v>495420.0</v>
      </c>
      <c r="O278" s="36">
        <v>62.0</v>
      </c>
      <c r="P278" s="38">
        <v>4656.0</v>
      </c>
      <c r="Q278" s="38">
        <v>36.0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58190.0</v>
      </c>
      <c r="L279" s="36">
        <v>2632.0</v>
      </c>
      <c r="M279" s="36">
        <v>441032.0</v>
      </c>
      <c r="N279" s="36">
        <v>499222.0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1427.0</v>
      </c>
      <c r="J280" s="36">
        <v>1117.0</v>
      </c>
      <c r="K280" s="36">
        <v>59617.0</v>
      </c>
      <c r="L280" s="36">
        <v>3212.0</v>
      </c>
      <c r="M280" s="36">
        <v>444244.0</v>
      </c>
      <c r="N280" s="36">
        <v>503861.0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61067.0</v>
      </c>
      <c r="L281" s="36">
        <v>3047.0</v>
      </c>
      <c r="M281" s="36">
        <v>447291.0</v>
      </c>
      <c r="N281" s="36">
        <v>508358.0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62705.0</v>
      </c>
      <c r="L282" s="36">
        <v>3119.0</v>
      </c>
      <c r="M282" s="36">
        <v>450410.0</v>
      </c>
      <c r="N282" s="36">
        <v>513115.0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64232.0</v>
      </c>
      <c r="L283" s="36">
        <v>3561.0</v>
      </c>
      <c r="M283" s="36">
        <v>453971.0</v>
      </c>
      <c r="N283" s="36">
        <v>518203.0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65309.0</v>
      </c>
      <c r="L284" s="36">
        <v>2723.0</v>
      </c>
      <c r="M284" s="36">
        <v>456694.0</v>
      </c>
      <c r="N284" s="36">
        <v>522003.0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981.0</v>
      </c>
      <c r="J285" s="36">
        <v>1195.0</v>
      </c>
      <c r="K285" s="36">
        <v>66290.0</v>
      </c>
      <c r="L285" s="36">
        <v>2318.0</v>
      </c>
      <c r="M285" s="36">
        <v>459012.0</v>
      </c>
      <c r="N285" s="36">
        <v>525302.0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67550.0</v>
      </c>
      <c r="L286" s="36">
        <v>3159.0</v>
      </c>
      <c r="M286" s="36">
        <v>462171.0</v>
      </c>
      <c r="N286" s="36">
        <v>529721.0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1322.0</v>
      </c>
      <c r="J287" s="36">
        <v>1188.0</v>
      </c>
      <c r="K287" s="36">
        <v>68872.0</v>
      </c>
      <c r="L287" s="36">
        <v>3376.0</v>
      </c>
      <c r="M287" s="36">
        <v>465547.0</v>
      </c>
      <c r="N287" s="36">
        <v>534419.0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1345.0</v>
      </c>
      <c r="J288" s="36">
        <v>1309.0</v>
      </c>
      <c r="K288" s="36">
        <v>70217.0</v>
      </c>
      <c r="L288" s="36">
        <v>3037.0</v>
      </c>
      <c r="M288" s="36">
        <v>468584.0</v>
      </c>
      <c r="N288" s="36">
        <v>538801.0</v>
      </c>
      <c r="O288" s="36">
        <v>57.0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1310.0</v>
      </c>
      <c r="K289" s="36">
        <v>71481.0</v>
      </c>
      <c r="L289" s="36">
        <v>3861.0</v>
      </c>
      <c r="M289" s="36">
        <v>472445.0</v>
      </c>
      <c r="N289" s="36">
        <v>543926.0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1309.0</v>
      </c>
      <c r="J290" s="36">
        <v>1306.0</v>
      </c>
      <c r="K290" s="36">
        <v>72790.0</v>
      </c>
      <c r="L290" s="36">
        <v>3425.0</v>
      </c>
      <c r="M290" s="36">
        <v>475870.0</v>
      </c>
      <c r="N290" s="36">
        <v>548660.0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943.0</v>
      </c>
      <c r="J291" s="36">
        <v>1172.0</v>
      </c>
      <c r="K291" s="36">
        <v>73733.0</v>
      </c>
      <c r="L291" s="36">
        <v>2923.0</v>
      </c>
      <c r="M291" s="36">
        <v>478793.0</v>
      </c>
      <c r="N291" s="36">
        <v>552526.0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561.0</v>
      </c>
      <c r="J292" s="36">
        <v>938.0</v>
      </c>
      <c r="K292" s="36">
        <v>74294.0</v>
      </c>
      <c r="L292" s="36">
        <v>1903.0</v>
      </c>
      <c r="M292" s="36">
        <v>480696.0</v>
      </c>
      <c r="N292" s="36">
        <v>554990.0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1145.0</v>
      </c>
      <c r="J293" s="36">
        <v>883.0</v>
      </c>
      <c r="K293" s="36">
        <v>75439.0</v>
      </c>
      <c r="L293" s="36">
        <v>3232.0</v>
      </c>
      <c r="M293" s="36">
        <v>483928.0</v>
      </c>
      <c r="N293" s="36">
        <v>559367.0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1696372.0</v>
      </c>
      <c r="G294" s="37">
        <v>16401.0</v>
      </c>
      <c r="H294" s="37">
        <v>1788920.0</v>
      </c>
      <c r="I294" s="36">
        <v>1064.0</v>
      </c>
      <c r="J294" s="36">
        <v>923.0</v>
      </c>
      <c r="K294" s="36">
        <v>76503.0</v>
      </c>
      <c r="L294" s="36">
        <v>2938.0</v>
      </c>
      <c r="M294" s="36">
        <v>486866.0</v>
      </c>
      <c r="N294" s="36">
        <v>563369.0</v>
      </c>
      <c r="O294" s="36">
        <v>72.0</v>
      </c>
      <c r="P294" s="38">
        <v>5719.0</v>
      </c>
      <c r="Q294" s="38">
        <v>56.0</v>
      </c>
      <c r="R294" s="38">
        <v>4605.0</v>
      </c>
      <c r="S294" s="38">
        <v>5.0</v>
      </c>
      <c r="T294" s="38">
        <v>597.0</v>
      </c>
      <c r="U294" s="38">
        <v>517.0</v>
      </c>
      <c r="V294" s="38">
        <v>506.0</v>
      </c>
      <c r="W294" s="38">
        <v>63.0</v>
      </c>
      <c r="X294" s="38">
        <v>32.0</v>
      </c>
      <c r="Y294" s="38">
        <v>16.0</v>
      </c>
      <c r="Z294" s="35">
        <v>1684.0</v>
      </c>
      <c r="AA294" s="29">
        <v>426.0</v>
      </c>
      <c r="AB294" s="29">
        <v>0.0</v>
      </c>
      <c r="AC294" s="29">
        <v>426.0</v>
      </c>
      <c r="AD294" s="29">
        <v>539.0</v>
      </c>
      <c r="AE294" s="29">
        <v>426.0</v>
      </c>
      <c r="AF294" s="29">
        <v>539.0</v>
      </c>
      <c r="AG294" s="29">
        <v>0.0</v>
      </c>
      <c r="AH294" s="29">
        <v>0.0</v>
      </c>
    </row>
    <row r="295" ht="14.25" customHeight="1">
      <c r="A295" s="34">
        <v>44181.0</v>
      </c>
      <c r="B295" s="35">
        <v>1281.0</v>
      </c>
      <c r="C295" s="35">
        <v>1289.0</v>
      </c>
      <c r="D295" s="35">
        <v>93829.0</v>
      </c>
      <c r="E295" s="36">
        <v>19138.0</v>
      </c>
      <c r="F295" s="37">
        <v>1715510.0</v>
      </c>
      <c r="G295" s="37">
        <v>20419.0</v>
      </c>
      <c r="H295" s="37">
        <v>1809339.0</v>
      </c>
      <c r="I295" s="36">
        <v>1088.0</v>
      </c>
      <c r="J295" s="36">
        <v>1099.0</v>
      </c>
      <c r="K295" s="36">
        <v>77591.0</v>
      </c>
      <c r="L295" s="36">
        <v>3533.0</v>
      </c>
      <c r="M295" s="36">
        <v>490399.0</v>
      </c>
      <c r="N295" s="36">
        <v>567990.0</v>
      </c>
      <c r="O295" s="36">
        <v>57.0</v>
      </c>
      <c r="P295" s="38">
        <v>5776.0</v>
      </c>
      <c r="Q295" s="38">
        <v>73.0</v>
      </c>
      <c r="R295" s="38">
        <v>4678.0</v>
      </c>
      <c r="S295" s="38">
        <v>11.0</v>
      </c>
      <c r="T295" s="38">
        <v>608.0</v>
      </c>
      <c r="U295" s="38">
        <v>490.0</v>
      </c>
      <c r="V295" s="38">
        <v>504.0</v>
      </c>
      <c r="W295" s="38">
        <v>62.0</v>
      </c>
      <c r="X295" s="38">
        <v>34.0</v>
      </c>
      <c r="Y295" s="38">
        <v>19.0</v>
      </c>
      <c r="Z295" s="35">
        <v>1703.0</v>
      </c>
      <c r="AA295" s="29">
        <v>419.0</v>
      </c>
      <c r="AB295" s="29">
        <v>0.0</v>
      </c>
      <c r="AC295" s="29">
        <v>419.0</v>
      </c>
      <c r="AD295" s="29">
        <v>958.0</v>
      </c>
      <c r="AE295" s="29">
        <v>419.0</v>
      </c>
      <c r="AF295" s="29">
        <v>958.0</v>
      </c>
      <c r="AG295" s="29">
        <v>0.0</v>
      </c>
      <c r="AH295" s="29">
        <v>0.0</v>
      </c>
    </row>
    <row r="296" ht="14.25" customHeight="1">
      <c r="A296" s="34">
        <v>44182.0</v>
      </c>
      <c r="B296" s="35">
        <v>483.0</v>
      </c>
      <c r="C296" s="35">
        <v>1011.0</v>
      </c>
      <c r="D296" s="35">
        <v>94312.0</v>
      </c>
      <c r="E296" s="36">
        <v>8774.0</v>
      </c>
      <c r="F296" s="37">
        <v>1724284.0</v>
      </c>
      <c r="G296" s="37">
        <v>9257.0</v>
      </c>
      <c r="H296" s="37">
        <v>1818596.0</v>
      </c>
      <c r="I296" s="36">
        <v>432.0</v>
      </c>
      <c r="J296" s="36">
        <v>861.0</v>
      </c>
      <c r="K296" s="36">
        <v>78023.0</v>
      </c>
      <c r="L296" s="36">
        <v>1200.0</v>
      </c>
      <c r="M296" s="36">
        <v>491599.0</v>
      </c>
      <c r="N296" s="36">
        <v>569622.0</v>
      </c>
      <c r="O296" s="36">
        <v>46.0</v>
      </c>
      <c r="P296" s="38">
        <v>5822.0</v>
      </c>
      <c r="Q296" s="38">
        <v>54.0</v>
      </c>
      <c r="R296" s="38">
        <v>4732.0</v>
      </c>
      <c r="S296" s="38">
        <v>8.0</v>
      </c>
      <c r="T296" s="38">
        <v>616.0</v>
      </c>
      <c r="U296" s="38">
        <v>474.0</v>
      </c>
      <c r="V296" s="38">
        <v>494.0</v>
      </c>
      <c r="W296" s="38">
        <v>61.0</v>
      </c>
      <c r="X296" s="38">
        <v>34.0</v>
      </c>
      <c r="Y296" s="38">
        <v>17.0</v>
      </c>
      <c r="Z296" s="35">
        <v>1720.0</v>
      </c>
      <c r="AA296" s="29">
        <v>350.0</v>
      </c>
      <c r="AB296" s="29">
        <v>0.0</v>
      </c>
      <c r="AC296" s="29">
        <v>350.0</v>
      </c>
      <c r="AD296" s="29">
        <v>1308.0</v>
      </c>
      <c r="AE296" s="29">
        <v>350.0</v>
      </c>
      <c r="AF296" s="29">
        <v>1308.0</v>
      </c>
      <c r="AG296" s="29">
        <v>0.0</v>
      </c>
      <c r="AH296" s="29">
        <v>0.0</v>
      </c>
    </row>
    <row r="297" ht="14.25" customHeight="1">
      <c r="A297" s="34">
        <v>44183.0</v>
      </c>
      <c r="B297" s="35">
        <v>1114.0</v>
      </c>
      <c r="C297" s="35">
        <v>959.0</v>
      </c>
      <c r="D297" s="35">
        <v>95426.0</v>
      </c>
      <c r="E297" s="36">
        <v>13649.0</v>
      </c>
      <c r="F297" s="37">
        <v>1737933.0</v>
      </c>
      <c r="G297" s="37">
        <v>14763.0</v>
      </c>
      <c r="H297" s="37">
        <v>1833359.0</v>
      </c>
      <c r="I297" s="36">
        <v>947.0</v>
      </c>
      <c r="J297" s="36">
        <v>822.0</v>
      </c>
      <c r="K297" s="36">
        <v>78970.0</v>
      </c>
      <c r="L297" s="36">
        <v>2695.0</v>
      </c>
      <c r="M297" s="36">
        <v>494294.0</v>
      </c>
      <c r="N297" s="36">
        <v>573264.0</v>
      </c>
      <c r="O297" s="36">
        <v>56.0</v>
      </c>
      <c r="P297" s="38">
        <v>5878.0</v>
      </c>
      <c r="Q297" s="38">
        <v>66.0</v>
      </c>
      <c r="R297" s="38">
        <v>4798.0</v>
      </c>
      <c r="S297" s="38">
        <v>11.0</v>
      </c>
      <c r="T297" s="38">
        <v>627.0</v>
      </c>
      <c r="U297" s="38">
        <v>453.0</v>
      </c>
      <c r="V297" s="38">
        <v>472.0</v>
      </c>
      <c r="W297" s="38">
        <v>61.0</v>
      </c>
      <c r="X297" s="38">
        <v>35.0</v>
      </c>
      <c r="Y297" s="38">
        <v>15.0</v>
      </c>
      <c r="Z297" s="35">
        <v>1735.0</v>
      </c>
      <c r="AA297" s="29">
        <v>1671.0</v>
      </c>
      <c r="AB297" s="29">
        <v>0.0</v>
      </c>
      <c r="AC297" s="29">
        <v>1671.0</v>
      </c>
      <c r="AD297" s="29">
        <v>2979.0</v>
      </c>
      <c r="AE297" s="29">
        <v>1671.0</v>
      </c>
      <c r="AF297" s="29">
        <v>2979.0</v>
      </c>
      <c r="AG297" s="29">
        <v>0.0</v>
      </c>
      <c r="AH297" s="29">
        <v>0.0</v>
      </c>
    </row>
    <row r="298" ht="14.25" customHeight="1">
      <c r="A298" s="34">
        <v>44184.0</v>
      </c>
      <c r="B298" s="35">
        <v>1317.0</v>
      </c>
      <c r="C298" s="35">
        <v>971.0</v>
      </c>
      <c r="D298" s="35">
        <v>96743.0</v>
      </c>
      <c r="E298" s="36">
        <v>16377.0</v>
      </c>
      <c r="F298" s="37">
        <v>1754310.0</v>
      </c>
      <c r="G298" s="37">
        <v>17694.0</v>
      </c>
      <c r="H298" s="37">
        <v>1851053.0</v>
      </c>
      <c r="I298" s="36">
        <v>1085.0</v>
      </c>
      <c r="J298" s="36">
        <v>821.0</v>
      </c>
      <c r="K298" s="36">
        <v>80055.0</v>
      </c>
      <c r="L298" s="36">
        <v>2973.0</v>
      </c>
      <c r="M298" s="36">
        <v>497267.0</v>
      </c>
      <c r="N298" s="36">
        <v>577322.0</v>
      </c>
      <c r="O298" s="36">
        <v>60.0</v>
      </c>
      <c r="P298" s="38">
        <v>5938.0</v>
      </c>
      <c r="Q298" s="38">
        <v>41.0</v>
      </c>
      <c r="R298" s="38">
        <v>4839.0</v>
      </c>
      <c r="S298" s="38">
        <v>9.0</v>
      </c>
      <c r="T298" s="38">
        <v>636.0</v>
      </c>
      <c r="U298" s="38">
        <v>463.0</v>
      </c>
      <c r="V298" s="38">
        <v>463.0</v>
      </c>
      <c r="W298" s="38">
        <v>62.0</v>
      </c>
      <c r="X298" s="38">
        <v>40.0</v>
      </c>
      <c r="Y298" s="38">
        <v>20.0</v>
      </c>
      <c r="Z298" s="35">
        <v>1755.0</v>
      </c>
      <c r="AA298" s="29">
        <v>1177.0</v>
      </c>
      <c r="AB298" s="29">
        <v>0.0</v>
      </c>
      <c r="AC298" s="29">
        <v>1177.0</v>
      </c>
      <c r="AD298" s="29">
        <v>4156.0</v>
      </c>
      <c r="AE298" s="29">
        <v>1177.0</v>
      </c>
      <c r="AF298" s="29">
        <v>4156.0</v>
      </c>
      <c r="AG298" s="29">
        <v>0.0</v>
      </c>
      <c r="AH298" s="29">
        <v>0.0</v>
      </c>
    </row>
    <row r="299" ht="14.25" customHeight="1">
      <c r="A299" s="34">
        <v>44185.0</v>
      </c>
      <c r="B299" s="35">
        <v>537.0</v>
      </c>
      <c r="C299" s="35">
        <v>989.0</v>
      </c>
      <c r="D299" s="35">
        <v>97280.0</v>
      </c>
      <c r="E299" s="36">
        <v>6826.0</v>
      </c>
      <c r="F299" s="37">
        <v>1761136.0</v>
      </c>
      <c r="G299" s="37">
        <v>7363.0</v>
      </c>
      <c r="H299" s="37">
        <v>1858416.0</v>
      </c>
      <c r="I299" s="36">
        <v>440.0</v>
      </c>
      <c r="J299" s="36">
        <v>824.0</v>
      </c>
      <c r="K299" s="36">
        <v>80495.0</v>
      </c>
      <c r="L299" s="36">
        <v>1602.0</v>
      </c>
      <c r="M299" s="36">
        <v>498869.0</v>
      </c>
      <c r="N299" s="36">
        <v>579364.0</v>
      </c>
      <c r="O299" s="36">
        <v>59.0</v>
      </c>
      <c r="P299" s="38">
        <v>5997.0</v>
      </c>
      <c r="Q299" s="38">
        <v>41.0</v>
      </c>
      <c r="R299" s="38">
        <v>4880.0</v>
      </c>
      <c r="S299" s="38">
        <v>8.0</v>
      </c>
      <c r="T299" s="38">
        <v>644.0</v>
      </c>
      <c r="U299" s="38">
        <v>473.0</v>
      </c>
      <c r="V299" s="38">
        <v>463.0</v>
      </c>
      <c r="W299" s="38">
        <v>64.0</v>
      </c>
      <c r="X299" s="38">
        <v>43.0</v>
      </c>
      <c r="Y299" s="38">
        <v>14.0</v>
      </c>
      <c r="Z299" s="35">
        <v>1769.0</v>
      </c>
      <c r="AA299" s="29">
        <v>805.0</v>
      </c>
      <c r="AB299" s="29">
        <v>0.0</v>
      </c>
      <c r="AC299" s="29">
        <v>805.0</v>
      </c>
      <c r="AD299" s="29">
        <v>4961.0</v>
      </c>
      <c r="AE299" s="29">
        <v>805.0</v>
      </c>
      <c r="AF299" s="29">
        <v>4961.0</v>
      </c>
      <c r="AG299" s="29">
        <v>0.0</v>
      </c>
      <c r="AH299" s="29">
        <v>0.0</v>
      </c>
    </row>
    <row r="300" ht="14.25" customHeight="1">
      <c r="A300" s="34">
        <v>44186.0</v>
      </c>
      <c r="B300" s="35">
        <v>1108.0</v>
      </c>
      <c r="C300" s="35">
        <v>987.0</v>
      </c>
      <c r="D300" s="35">
        <v>98388.0</v>
      </c>
      <c r="E300" s="36">
        <v>12163.0</v>
      </c>
      <c r="F300" s="37">
        <v>1773299.0</v>
      </c>
      <c r="G300" s="37">
        <v>13271.0</v>
      </c>
      <c r="H300" s="37">
        <v>1871687.0</v>
      </c>
      <c r="I300" s="36">
        <v>932.0</v>
      </c>
      <c r="J300" s="36">
        <v>819.0</v>
      </c>
      <c r="K300" s="36">
        <v>81427.0</v>
      </c>
      <c r="L300" s="36">
        <v>3448.0</v>
      </c>
      <c r="M300" s="36">
        <v>502317.0</v>
      </c>
      <c r="N300" s="36">
        <v>583744.0</v>
      </c>
      <c r="O300" s="36">
        <v>73.0</v>
      </c>
      <c r="P300" s="38">
        <v>6070.0</v>
      </c>
      <c r="Q300" s="38">
        <v>52.0</v>
      </c>
      <c r="R300" s="38">
        <v>4932.0</v>
      </c>
      <c r="S300" s="38">
        <v>7.0</v>
      </c>
      <c r="T300" s="38">
        <v>651.0</v>
      </c>
      <c r="U300" s="38">
        <v>487.0</v>
      </c>
      <c r="V300" s="38">
        <v>474.0</v>
      </c>
      <c r="W300" s="38">
        <v>58.0</v>
      </c>
      <c r="X300" s="38">
        <v>40.0</v>
      </c>
      <c r="Y300" s="38">
        <v>11.0</v>
      </c>
      <c r="Z300" s="35">
        <v>1780.0</v>
      </c>
      <c r="AA300" s="29">
        <v>1767.0</v>
      </c>
      <c r="AB300" s="29">
        <v>0.0</v>
      </c>
      <c r="AC300" s="29">
        <v>1767.0</v>
      </c>
      <c r="AD300" s="29">
        <v>6728.0</v>
      </c>
      <c r="AE300" s="29">
        <v>1767.0</v>
      </c>
      <c r="AF300" s="29">
        <v>6728.0</v>
      </c>
      <c r="AG300" s="29">
        <v>0.0</v>
      </c>
      <c r="AH300" s="29">
        <v>0.0</v>
      </c>
    </row>
    <row r="301" ht="14.25" customHeight="1">
      <c r="A301" s="34">
        <v>44187.0</v>
      </c>
      <c r="B301" s="35">
        <v>1079.0</v>
      </c>
      <c r="C301" s="35">
        <v>908.0</v>
      </c>
      <c r="D301" s="35">
        <v>99467.0</v>
      </c>
      <c r="E301" s="36">
        <v>16605.0</v>
      </c>
      <c r="F301" s="37">
        <v>1789904.0</v>
      </c>
      <c r="G301" s="37">
        <v>17684.0</v>
      </c>
      <c r="H301" s="37">
        <v>1889371.0</v>
      </c>
      <c r="I301" s="36">
        <v>928.0</v>
      </c>
      <c r="J301" s="36">
        <v>767.0</v>
      </c>
      <c r="K301" s="36">
        <v>82355.0</v>
      </c>
      <c r="L301" s="36">
        <v>3294.0</v>
      </c>
      <c r="M301" s="36">
        <v>505611.0</v>
      </c>
      <c r="N301" s="36">
        <v>587966.0</v>
      </c>
      <c r="O301" s="36">
        <v>51.0</v>
      </c>
      <c r="P301" s="38">
        <v>6121.0</v>
      </c>
      <c r="Q301" s="38">
        <v>78.0</v>
      </c>
      <c r="R301" s="38">
        <v>5010.0</v>
      </c>
      <c r="S301" s="38">
        <v>10.0</v>
      </c>
      <c r="T301" s="38">
        <v>661.0</v>
      </c>
      <c r="U301" s="38">
        <v>450.0</v>
      </c>
      <c r="V301" s="38">
        <v>470.0</v>
      </c>
      <c r="W301" s="38">
        <v>58.0</v>
      </c>
      <c r="X301" s="38">
        <v>40.0</v>
      </c>
      <c r="Y301" s="38">
        <v>18.0</v>
      </c>
      <c r="Z301" s="35">
        <v>1798.0</v>
      </c>
      <c r="AA301" s="29">
        <v>1530.0</v>
      </c>
      <c r="AB301" s="29">
        <v>0.0</v>
      </c>
      <c r="AC301" s="29">
        <v>1530.0</v>
      </c>
      <c r="AD301" s="29">
        <v>8258.0</v>
      </c>
      <c r="AE301" s="29">
        <v>1530.0</v>
      </c>
      <c r="AF301" s="29">
        <v>8258.0</v>
      </c>
      <c r="AG301" s="29">
        <v>0.0</v>
      </c>
      <c r="AH301" s="29">
        <v>0.0</v>
      </c>
    </row>
    <row r="302" ht="14.25" customHeight="1">
      <c r="A302" s="34">
        <v>44188.0</v>
      </c>
      <c r="B302" s="35">
        <v>1092.0</v>
      </c>
      <c r="C302" s="35">
        <v>1093.0</v>
      </c>
      <c r="D302" s="35">
        <v>100559.0</v>
      </c>
      <c r="E302" s="36">
        <v>19917.0</v>
      </c>
      <c r="F302" s="37">
        <v>1809821.0</v>
      </c>
      <c r="G302" s="37">
        <v>21009.0</v>
      </c>
      <c r="H302" s="37">
        <v>1910380.0</v>
      </c>
      <c r="I302" s="36">
        <v>953.0</v>
      </c>
      <c r="J302" s="36">
        <v>938.0</v>
      </c>
      <c r="K302" s="36">
        <v>83308.0</v>
      </c>
      <c r="L302" s="36">
        <v>3674.0</v>
      </c>
      <c r="M302" s="36">
        <v>509285.0</v>
      </c>
      <c r="N302" s="36">
        <v>592593.0</v>
      </c>
      <c r="O302" s="36">
        <v>61.0</v>
      </c>
      <c r="P302" s="38">
        <v>6182.0</v>
      </c>
      <c r="Q302" s="38">
        <v>63.0</v>
      </c>
      <c r="R302" s="38">
        <v>5073.0</v>
      </c>
      <c r="S302" s="38">
        <v>5.0</v>
      </c>
      <c r="T302" s="38">
        <v>666.0</v>
      </c>
      <c r="U302" s="38">
        <v>443.0</v>
      </c>
      <c r="V302" s="38">
        <v>460.0</v>
      </c>
      <c r="W302" s="38">
        <v>64.0</v>
      </c>
      <c r="X302" s="38">
        <v>41.0</v>
      </c>
      <c r="Y302" s="38">
        <v>10.0</v>
      </c>
      <c r="Z302" s="35">
        <v>1808.0</v>
      </c>
      <c r="AA302" s="29">
        <v>1587.0</v>
      </c>
      <c r="AB302" s="29">
        <v>0.0</v>
      </c>
      <c r="AC302" s="29">
        <v>1587.0</v>
      </c>
      <c r="AD302" s="29">
        <v>9845.0</v>
      </c>
      <c r="AE302" s="29">
        <v>1587.0</v>
      </c>
      <c r="AF302" s="29">
        <v>9845.0</v>
      </c>
      <c r="AG302" s="29">
        <v>0.0</v>
      </c>
      <c r="AH302" s="29">
        <v>0.0</v>
      </c>
    </row>
    <row r="303" ht="14.25" customHeight="1">
      <c r="A303" s="34">
        <v>44189.0</v>
      </c>
      <c r="B303" s="35">
        <v>1076.0</v>
      </c>
      <c r="C303" s="35">
        <v>1082.0</v>
      </c>
      <c r="D303" s="35">
        <v>101635.0</v>
      </c>
      <c r="E303" s="36">
        <v>17039.0</v>
      </c>
      <c r="F303" s="37">
        <v>1826860.0</v>
      </c>
      <c r="G303" s="37">
        <v>18115.0</v>
      </c>
      <c r="H303" s="37">
        <v>1928495.0</v>
      </c>
      <c r="I303" s="36">
        <v>892.0</v>
      </c>
      <c r="J303" s="36">
        <v>924.0</v>
      </c>
      <c r="K303" s="36">
        <v>84200.0</v>
      </c>
      <c r="L303" s="36">
        <v>3339.0</v>
      </c>
      <c r="M303" s="36">
        <v>512624.0</v>
      </c>
      <c r="N303" s="36">
        <v>596824.0</v>
      </c>
      <c r="O303" s="36">
        <v>52.0</v>
      </c>
      <c r="P303" s="38">
        <v>6234.0</v>
      </c>
      <c r="Q303" s="38">
        <v>55.0</v>
      </c>
      <c r="R303" s="38">
        <v>5128.0</v>
      </c>
      <c r="S303" s="38">
        <v>6.0</v>
      </c>
      <c r="T303" s="38">
        <v>672.0</v>
      </c>
      <c r="U303" s="38">
        <v>434.0</v>
      </c>
      <c r="V303" s="38">
        <v>442.0</v>
      </c>
      <c r="W303" s="38">
        <v>67.0</v>
      </c>
      <c r="X303" s="38">
        <v>44.0</v>
      </c>
      <c r="Y303" s="38">
        <v>17.0</v>
      </c>
      <c r="Z303" s="35">
        <v>1825.0</v>
      </c>
      <c r="AA303" s="29">
        <v>636.0</v>
      </c>
      <c r="AB303" s="29">
        <v>0.0</v>
      </c>
      <c r="AC303" s="29">
        <v>636.0</v>
      </c>
      <c r="AD303" s="29">
        <v>10481.0</v>
      </c>
      <c r="AE303" s="29">
        <v>636.0</v>
      </c>
      <c r="AF303" s="29">
        <v>10481.0</v>
      </c>
      <c r="AG303" s="29">
        <v>0.0</v>
      </c>
      <c r="AH303" s="29">
        <v>0.0</v>
      </c>
    </row>
    <row r="304" ht="14.25" customHeight="1">
      <c r="A304" s="34">
        <v>44190.0</v>
      </c>
      <c r="B304" s="35">
        <v>306.0</v>
      </c>
      <c r="C304" s="35">
        <v>825.0</v>
      </c>
      <c r="D304" s="35">
        <v>101941.0</v>
      </c>
      <c r="E304" s="36">
        <v>3396.0</v>
      </c>
      <c r="F304" s="37">
        <v>1830256.0</v>
      </c>
      <c r="G304" s="37">
        <v>3702.0</v>
      </c>
      <c r="H304" s="37">
        <v>1932197.0</v>
      </c>
      <c r="I304" s="36">
        <v>244.0</v>
      </c>
      <c r="J304" s="36">
        <v>696.0</v>
      </c>
      <c r="K304" s="36">
        <v>84444.0</v>
      </c>
      <c r="L304" s="36">
        <v>625.0</v>
      </c>
      <c r="M304" s="36">
        <v>513249.0</v>
      </c>
      <c r="N304" s="36">
        <v>597693.0</v>
      </c>
      <c r="O304" s="36">
        <v>51.0</v>
      </c>
      <c r="P304" s="38">
        <v>6285.0</v>
      </c>
      <c r="Q304" s="38">
        <v>26.0</v>
      </c>
      <c r="R304" s="38">
        <v>5154.0</v>
      </c>
      <c r="S304" s="38">
        <v>13.0</v>
      </c>
      <c r="T304" s="38">
        <v>685.0</v>
      </c>
      <c r="U304" s="38">
        <v>446.0</v>
      </c>
      <c r="V304" s="38">
        <v>441.0</v>
      </c>
      <c r="W304" s="38">
        <v>64.0</v>
      </c>
      <c r="X304" s="38">
        <v>45.0</v>
      </c>
      <c r="Y304" s="38">
        <v>21.0</v>
      </c>
      <c r="Z304" s="35">
        <v>1846.0</v>
      </c>
      <c r="AA304" s="29">
        <v>1.0</v>
      </c>
      <c r="AB304" s="29">
        <v>0.0</v>
      </c>
      <c r="AC304" s="29">
        <v>1.0</v>
      </c>
      <c r="AD304" s="29">
        <v>10482.0</v>
      </c>
      <c r="AE304" s="29">
        <v>1.0</v>
      </c>
      <c r="AF304" s="29">
        <v>10482.0</v>
      </c>
      <c r="AG304" s="29">
        <v>0.0</v>
      </c>
      <c r="AH304" s="29">
        <v>0.0</v>
      </c>
    </row>
    <row r="305" ht="14.25" customHeight="1">
      <c r="A305" s="34">
        <v>44191.0</v>
      </c>
      <c r="B305" s="35">
        <v>945.0</v>
      </c>
      <c r="C305" s="35">
        <v>776.0</v>
      </c>
      <c r="D305" s="35">
        <v>102886.0</v>
      </c>
      <c r="E305" s="36">
        <v>10663.0</v>
      </c>
      <c r="F305" s="37">
        <v>1840919.0</v>
      </c>
      <c r="G305" s="37">
        <v>11608.0</v>
      </c>
      <c r="H305" s="37">
        <v>1943805.0</v>
      </c>
      <c r="I305" s="36">
        <v>815.0</v>
      </c>
      <c r="J305" s="36">
        <v>650.0</v>
      </c>
      <c r="K305" s="36">
        <v>85259.0</v>
      </c>
      <c r="L305" s="36">
        <v>2156.0</v>
      </c>
      <c r="M305" s="36">
        <v>515405.0</v>
      </c>
      <c r="N305" s="36">
        <v>600664.0</v>
      </c>
      <c r="O305" s="36">
        <v>57.0</v>
      </c>
      <c r="P305" s="38">
        <v>6342.0</v>
      </c>
      <c r="Q305" s="38">
        <v>40.0</v>
      </c>
      <c r="R305" s="38">
        <v>5194.0</v>
      </c>
      <c r="S305" s="38">
        <v>5.0</v>
      </c>
      <c r="T305" s="38">
        <v>690.0</v>
      </c>
      <c r="U305" s="38">
        <v>458.0</v>
      </c>
      <c r="V305" s="38">
        <v>446.0</v>
      </c>
      <c r="W305" s="38">
        <v>67.0</v>
      </c>
      <c r="X305" s="38">
        <v>54.0</v>
      </c>
      <c r="Y305" s="38">
        <v>11.0</v>
      </c>
      <c r="Z305" s="35">
        <v>1857.0</v>
      </c>
      <c r="AA305" s="29">
        <v>974.0</v>
      </c>
      <c r="AB305" s="29">
        <v>0.0</v>
      </c>
      <c r="AC305" s="29">
        <v>974.0</v>
      </c>
      <c r="AD305" s="29">
        <v>11456.0</v>
      </c>
      <c r="AE305" s="29">
        <v>974.0</v>
      </c>
      <c r="AF305" s="29">
        <v>11456.0</v>
      </c>
      <c r="AG305" s="29">
        <v>0.0</v>
      </c>
      <c r="AH305" s="29">
        <v>0.0</v>
      </c>
    </row>
    <row r="306" ht="14.25" customHeight="1">
      <c r="A306" s="34">
        <v>44192.0</v>
      </c>
      <c r="B306" s="35">
        <v>791.0</v>
      </c>
      <c r="C306" s="35">
        <v>681.0</v>
      </c>
      <c r="D306" s="35">
        <v>103677.0</v>
      </c>
      <c r="E306" s="36">
        <v>7566.0</v>
      </c>
      <c r="F306" s="37">
        <v>1848485.0</v>
      </c>
      <c r="G306" s="37">
        <v>8357.0</v>
      </c>
      <c r="H306" s="37">
        <v>1952162.0</v>
      </c>
      <c r="I306" s="36">
        <v>689.0</v>
      </c>
      <c r="J306" s="36">
        <v>583.0</v>
      </c>
      <c r="K306" s="36">
        <v>85948.0</v>
      </c>
      <c r="L306" s="36">
        <v>1896.0</v>
      </c>
      <c r="M306" s="36">
        <v>517301.0</v>
      </c>
      <c r="N306" s="36">
        <v>603249.0</v>
      </c>
      <c r="O306" s="36">
        <v>45.0</v>
      </c>
      <c r="P306" s="38">
        <v>6387.0</v>
      </c>
      <c r="Q306" s="38">
        <v>22.0</v>
      </c>
      <c r="R306" s="38">
        <v>5216.0</v>
      </c>
      <c r="S306" s="38">
        <v>8.0</v>
      </c>
      <c r="T306" s="38">
        <v>698.0</v>
      </c>
      <c r="U306" s="38">
        <v>473.0</v>
      </c>
      <c r="V306" s="38">
        <v>459.0</v>
      </c>
      <c r="W306" s="38">
        <v>68.0</v>
      </c>
      <c r="X306" s="38">
        <v>51.0</v>
      </c>
      <c r="Y306" s="38">
        <v>13.0</v>
      </c>
      <c r="Z306" s="35">
        <v>1870.0</v>
      </c>
      <c r="AA306" s="29">
        <v>835.0</v>
      </c>
      <c r="AB306" s="29">
        <v>0.0</v>
      </c>
      <c r="AC306" s="29">
        <v>835.0</v>
      </c>
      <c r="AD306" s="29">
        <v>12291.0</v>
      </c>
      <c r="AE306" s="29">
        <v>835.0</v>
      </c>
      <c r="AF306" s="29">
        <v>12291.0</v>
      </c>
      <c r="AG306" s="29">
        <v>0.0</v>
      </c>
      <c r="AH306" s="29">
        <v>0.0</v>
      </c>
    </row>
    <row r="307" ht="14.25" customHeight="1">
      <c r="A307" s="34">
        <v>44193.0</v>
      </c>
      <c r="B307" s="35">
        <v>1500.0</v>
      </c>
      <c r="C307" s="35">
        <v>1079.0</v>
      </c>
      <c r="D307" s="35">
        <v>105177.0</v>
      </c>
      <c r="E307" s="36">
        <v>12164.0</v>
      </c>
      <c r="F307" s="37">
        <v>1860649.0</v>
      </c>
      <c r="G307" s="37">
        <v>13664.0</v>
      </c>
      <c r="H307" s="37">
        <v>1965826.0</v>
      </c>
      <c r="I307" s="36">
        <v>1288.0</v>
      </c>
      <c r="J307" s="36">
        <v>931.0</v>
      </c>
      <c r="K307" s="36">
        <v>87236.0</v>
      </c>
      <c r="L307" s="36">
        <v>3204.0</v>
      </c>
      <c r="M307" s="36">
        <v>520505.0</v>
      </c>
      <c r="N307" s="36">
        <v>607741.0</v>
      </c>
      <c r="O307" s="36">
        <v>56.0</v>
      </c>
      <c r="P307" s="38">
        <v>6443.0</v>
      </c>
      <c r="Q307" s="38">
        <v>44.0</v>
      </c>
      <c r="R307" s="38">
        <v>5260.0</v>
      </c>
      <c r="S307" s="38">
        <v>5.0</v>
      </c>
      <c r="T307" s="38">
        <v>703.0</v>
      </c>
      <c r="U307" s="38">
        <v>480.0</v>
      </c>
      <c r="V307" s="38">
        <v>470.0</v>
      </c>
      <c r="W307" s="38">
        <v>72.0</v>
      </c>
      <c r="X307" s="38">
        <v>50.0</v>
      </c>
      <c r="Y307" s="38">
        <v>14.0</v>
      </c>
      <c r="Z307" s="35">
        <v>1884.0</v>
      </c>
      <c r="AA307" s="29">
        <v>3565.0</v>
      </c>
      <c r="AB307" s="29">
        <v>0.0</v>
      </c>
      <c r="AC307" s="29">
        <v>3565.0</v>
      </c>
      <c r="AD307" s="29">
        <v>15856.0</v>
      </c>
      <c r="AE307" s="29">
        <v>3565.0</v>
      </c>
      <c r="AF307" s="29">
        <v>15856.0</v>
      </c>
      <c r="AG307" s="29">
        <v>0.0</v>
      </c>
      <c r="AH307" s="29">
        <v>0.0</v>
      </c>
    </row>
    <row r="308" ht="14.25" customHeight="1">
      <c r="A308" s="34">
        <v>44194.0</v>
      </c>
      <c r="B308" s="35">
        <v>1357.0</v>
      </c>
      <c r="C308" s="35">
        <v>1216.0</v>
      </c>
      <c r="D308" s="35">
        <v>106534.0</v>
      </c>
      <c r="E308" s="36">
        <v>13787.0</v>
      </c>
      <c r="F308" s="37">
        <v>1874436.0</v>
      </c>
      <c r="G308" s="37">
        <v>15144.0</v>
      </c>
      <c r="H308" s="37">
        <v>1980970.0</v>
      </c>
      <c r="I308" s="36">
        <v>1220.0</v>
      </c>
      <c r="J308" s="36">
        <v>1066.0</v>
      </c>
      <c r="K308" s="36">
        <v>88456.0</v>
      </c>
      <c r="L308" s="36">
        <v>2750.0</v>
      </c>
      <c r="M308" s="36">
        <v>523255.0</v>
      </c>
      <c r="N308" s="36">
        <v>611711.0</v>
      </c>
      <c r="O308" s="36">
        <v>59.0</v>
      </c>
      <c r="P308" s="38">
        <v>6502.0</v>
      </c>
      <c r="Q308" s="38">
        <v>56.0</v>
      </c>
      <c r="R308" s="38">
        <v>5316.0</v>
      </c>
      <c r="S308" s="38">
        <v>6.0</v>
      </c>
      <c r="T308" s="38">
        <v>709.0</v>
      </c>
      <c r="U308" s="38">
        <v>477.0</v>
      </c>
      <c r="V308" s="38">
        <v>477.0</v>
      </c>
      <c r="W308" s="38">
        <v>70.0</v>
      </c>
      <c r="X308" s="38">
        <v>53.0</v>
      </c>
      <c r="Y308" s="38">
        <v>17.0</v>
      </c>
      <c r="Z308" s="35">
        <v>1901.0</v>
      </c>
      <c r="AA308" s="29">
        <v>3081.0</v>
      </c>
      <c r="AB308" s="29">
        <v>0.0</v>
      </c>
      <c r="AC308" s="29">
        <v>3081.0</v>
      </c>
      <c r="AD308" s="29">
        <v>18937.0</v>
      </c>
      <c r="AE308" s="29">
        <v>3081.0</v>
      </c>
      <c r="AF308" s="29">
        <v>18937.0</v>
      </c>
      <c r="AG308" s="29">
        <v>0.0</v>
      </c>
      <c r="AH308" s="29">
        <v>0.0</v>
      </c>
    </row>
    <row r="309" ht="14.25" customHeight="1">
      <c r="A309" s="34">
        <v>44195.0</v>
      </c>
      <c r="B309" s="35">
        <v>1539.0</v>
      </c>
      <c r="C309" s="35">
        <v>1465.0</v>
      </c>
      <c r="D309" s="35">
        <v>108073.0</v>
      </c>
      <c r="E309" s="36">
        <v>20035.0</v>
      </c>
      <c r="F309" s="37">
        <v>1894471.0</v>
      </c>
      <c r="G309" s="37">
        <v>21574.0</v>
      </c>
      <c r="H309" s="37">
        <v>2002544.0</v>
      </c>
      <c r="I309" s="36">
        <v>1352.0</v>
      </c>
      <c r="J309" s="36">
        <v>1287.0</v>
      </c>
      <c r="K309" s="36">
        <v>89808.0</v>
      </c>
      <c r="L309" s="36">
        <v>3463.0</v>
      </c>
      <c r="M309" s="36">
        <v>526718.0</v>
      </c>
      <c r="N309" s="36">
        <v>616526.0</v>
      </c>
      <c r="O309" s="36">
        <v>60.0</v>
      </c>
      <c r="P309" s="38">
        <v>6562.0</v>
      </c>
      <c r="Q309" s="38">
        <v>57.0</v>
      </c>
      <c r="R309" s="38">
        <v>5373.0</v>
      </c>
      <c r="S309" s="38">
        <v>5.0</v>
      </c>
      <c r="T309" s="38">
        <v>714.0</v>
      </c>
      <c r="U309" s="38">
        <v>475.0</v>
      </c>
      <c r="V309" s="38">
        <v>477.0</v>
      </c>
      <c r="W309" s="38">
        <v>66.0</v>
      </c>
      <c r="X309" s="38">
        <v>49.0</v>
      </c>
      <c r="Y309" s="38">
        <v>11.0</v>
      </c>
      <c r="Z309" s="35">
        <v>1912.0</v>
      </c>
      <c r="AA309" s="29">
        <v>3221.0</v>
      </c>
      <c r="AB309" s="29">
        <v>0.0</v>
      </c>
      <c r="AC309" s="29">
        <v>3221.0</v>
      </c>
      <c r="AD309" s="29">
        <v>22158.0</v>
      </c>
      <c r="AE309" s="29">
        <v>3221.0</v>
      </c>
      <c r="AF309" s="29">
        <v>22158.0</v>
      </c>
      <c r="AG309" s="29">
        <v>0.0</v>
      </c>
      <c r="AH309" s="29">
        <v>0.0</v>
      </c>
    </row>
    <row r="310" ht="14.25" customHeight="1">
      <c r="A310" s="34">
        <v>44196.0</v>
      </c>
      <c r="B310" s="35">
        <v>1008.0</v>
      </c>
      <c r="C310" s="35">
        <v>1301.0</v>
      </c>
      <c r="D310" s="35">
        <v>109081.0</v>
      </c>
      <c r="E310" s="36">
        <v>13998.0</v>
      </c>
      <c r="F310" s="37">
        <v>1908469.0</v>
      </c>
      <c r="G310" s="37">
        <v>15006.0</v>
      </c>
      <c r="H310" s="37">
        <v>2017550.0</v>
      </c>
      <c r="I310" s="36">
        <v>874.0</v>
      </c>
      <c r="J310" s="36">
        <v>1149.0</v>
      </c>
      <c r="K310" s="36">
        <v>90682.0</v>
      </c>
      <c r="L310" s="36">
        <v>2908.0</v>
      </c>
      <c r="M310" s="36">
        <v>529626.0</v>
      </c>
      <c r="N310" s="36">
        <v>620308.0</v>
      </c>
      <c r="O310" s="36">
        <v>57.0</v>
      </c>
      <c r="P310" s="38">
        <v>6619.0</v>
      </c>
      <c r="Q310" s="38">
        <v>60.0</v>
      </c>
      <c r="R310" s="38">
        <v>5433.0</v>
      </c>
      <c r="S310" s="38">
        <v>14.0</v>
      </c>
      <c r="T310" s="38">
        <v>728.0</v>
      </c>
      <c r="U310" s="38">
        <v>458.0</v>
      </c>
      <c r="V310" s="38">
        <v>470.0</v>
      </c>
      <c r="W310" s="38">
        <v>60.0</v>
      </c>
      <c r="X310" s="38">
        <v>44.0</v>
      </c>
      <c r="Y310" s="38">
        <v>19.0</v>
      </c>
      <c r="Z310" s="35">
        <v>1931.0</v>
      </c>
      <c r="AA310" s="29">
        <v>776.0</v>
      </c>
      <c r="AB310" s="29">
        <v>0.0</v>
      </c>
      <c r="AC310" s="29">
        <v>776.0</v>
      </c>
      <c r="AD310" s="29">
        <v>22934.0</v>
      </c>
      <c r="AE310" s="29">
        <v>776.0</v>
      </c>
      <c r="AF310" s="29">
        <v>22934.0</v>
      </c>
      <c r="AG310" s="29">
        <v>0.0</v>
      </c>
      <c r="AH310" s="29">
        <v>0.0</v>
      </c>
    </row>
    <row r="311" ht="14.25" customHeight="1">
      <c r="A311" s="34">
        <v>44197.0</v>
      </c>
      <c r="B311" s="35">
        <v>928.0</v>
      </c>
      <c r="C311" s="35">
        <v>1158.0</v>
      </c>
      <c r="D311" s="35">
        <v>110009.0</v>
      </c>
      <c r="E311" s="36">
        <v>10823.0</v>
      </c>
      <c r="F311" s="37">
        <v>1919292.0</v>
      </c>
      <c r="G311" s="37">
        <v>11751.0</v>
      </c>
      <c r="H311" s="37">
        <v>2029301.0</v>
      </c>
      <c r="I311" s="36">
        <v>807.0</v>
      </c>
      <c r="J311" s="36">
        <v>1011.0</v>
      </c>
      <c r="K311" s="36">
        <v>91489.0</v>
      </c>
      <c r="L311" s="36">
        <v>1919.0</v>
      </c>
      <c r="M311" s="36">
        <v>531545.0</v>
      </c>
      <c r="N311" s="36">
        <v>623034.0</v>
      </c>
      <c r="O311" s="36">
        <v>50.0</v>
      </c>
      <c r="P311" s="38">
        <v>6669.0</v>
      </c>
      <c r="Q311" s="38">
        <v>45.0</v>
      </c>
      <c r="R311" s="38">
        <v>5478.0</v>
      </c>
      <c r="S311" s="38">
        <v>9.0</v>
      </c>
      <c r="T311" s="38">
        <v>737.0</v>
      </c>
      <c r="U311" s="38">
        <v>454.0</v>
      </c>
      <c r="V311" s="38">
        <v>462.0</v>
      </c>
      <c r="W311" s="38">
        <v>60.0</v>
      </c>
      <c r="X311" s="38">
        <v>46.0</v>
      </c>
      <c r="Y311" s="38">
        <v>14.0</v>
      </c>
      <c r="Z311" s="35">
        <v>1945.0</v>
      </c>
      <c r="AA311" s="29">
        <v>66.0</v>
      </c>
      <c r="AB311" s="29">
        <v>0.0</v>
      </c>
      <c r="AC311" s="29">
        <v>66.0</v>
      </c>
      <c r="AD311" s="29">
        <v>23000.0</v>
      </c>
      <c r="AE311" s="29">
        <v>66.0</v>
      </c>
      <c r="AF311" s="29">
        <v>23000.0</v>
      </c>
      <c r="AG311" s="29">
        <v>0.0</v>
      </c>
      <c r="AH311" s="29">
        <v>0.0</v>
      </c>
    </row>
    <row r="312" ht="14.25" customHeight="1">
      <c r="A312" s="34">
        <v>44198.0</v>
      </c>
      <c r="B312" s="35">
        <v>1027.0</v>
      </c>
      <c r="C312" s="35">
        <v>988.0</v>
      </c>
      <c r="D312" s="35">
        <v>111036.0</v>
      </c>
      <c r="E312" s="36">
        <v>9835.0</v>
      </c>
      <c r="F312" s="37">
        <v>1929127.0</v>
      </c>
      <c r="G312" s="37">
        <v>10862.0</v>
      </c>
      <c r="H312" s="37">
        <v>2040163.0</v>
      </c>
      <c r="I312" s="36">
        <v>901.0</v>
      </c>
      <c r="J312" s="36">
        <v>861.0</v>
      </c>
      <c r="K312" s="36">
        <v>92390.0</v>
      </c>
      <c r="L312" s="36">
        <v>2160.0</v>
      </c>
      <c r="M312" s="36">
        <v>533705.0</v>
      </c>
      <c r="N312" s="36">
        <v>626095.0</v>
      </c>
      <c r="O312" s="36">
        <v>51.0</v>
      </c>
      <c r="P312" s="38">
        <v>6720.0</v>
      </c>
      <c r="Q312" s="38">
        <v>33.0</v>
      </c>
      <c r="R312" s="38">
        <v>5511.0</v>
      </c>
      <c r="S312" s="38">
        <v>5.0</v>
      </c>
      <c r="T312" s="38">
        <v>742.0</v>
      </c>
      <c r="U312" s="38">
        <v>467.0</v>
      </c>
      <c r="V312" s="38">
        <v>460.0</v>
      </c>
      <c r="W312" s="38">
        <v>59.0</v>
      </c>
      <c r="X312" s="38">
        <v>42.0</v>
      </c>
      <c r="Y312" s="38">
        <v>14.0</v>
      </c>
      <c r="Z312" s="35">
        <v>1959.0</v>
      </c>
      <c r="AA312" s="29">
        <v>1750.0</v>
      </c>
      <c r="AB312" s="29">
        <v>20.0</v>
      </c>
      <c r="AC312" s="29">
        <v>1770.0</v>
      </c>
      <c r="AD312" s="29">
        <v>24770.0</v>
      </c>
      <c r="AE312" s="29">
        <v>1750.0</v>
      </c>
      <c r="AF312" s="29">
        <v>24750.0</v>
      </c>
      <c r="AG312" s="29">
        <v>20.0</v>
      </c>
      <c r="AH312" s="29">
        <v>20.0</v>
      </c>
    </row>
    <row r="313" ht="14.25" customHeight="1">
      <c r="A313" s="34">
        <v>44199.0</v>
      </c>
      <c r="B313" s="35">
        <v>760.0</v>
      </c>
      <c r="C313" s="35">
        <v>905.0</v>
      </c>
      <c r="D313" s="35">
        <v>111796.0</v>
      </c>
      <c r="E313" s="36">
        <v>8247.0</v>
      </c>
      <c r="F313" s="37">
        <v>1937374.0</v>
      </c>
      <c r="G313" s="37">
        <v>9007.0</v>
      </c>
      <c r="H313" s="37">
        <v>2049170.0</v>
      </c>
      <c r="I313" s="36">
        <v>651.0</v>
      </c>
      <c r="J313" s="36">
        <v>786.0</v>
      </c>
      <c r="K313" s="36">
        <v>93041.0</v>
      </c>
      <c r="L313" s="36">
        <v>2112.0</v>
      </c>
      <c r="M313" s="36">
        <v>535817.0</v>
      </c>
      <c r="N313" s="36">
        <v>628858.0</v>
      </c>
      <c r="O313" s="36">
        <v>39.0</v>
      </c>
      <c r="P313" s="38">
        <v>6759.0</v>
      </c>
      <c r="Q313" s="38">
        <v>40.0</v>
      </c>
      <c r="R313" s="38">
        <v>5551.0</v>
      </c>
      <c r="S313" s="38">
        <v>9.0</v>
      </c>
      <c r="T313" s="38">
        <v>751.0</v>
      </c>
      <c r="U313" s="38">
        <v>457.0</v>
      </c>
      <c r="V313" s="38">
        <v>459.0</v>
      </c>
      <c r="W313" s="38">
        <v>61.0</v>
      </c>
      <c r="X313" s="38">
        <v>42.0</v>
      </c>
      <c r="Y313" s="38">
        <v>17.0</v>
      </c>
      <c r="Z313" s="35">
        <v>1976.0</v>
      </c>
      <c r="AA313" s="29">
        <v>1726.0</v>
      </c>
      <c r="AB313" s="29">
        <v>102.0</v>
      </c>
      <c r="AC313" s="29">
        <v>1828.0</v>
      </c>
      <c r="AD313" s="29">
        <v>26598.0</v>
      </c>
      <c r="AE313" s="29">
        <v>1726.0</v>
      </c>
      <c r="AF313" s="29">
        <v>26476.0</v>
      </c>
      <c r="AG313" s="29">
        <v>102.0</v>
      </c>
      <c r="AH313" s="29">
        <v>122.0</v>
      </c>
    </row>
    <row r="314" ht="14.25" customHeight="1">
      <c r="A314" s="34">
        <v>44200.0</v>
      </c>
      <c r="B314" s="35">
        <v>1264.0</v>
      </c>
      <c r="C314" s="35">
        <v>1017.0</v>
      </c>
      <c r="D314" s="35">
        <v>113060.0</v>
      </c>
      <c r="E314" s="36">
        <v>11850.0</v>
      </c>
      <c r="F314" s="37">
        <v>1949224.0</v>
      </c>
      <c r="G314" s="37">
        <v>13114.0</v>
      </c>
      <c r="H314" s="37">
        <v>2062284.0</v>
      </c>
      <c r="I314" s="36">
        <v>1130.0</v>
      </c>
      <c r="J314" s="36">
        <v>894.0</v>
      </c>
      <c r="K314" s="36">
        <v>94171.0</v>
      </c>
      <c r="L314" s="36">
        <v>2945.0</v>
      </c>
      <c r="M314" s="36">
        <v>538762.0</v>
      </c>
      <c r="N314" s="36">
        <v>632933.0</v>
      </c>
      <c r="O314" s="36">
        <v>68.0</v>
      </c>
      <c r="P314" s="38">
        <v>6827.0</v>
      </c>
      <c r="Q314" s="38">
        <v>60.0</v>
      </c>
      <c r="R314" s="38">
        <v>5611.0</v>
      </c>
      <c r="S314" s="38">
        <v>12.0</v>
      </c>
      <c r="T314" s="38">
        <v>763.0</v>
      </c>
      <c r="U314" s="38">
        <v>453.0</v>
      </c>
      <c r="V314" s="38">
        <v>459.0</v>
      </c>
      <c r="W314" s="38">
        <v>64.0</v>
      </c>
      <c r="X314" s="38">
        <v>42.0</v>
      </c>
      <c r="Y314" s="38">
        <v>19.0</v>
      </c>
      <c r="Z314" s="35">
        <v>1995.0</v>
      </c>
      <c r="AA314" s="29">
        <v>2339.0</v>
      </c>
      <c r="AB314" s="29">
        <v>282.0</v>
      </c>
      <c r="AC314" s="29">
        <v>2621.0</v>
      </c>
      <c r="AD314" s="29">
        <v>29219.0</v>
      </c>
      <c r="AE314" s="29">
        <v>2339.0</v>
      </c>
      <c r="AF314" s="29">
        <v>28815.0</v>
      </c>
      <c r="AG314" s="29">
        <v>282.0</v>
      </c>
      <c r="AH314" s="29">
        <v>404.0</v>
      </c>
    </row>
    <row r="315" ht="14.25" customHeight="1">
      <c r="A315" s="34">
        <v>44201.0</v>
      </c>
      <c r="B315" s="35">
        <v>1882.0</v>
      </c>
      <c r="C315" s="35">
        <v>1302.0</v>
      </c>
      <c r="D315" s="35">
        <v>114942.0</v>
      </c>
      <c r="E315" s="36">
        <v>19205.0</v>
      </c>
      <c r="F315" s="37">
        <v>1968429.0</v>
      </c>
      <c r="G315" s="37">
        <v>21087.0</v>
      </c>
      <c r="H315" s="37">
        <v>2083371.0</v>
      </c>
      <c r="I315" s="36">
        <v>1625.0</v>
      </c>
      <c r="J315" s="36">
        <v>1135.0</v>
      </c>
      <c r="K315" s="36">
        <v>95796.0</v>
      </c>
      <c r="L315" s="36">
        <v>3841.0</v>
      </c>
      <c r="M315" s="36">
        <v>542603.0</v>
      </c>
      <c r="N315" s="36">
        <v>638399.0</v>
      </c>
      <c r="O315" s="36">
        <v>57.0</v>
      </c>
      <c r="P315" s="38">
        <v>6884.0</v>
      </c>
      <c r="Q315" s="38">
        <v>55.0</v>
      </c>
      <c r="R315" s="38">
        <v>5666.0</v>
      </c>
      <c r="S315" s="38">
        <v>7.0</v>
      </c>
      <c r="T315" s="38">
        <v>770.0</v>
      </c>
      <c r="U315" s="38">
        <v>448.0</v>
      </c>
      <c r="V315" s="38">
        <v>453.0</v>
      </c>
      <c r="W315" s="38">
        <v>63.0</v>
      </c>
      <c r="X315" s="38">
        <v>41.0</v>
      </c>
      <c r="Y315" s="38">
        <v>13.0</v>
      </c>
      <c r="Z315" s="35">
        <v>2008.0</v>
      </c>
      <c r="AA315" s="29">
        <v>2516.0</v>
      </c>
      <c r="AB315" s="29">
        <v>240.0</v>
      </c>
      <c r="AC315" s="29">
        <v>2756.0</v>
      </c>
      <c r="AD315" s="29">
        <v>31975.0</v>
      </c>
      <c r="AE315" s="29">
        <v>2516.0</v>
      </c>
      <c r="AF315" s="29">
        <v>31331.0</v>
      </c>
      <c r="AG315" s="29">
        <v>240.0</v>
      </c>
      <c r="AH315" s="29">
        <v>644.0</v>
      </c>
    </row>
    <row r="316" ht="14.25" customHeight="1">
      <c r="A316" s="34">
        <v>44202.0</v>
      </c>
      <c r="B316" s="35">
        <v>1372.0</v>
      </c>
      <c r="C316" s="35">
        <v>1506.0</v>
      </c>
      <c r="D316" s="35">
        <v>116314.0</v>
      </c>
      <c r="E316" s="36">
        <v>18324.0</v>
      </c>
      <c r="F316" s="37">
        <v>1986753.0</v>
      </c>
      <c r="G316" s="37">
        <v>19696.0</v>
      </c>
      <c r="H316" s="37">
        <v>2103067.0</v>
      </c>
      <c r="I316" s="36">
        <v>1222.0</v>
      </c>
      <c r="J316" s="36">
        <v>1326.0</v>
      </c>
      <c r="K316" s="36">
        <v>97018.0</v>
      </c>
      <c r="L316" s="36">
        <v>3052.0</v>
      </c>
      <c r="M316" s="36">
        <v>545655.0</v>
      </c>
      <c r="N316" s="36">
        <v>642673.0</v>
      </c>
      <c r="O316" s="36">
        <v>59.0</v>
      </c>
      <c r="P316" s="38">
        <v>6943.0</v>
      </c>
      <c r="Q316" s="38">
        <v>60.0</v>
      </c>
      <c r="R316" s="38">
        <v>5726.0</v>
      </c>
      <c r="S316" s="38">
        <v>12.0</v>
      </c>
      <c r="T316" s="38">
        <v>782.0</v>
      </c>
      <c r="U316" s="38">
        <v>435.0</v>
      </c>
      <c r="V316" s="38">
        <v>445.0</v>
      </c>
      <c r="W316" s="38">
        <v>58.0</v>
      </c>
      <c r="X316" s="38">
        <v>39.0</v>
      </c>
      <c r="Y316" s="38">
        <v>19.0</v>
      </c>
      <c r="Z316" s="35">
        <v>2027.0</v>
      </c>
      <c r="AA316" s="29">
        <v>1636.0</v>
      </c>
      <c r="AB316" s="29">
        <v>470.0</v>
      </c>
      <c r="AC316" s="29">
        <v>2106.0</v>
      </c>
      <c r="AD316" s="29">
        <v>34081.0</v>
      </c>
      <c r="AE316" s="29">
        <v>1636.0</v>
      </c>
      <c r="AF316" s="29">
        <v>32967.0</v>
      </c>
      <c r="AG316" s="29">
        <v>470.0</v>
      </c>
      <c r="AH316" s="29">
        <v>1114.0</v>
      </c>
    </row>
    <row r="317" ht="14.25" customHeight="1">
      <c r="A317" s="34">
        <v>44203.0</v>
      </c>
      <c r="B317" s="35">
        <v>1262.0</v>
      </c>
      <c r="C317" s="35">
        <v>1505.0</v>
      </c>
      <c r="D317" s="35">
        <v>117576.0</v>
      </c>
      <c r="E317" s="36">
        <v>17441.0</v>
      </c>
      <c r="F317" s="37">
        <v>2004194.0</v>
      </c>
      <c r="G317" s="37">
        <v>18703.0</v>
      </c>
      <c r="H317" s="37">
        <v>2121770.0</v>
      </c>
      <c r="I317" s="36">
        <v>1121.0</v>
      </c>
      <c r="J317" s="36">
        <v>1323.0</v>
      </c>
      <c r="K317" s="36">
        <v>98139.0</v>
      </c>
      <c r="L317" s="36">
        <v>3254.0</v>
      </c>
      <c r="M317" s="36">
        <v>548909.0</v>
      </c>
      <c r="N317" s="36">
        <v>647048.0</v>
      </c>
      <c r="O317" s="36">
        <v>51.0</v>
      </c>
      <c r="P317" s="38">
        <v>6994.0</v>
      </c>
      <c r="Q317" s="38">
        <v>56.0</v>
      </c>
      <c r="R317" s="38">
        <v>5782.0</v>
      </c>
      <c r="S317" s="38">
        <v>4.0</v>
      </c>
      <c r="T317" s="38">
        <v>786.0</v>
      </c>
      <c r="U317" s="38">
        <v>426.0</v>
      </c>
      <c r="V317" s="38">
        <v>436.0</v>
      </c>
      <c r="W317" s="38">
        <v>57.0</v>
      </c>
      <c r="X317" s="38">
        <v>36.0</v>
      </c>
      <c r="Y317" s="38">
        <v>11.0</v>
      </c>
      <c r="Z317" s="35">
        <v>2038.0</v>
      </c>
      <c r="AA317" s="29">
        <v>1749.0</v>
      </c>
      <c r="AB317" s="29">
        <v>706.0</v>
      </c>
      <c r="AC317" s="29">
        <v>2455.0</v>
      </c>
      <c r="AD317" s="29">
        <v>36536.0</v>
      </c>
      <c r="AE317" s="29">
        <v>1749.0</v>
      </c>
      <c r="AF317" s="29">
        <v>34716.0</v>
      </c>
      <c r="AG317" s="29">
        <v>706.0</v>
      </c>
      <c r="AH317" s="29">
        <v>1820.0</v>
      </c>
    </row>
    <row r="318" ht="14.25" customHeight="1">
      <c r="A318" s="34">
        <v>44204.0</v>
      </c>
      <c r="B318" s="35">
        <v>1421.0</v>
      </c>
      <c r="C318" s="35">
        <v>1352.0</v>
      </c>
      <c r="D318" s="35">
        <v>118997.0</v>
      </c>
      <c r="E318" s="36">
        <v>20468.0</v>
      </c>
      <c r="F318" s="37">
        <v>2024662.0</v>
      </c>
      <c r="G318" s="37">
        <v>21889.0</v>
      </c>
      <c r="H318" s="37">
        <v>2143659.0</v>
      </c>
      <c r="I318" s="36">
        <v>1241.0</v>
      </c>
      <c r="J318" s="36">
        <v>1195.0</v>
      </c>
      <c r="K318" s="36">
        <v>99380.0</v>
      </c>
      <c r="L318" s="36">
        <v>3864.0</v>
      </c>
      <c r="M318" s="36">
        <v>552773.0</v>
      </c>
      <c r="N318" s="36">
        <v>652153.0</v>
      </c>
      <c r="O318" s="36">
        <v>56.0</v>
      </c>
      <c r="P318" s="38">
        <v>7050.0</v>
      </c>
      <c r="Q318" s="38">
        <v>51.0</v>
      </c>
      <c r="R318" s="38">
        <v>5833.0</v>
      </c>
      <c r="S318" s="38">
        <v>6.0</v>
      </c>
      <c r="T318" s="38">
        <v>792.0</v>
      </c>
      <c r="U318" s="38">
        <v>425.0</v>
      </c>
      <c r="V318" s="38">
        <v>429.0</v>
      </c>
      <c r="W318" s="38">
        <v>54.0</v>
      </c>
      <c r="X318" s="38">
        <v>35.0</v>
      </c>
      <c r="Y318" s="38">
        <v>13.0</v>
      </c>
      <c r="Z318" s="35">
        <v>2051.0</v>
      </c>
      <c r="AA318" s="29">
        <v>1793.0</v>
      </c>
      <c r="AB318" s="29">
        <v>1553.0</v>
      </c>
      <c r="AC318" s="29">
        <v>3346.0</v>
      </c>
      <c r="AD318" s="29">
        <v>39882.0</v>
      </c>
      <c r="AE318" s="29">
        <v>1793.0</v>
      </c>
      <c r="AF318" s="29">
        <v>36509.0</v>
      </c>
      <c r="AG318" s="29">
        <v>1553.0</v>
      </c>
      <c r="AH318" s="29">
        <v>3373.0</v>
      </c>
    </row>
    <row r="319" ht="14.25" customHeight="1">
      <c r="A319" s="34">
        <v>44205.0</v>
      </c>
      <c r="B319" s="35">
        <v>1287.0</v>
      </c>
      <c r="C319" s="35">
        <v>1323.0</v>
      </c>
      <c r="D319" s="35">
        <v>120284.0</v>
      </c>
      <c r="E319" s="36">
        <v>17329.0</v>
      </c>
      <c r="F319" s="37">
        <v>2041991.0</v>
      </c>
      <c r="G319" s="37">
        <v>18616.0</v>
      </c>
      <c r="H319" s="37">
        <v>2162275.0</v>
      </c>
      <c r="I319" s="36">
        <v>1084.0</v>
      </c>
      <c r="J319" s="36">
        <v>1149.0</v>
      </c>
      <c r="K319" s="36">
        <v>100464.0</v>
      </c>
      <c r="L319" s="36">
        <v>3385.0</v>
      </c>
      <c r="M319" s="36">
        <v>556158.0</v>
      </c>
      <c r="N319" s="36">
        <v>656622.0</v>
      </c>
      <c r="O319" s="36">
        <v>65.0</v>
      </c>
      <c r="P319" s="38">
        <v>7115.0</v>
      </c>
      <c r="Q319" s="38">
        <v>39.0</v>
      </c>
      <c r="R319" s="38">
        <v>5872.0</v>
      </c>
      <c r="S319" s="38">
        <v>6.0</v>
      </c>
      <c r="T319" s="38">
        <v>798.0</v>
      </c>
      <c r="U319" s="38">
        <v>445.0</v>
      </c>
      <c r="V319" s="38">
        <v>432.0</v>
      </c>
      <c r="W319" s="38">
        <v>52.0</v>
      </c>
      <c r="X319" s="38">
        <v>33.0</v>
      </c>
      <c r="Y319" s="38">
        <v>15.0</v>
      </c>
      <c r="Z319" s="35">
        <v>2066.0</v>
      </c>
      <c r="AA319" s="29">
        <v>1477.0</v>
      </c>
      <c r="AB319" s="29">
        <v>697.0</v>
      </c>
      <c r="AC319" s="29">
        <v>2174.0</v>
      </c>
      <c r="AD319" s="29">
        <v>42056.0</v>
      </c>
      <c r="AE319" s="29">
        <v>1477.0</v>
      </c>
      <c r="AF319" s="29">
        <v>37986.0</v>
      </c>
      <c r="AG319" s="29">
        <v>698.0</v>
      </c>
      <c r="AH319" s="29">
        <v>4071.0</v>
      </c>
    </row>
    <row r="320" ht="14.25" customHeight="1">
      <c r="A320" s="34">
        <v>44206.0</v>
      </c>
      <c r="B320" s="35">
        <v>739.0</v>
      </c>
      <c r="C320" s="35">
        <v>1149.0</v>
      </c>
      <c r="D320" s="35">
        <v>121023.0</v>
      </c>
      <c r="E320" s="36">
        <v>8781.0</v>
      </c>
      <c r="F320" s="37">
        <v>2050772.0</v>
      </c>
      <c r="G320" s="37">
        <v>9520.0</v>
      </c>
      <c r="H320" s="37">
        <v>2171795.0</v>
      </c>
      <c r="I320" s="36">
        <v>667.0</v>
      </c>
      <c r="J320" s="36">
        <v>997.0</v>
      </c>
      <c r="K320" s="36">
        <v>101131.0</v>
      </c>
      <c r="L320" s="36">
        <v>2063.0</v>
      </c>
      <c r="M320" s="36">
        <v>558221.0</v>
      </c>
      <c r="N320" s="36">
        <v>659352.0</v>
      </c>
      <c r="O320" s="36">
        <v>45.0</v>
      </c>
      <c r="P320" s="38">
        <v>7160.0</v>
      </c>
      <c r="Q320" s="38">
        <v>40.0</v>
      </c>
      <c r="R320" s="38">
        <v>5912.0</v>
      </c>
      <c r="S320" s="38">
        <v>5.0</v>
      </c>
      <c r="T320" s="38">
        <v>803.0</v>
      </c>
      <c r="U320" s="38">
        <v>445.0</v>
      </c>
      <c r="V320" s="38">
        <v>438.0</v>
      </c>
      <c r="W320" s="38">
        <v>55.0</v>
      </c>
      <c r="X320" s="38">
        <v>34.0</v>
      </c>
      <c r="Y320" s="38">
        <v>15.0</v>
      </c>
      <c r="Z320" s="35">
        <v>2081.0</v>
      </c>
      <c r="AA320" s="29">
        <v>339.0</v>
      </c>
      <c r="AB320" s="29">
        <v>763.0</v>
      </c>
      <c r="AC320" s="29">
        <v>1102.0</v>
      </c>
      <c r="AD320" s="29">
        <v>43158.0</v>
      </c>
      <c r="AE320" s="29">
        <v>339.0</v>
      </c>
      <c r="AF320" s="29">
        <v>38325.0</v>
      </c>
      <c r="AG320" s="29">
        <v>763.0</v>
      </c>
      <c r="AH320" s="29">
        <v>4834.0</v>
      </c>
    </row>
    <row r="321" ht="14.25" customHeight="1">
      <c r="A321" s="34">
        <v>44207.0</v>
      </c>
      <c r="B321" s="35">
        <v>1016.0</v>
      </c>
      <c r="C321" s="35">
        <v>1014.0</v>
      </c>
      <c r="D321" s="35">
        <v>122039.0</v>
      </c>
      <c r="E321" s="36">
        <v>13399.0</v>
      </c>
      <c r="F321" s="37">
        <v>2064171.0</v>
      </c>
      <c r="G321" s="37">
        <v>14415.0</v>
      </c>
      <c r="H321" s="37">
        <v>2186210.0</v>
      </c>
      <c r="I321" s="36">
        <v>896.0</v>
      </c>
      <c r="J321" s="36">
        <v>882.0</v>
      </c>
      <c r="K321" s="36">
        <v>102027.0</v>
      </c>
      <c r="L321" s="36">
        <v>3355.0</v>
      </c>
      <c r="M321" s="36">
        <v>561576.0</v>
      </c>
      <c r="N321" s="36">
        <v>663603.0</v>
      </c>
      <c r="O321" s="36">
        <v>64.0</v>
      </c>
      <c r="P321" s="38">
        <v>7224.0</v>
      </c>
      <c r="Q321" s="38">
        <v>50.0</v>
      </c>
      <c r="R321" s="38">
        <v>5962.0</v>
      </c>
      <c r="S321" s="38">
        <v>9.0</v>
      </c>
      <c r="T321" s="38">
        <v>812.0</v>
      </c>
      <c r="U321" s="38">
        <v>450.0</v>
      </c>
      <c r="V321" s="38">
        <v>447.0</v>
      </c>
      <c r="W321" s="38">
        <v>54.0</v>
      </c>
      <c r="X321" s="38">
        <v>36.0</v>
      </c>
      <c r="Y321" s="38">
        <v>22.0</v>
      </c>
      <c r="Z321" s="35">
        <v>2103.0</v>
      </c>
      <c r="AA321" s="29">
        <v>1315.0</v>
      </c>
      <c r="AB321" s="29">
        <v>1514.0</v>
      </c>
      <c r="AC321" s="29">
        <v>2829.0</v>
      </c>
      <c r="AD321" s="29">
        <v>45987.0</v>
      </c>
      <c r="AE321" s="29">
        <v>1315.0</v>
      </c>
      <c r="AF321" s="29">
        <v>39640.0</v>
      </c>
      <c r="AG321" s="29">
        <v>1514.0</v>
      </c>
      <c r="AH321" s="29">
        <v>6348.0</v>
      </c>
    </row>
    <row r="322" ht="14.25" customHeight="1">
      <c r="A322" s="34">
        <v>44208.0</v>
      </c>
      <c r="B322" s="35">
        <v>1116.0</v>
      </c>
      <c r="C322" s="35">
        <v>957.0</v>
      </c>
      <c r="D322" s="35">
        <v>123155.0</v>
      </c>
      <c r="E322" s="36">
        <v>18313.0</v>
      </c>
      <c r="F322" s="37">
        <v>2082484.0</v>
      </c>
      <c r="G322" s="37">
        <v>19429.0</v>
      </c>
      <c r="H322" s="37">
        <v>2205639.0</v>
      </c>
      <c r="I322" s="36">
        <v>952.0</v>
      </c>
      <c r="J322" s="36">
        <v>838.0</v>
      </c>
      <c r="K322" s="36">
        <v>102979.0</v>
      </c>
      <c r="L322" s="36">
        <v>3686.0</v>
      </c>
      <c r="M322" s="36">
        <v>565262.0</v>
      </c>
      <c r="N322" s="36">
        <v>668241.0</v>
      </c>
      <c r="O322" s="36">
        <v>61.0</v>
      </c>
      <c r="P322" s="38">
        <v>7285.0</v>
      </c>
      <c r="Q322" s="38">
        <v>76.0</v>
      </c>
      <c r="R322" s="38">
        <v>6038.0</v>
      </c>
      <c r="S322" s="38">
        <v>8.0</v>
      </c>
      <c r="T322" s="38">
        <v>820.0</v>
      </c>
      <c r="U322" s="38">
        <v>427.0</v>
      </c>
      <c r="V322" s="38">
        <v>441.0</v>
      </c>
      <c r="W322" s="38">
        <v>56.0</v>
      </c>
      <c r="X322" s="38">
        <v>37.0</v>
      </c>
      <c r="Y322" s="38">
        <v>15.0</v>
      </c>
      <c r="Z322" s="35">
        <v>2118.0</v>
      </c>
      <c r="AA322" s="29">
        <v>1909.0</v>
      </c>
      <c r="AB322" s="29">
        <v>1290.0</v>
      </c>
      <c r="AC322" s="29">
        <v>3199.0</v>
      </c>
      <c r="AD322" s="29">
        <v>49186.0</v>
      </c>
      <c r="AE322" s="29">
        <v>1909.0</v>
      </c>
      <c r="AF322" s="29">
        <v>41549.0</v>
      </c>
      <c r="AG322" s="29">
        <v>1290.0</v>
      </c>
      <c r="AH322" s="29">
        <v>7638.0</v>
      </c>
    </row>
    <row r="323" ht="14.25" customHeight="1">
      <c r="A323" s="34">
        <v>44209.0</v>
      </c>
      <c r="B323" s="35">
        <v>1034.0</v>
      </c>
      <c r="C323" s="35">
        <v>1055.0</v>
      </c>
      <c r="D323" s="35">
        <v>124189.0</v>
      </c>
      <c r="E323" s="36">
        <v>19973.0</v>
      </c>
      <c r="F323" s="37">
        <v>2102457.0</v>
      </c>
      <c r="G323" s="37">
        <v>21007.0</v>
      </c>
      <c r="H323" s="37">
        <v>2226646.0</v>
      </c>
      <c r="I323" s="36">
        <v>886.0</v>
      </c>
      <c r="J323" s="36">
        <v>911.0</v>
      </c>
      <c r="K323" s="36">
        <v>103865.0</v>
      </c>
      <c r="L323" s="36">
        <v>3890.0</v>
      </c>
      <c r="M323" s="36">
        <v>569152.0</v>
      </c>
      <c r="N323" s="36">
        <v>673017.0</v>
      </c>
      <c r="O323" s="36">
        <v>67.0</v>
      </c>
      <c r="P323" s="38">
        <v>7352.0</v>
      </c>
      <c r="Q323" s="38">
        <v>57.0</v>
      </c>
      <c r="R323" s="38">
        <v>6095.0</v>
      </c>
      <c r="S323" s="38">
        <v>5.0</v>
      </c>
      <c r="T323" s="38">
        <v>825.0</v>
      </c>
      <c r="U323" s="38">
        <v>432.0</v>
      </c>
      <c r="V323" s="38">
        <v>436.0</v>
      </c>
      <c r="W323" s="38">
        <v>56.0</v>
      </c>
      <c r="X323" s="38">
        <v>37.0</v>
      </c>
      <c r="Y323" s="38">
        <v>11.0</v>
      </c>
      <c r="Z323" s="35">
        <v>2129.0</v>
      </c>
      <c r="AA323" s="29">
        <v>1308.0</v>
      </c>
      <c r="AB323" s="29">
        <v>1218.0</v>
      </c>
      <c r="AC323" s="29">
        <v>2526.0</v>
      </c>
      <c r="AD323" s="29">
        <v>51712.0</v>
      </c>
      <c r="AE323" s="29">
        <v>1308.0</v>
      </c>
      <c r="AF323" s="29">
        <v>42857.0</v>
      </c>
      <c r="AG323" s="29">
        <v>1218.0</v>
      </c>
      <c r="AH323" s="29">
        <v>8856.0</v>
      </c>
    </row>
    <row r="324" ht="14.25" customHeight="1">
      <c r="A324" s="34">
        <v>44210.0</v>
      </c>
      <c r="B324" s="35">
        <v>1145.0</v>
      </c>
      <c r="C324" s="35">
        <v>1098.0</v>
      </c>
      <c r="D324" s="35">
        <v>125334.0</v>
      </c>
      <c r="E324" s="36">
        <v>20572.0</v>
      </c>
      <c r="F324" s="37">
        <v>2123029.0</v>
      </c>
      <c r="G324" s="37">
        <v>21717.0</v>
      </c>
      <c r="H324" s="37">
        <v>2248363.0</v>
      </c>
      <c r="I324" s="36">
        <v>998.0</v>
      </c>
      <c r="J324" s="36">
        <v>945.0</v>
      </c>
      <c r="K324" s="36">
        <v>104863.0</v>
      </c>
      <c r="L324" s="36">
        <v>3955.0</v>
      </c>
      <c r="M324" s="36">
        <v>573107.0</v>
      </c>
      <c r="N324" s="36">
        <v>677970.0</v>
      </c>
      <c r="O324" s="36">
        <v>64.0</v>
      </c>
      <c r="P324" s="38">
        <v>7416.0</v>
      </c>
      <c r="Q324" s="38">
        <v>60.0</v>
      </c>
      <c r="R324" s="38">
        <v>6155.0</v>
      </c>
      <c r="S324" s="38">
        <v>5.0</v>
      </c>
      <c r="T324" s="38">
        <v>830.0</v>
      </c>
      <c r="U324" s="38">
        <v>431.0</v>
      </c>
      <c r="V324" s="38">
        <v>430.0</v>
      </c>
      <c r="W324" s="38">
        <v>58.0</v>
      </c>
      <c r="X324" s="38">
        <v>40.0</v>
      </c>
      <c r="Y324" s="38">
        <v>10.0</v>
      </c>
      <c r="Z324" s="35">
        <v>2139.0</v>
      </c>
      <c r="AA324" s="29">
        <v>2338.0</v>
      </c>
      <c r="AB324" s="29">
        <v>596.0</v>
      </c>
      <c r="AC324" s="29">
        <v>2934.0</v>
      </c>
      <c r="AD324" s="29">
        <v>54646.0</v>
      </c>
      <c r="AE324" s="29">
        <v>2338.0</v>
      </c>
      <c r="AF324" s="29">
        <v>45195.0</v>
      </c>
      <c r="AG324" s="29">
        <v>596.0</v>
      </c>
      <c r="AH324" s="29">
        <v>9452.0</v>
      </c>
    </row>
    <row r="325" ht="14.25" customHeight="1">
      <c r="A325" s="34">
        <v>44211.0</v>
      </c>
      <c r="B325" s="35">
        <v>1101.0</v>
      </c>
      <c r="C325" s="35">
        <v>1093.0</v>
      </c>
      <c r="D325" s="35">
        <v>126435.0</v>
      </c>
      <c r="E325" s="36">
        <v>17565.0</v>
      </c>
      <c r="F325" s="37">
        <v>2140594.0</v>
      </c>
      <c r="G325" s="37">
        <v>18666.0</v>
      </c>
      <c r="H325" s="37">
        <v>2267029.0</v>
      </c>
      <c r="I325" s="36">
        <v>954.0</v>
      </c>
      <c r="J325" s="36">
        <v>946.0</v>
      </c>
      <c r="K325" s="36">
        <v>105817.0</v>
      </c>
      <c r="L325" s="36">
        <v>3268.0</v>
      </c>
      <c r="M325" s="36">
        <v>576375.0</v>
      </c>
      <c r="N325" s="36">
        <v>682192.0</v>
      </c>
      <c r="O325" s="36">
        <v>61.0</v>
      </c>
      <c r="P325" s="38">
        <v>7477.0</v>
      </c>
      <c r="Q325" s="38">
        <v>74.0</v>
      </c>
      <c r="R325" s="38">
        <v>6229.0</v>
      </c>
      <c r="S325" s="38">
        <v>8.0</v>
      </c>
      <c r="T325" s="38">
        <v>838.0</v>
      </c>
      <c r="U325" s="38">
        <v>410.0</v>
      </c>
      <c r="V325" s="38">
        <v>424.0</v>
      </c>
      <c r="W325" s="38">
        <v>57.0</v>
      </c>
      <c r="X325" s="38">
        <v>38.0</v>
      </c>
      <c r="Y325" s="38">
        <v>16.0</v>
      </c>
      <c r="Z325" s="35">
        <v>2155.0</v>
      </c>
      <c r="AA325" s="29">
        <v>1610.0</v>
      </c>
      <c r="AB325" s="29">
        <v>576.0</v>
      </c>
      <c r="AC325" s="29">
        <v>2186.0</v>
      </c>
      <c r="AD325" s="29">
        <v>56832.0</v>
      </c>
      <c r="AE325" s="29">
        <v>1610.0</v>
      </c>
      <c r="AF325" s="29">
        <v>46805.0</v>
      </c>
      <c r="AG325" s="29">
        <v>576.0</v>
      </c>
      <c r="AH325" s="29">
        <v>10028.0</v>
      </c>
    </row>
    <row r="326" ht="14.25" customHeight="1">
      <c r="A326" s="34">
        <v>44212.0</v>
      </c>
      <c r="B326" s="35">
        <v>920.0</v>
      </c>
      <c r="C326" s="35">
        <v>1055.0</v>
      </c>
      <c r="D326" s="35">
        <v>127355.0</v>
      </c>
      <c r="E326" s="36">
        <v>16699.0</v>
      </c>
      <c r="F326" s="37">
        <v>2157293.0</v>
      </c>
      <c r="G326" s="37">
        <v>17619.0</v>
      </c>
      <c r="H326" s="37">
        <v>2284648.0</v>
      </c>
      <c r="I326" s="36">
        <v>771.0</v>
      </c>
      <c r="J326" s="36">
        <v>908.0</v>
      </c>
      <c r="K326" s="36">
        <v>106588.0</v>
      </c>
      <c r="L326" s="36">
        <v>2830.0</v>
      </c>
      <c r="M326" s="36">
        <v>579205.0</v>
      </c>
      <c r="N326" s="36">
        <v>685793.0</v>
      </c>
      <c r="O326" s="36">
        <v>56.0</v>
      </c>
      <c r="P326" s="38">
        <v>7533.0</v>
      </c>
      <c r="Q326" s="38">
        <v>51.0</v>
      </c>
      <c r="R326" s="38">
        <v>6280.0</v>
      </c>
      <c r="S326" s="38">
        <v>3.0</v>
      </c>
      <c r="T326" s="38">
        <v>841.0</v>
      </c>
      <c r="U326" s="38">
        <v>412.0</v>
      </c>
      <c r="V326" s="38">
        <v>418.0</v>
      </c>
      <c r="W326" s="38">
        <v>59.0</v>
      </c>
      <c r="X326" s="38">
        <v>43.0</v>
      </c>
      <c r="Y326" s="38">
        <v>15.0</v>
      </c>
      <c r="Z326" s="35">
        <v>2170.0</v>
      </c>
      <c r="AA326" s="29">
        <v>2260.0</v>
      </c>
      <c r="AB326" s="29">
        <v>594.0</v>
      </c>
      <c r="AC326" s="29">
        <v>2854.0</v>
      </c>
      <c r="AD326" s="29">
        <v>59686.0</v>
      </c>
      <c r="AE326" s="29">
        <v>2260.0</v>
      </c>
      <c r="AF326" s="29">
        <v>49065.0</v>
      </c>
      <c r="AG326" s="29">
        <v>594.0</v>
      </c>
      <c r="AH326" s="29">
        <v>10622.0</v>
      </c>
    </row>
    <row r="327" ht="14.25" customHeight="1">
      <c r="A327" s="34">
        <v>44213.0</v>
      </c>
      <c r="B327" s="35">
        <v>626.0</v>
      </c>
      <c r="C327" s="35">
        <v>882.0</v>
      </c>
      <c r="D327" s="35">
        <v>127981.0</v>
      </c>
      <c r="E327" s="36">
        <v>10063.0</v>
      </c>
      <c r="F327" s="37">
        <v>2167356.0</v>
      </c>
      <c r="G327" s="37">
        <v>10689.0</v>
      </c>
      <c r="H327" s="37">
        <v>2295337.0</v>
      </c>
      <c r="I327" s="36">
        <v>515.0</v>
      </c>
      <c r="J327" s="36">
        <v>747.0</v>
      </c>
      <c r="K327" s="36">
        <v>107103.0</v>
      </c>
      <c r="L327" s="36">
        <v>1778.0</v>
      </c>
      <c r="M327" s="36">
        <v>580983.0</v>
      </c>
      <c r="N327" s="36">
        <v>688086.0</v>
      </c>
      <c r="O327" s="36">
        <v>47.0</v>
      </c>
      <c r="P327" s="38">
        <v>7580.0</v>
      </c>
      <c r="Q327" s="38">
        <v>41.0</v>
      </c>
      <c r="R327" s="38">
        <v>6321.0</v>
      </c>
      <c r="S327" s="38">
        <v>4.0</v>
      </c>
      <c r="T327" s="38">
        <v>845.0</v>
      </c>
      <c r="U327" s="38">
        <v>414.0</v>
      </c>
      <c r="V327" s="38">
        <v>412.0</v>
      </c>
      <c r="W327" s="38">
        <v>57.0</v>
      </c>
      <c r="X327" s="38">
        <v>42.0</v>
      </c>
      <c r="Y327" s="38">
        <v>8.0</v>
      </c>
      <c r="Z327" s="35">
        <v>2178.0</v>
      </c>
      <c r="AA327" s="29">
        <v>336.0</v>
      </c>
      <c r="AB327" s="29">
        <v>208.0</v>
      </c>
      <c r="AC327" s="29">
        <v>544.0</v>
      </c>
      <c r="AD327" s="29">
        <v>60230.0</v>
      </c>
      <c r="AE327" s="29">
        <v>336.0</v>
      </c>
      <c r="AF327" s="29">
        <v>49401.0</v>
      </c>
      <c r="AG327" s="29">
        <v>208.0</v>
      </c>
      <c r="AH327" s="29">
        <v>10830.0</v>
      </c>
    </row>
    <row r="328" ht="14.25" customHeight="1">
      <c r="A328" s="34">
        <v>44214.0</v>
      </c>
      <c r="B328" s="35">
        <v>559.0</v>
      </c>
      <c r="C328" s="35">
        <v>702.0</v>
      </c>
      <c r="D328" s="35">
        <v>128540.0</v>
      </c>
      <c r="E328" s="36">
        <v>8810.0</v>
      </c>
      <c r="F328" s="37">
        <v>2176166.0</v>
      </c>
      <c r="G328" s="37">
        <v>9369.0</v>
      </c>
      <c r="H328" s="37">
        <v>2304706.0</v>
      </c>
      <c r="I328" s="36">
        <v>470.0</v>
      </c>
      <c r="J328" s="36">
        <v>585.0</v>
      </c>
      <c r="K328" s="36">
        <v>107573.0</v>
      </c>
      <c r="L328" s="36">
        <v>1380.0</v>
      </c>
      <c r="M328" s="36">
        <v>582363.0</v>
      </c>
      <c r="N328" s="36">
        <v>689936.0</v>
      </c>
      <c r="O328" s="36">
        <v>60.0</v>
      </c>
      <c r="P328" s="38">
        <v>7640.0</v>
      </c>
      <c r="Q328" s="38">
        <v>42.0</v>
      </c>
      <c r="R328" s="38">
        <v>6363.0</v>
      </c>
      <c r="S328" s="38">
        <v>8.0</v>
      </c>
      <c r="T328" s="38">
        <v>853.0</v>
      </c>
      <c r="U328" s="38">
        <v>424.0</v>
      </c>
      <c r="V328" s="38">
        <v>417.0</v>
      </c>
      <c r="W328" s="38">
        <v>56.0</v>
      </c>
      <c r="X328" s="38">
        <v>40.0</v>
      </c>
      <c r="Y328" s="38">
        <v>19.0</v>
      </c>
      <c r="Z328" s="35">
        <v>2197.0</v>
      </c>
      <c r="AA328" s="29">
        <v>1217.0</v>
      </c>
      <c r="AB328" s="29">
        <v>1065.0</v>
      </c>
      <c r="AC328" s="29">
        <v>2282.0</v>
      </c>
      <c r="AD328" s="29">
        <v>62512.0</v>
      </c>
      <c r="AE328" s="29">
        <v>1217.0</v>
      </c>
      <c r="AF328" s="29">
        <v>50618.0</v>
      </c>
      <c r="AG328" s="29">
        <v>1065.0</v>
      </c>
      <c r="AH328" s="29">
        <v>11895.0</v>
      </c>
    </row>
    <row r="329" ht="14.25" customHeight="1">
      <c r="A329" s="34">
        <v>44215.0</v>
      </c>
      <c r="B329" s="35">
        <v>954.0</v>
      </c>
      <c r="C329" s="35">
        <v>713.0</v>
      </c>
      <c r="D329" s="35">
        <v>129494.0</v>
      </c>
      <c r="E329" s="36">
        <v>18644.0</v>
      </c>
      <c r="F329" s="37">
        <v>2194810.0</v>
      </c>
      <c r="G329" s="37">
        <v>19598.0</v>
      </c>
      <c r="H329" s="37">
        <v>2324304.0</v>
      </c>
      <c r="I329" s="36">
        <v>853.0</v>
      </c>
      <c r="J329" s="36">
        <v>613.0</v>
      </c>
      <c r="K329" s="36">
        <v>108426.0</v>
      </c>
      <c r="L329" s="36">
        <v>3137.0</v>
      </c>
      <c r="M329" s="36">
        <v>585500.0</v>
      </c>
      <c r="N329" s="36">
        <v>693926.0</v>
      </c>
      <c r="O329" s="36">
        <v>68.0</v>
      </c>
      <c r="P329" s="38">
        <v>7708.0</v>
      </c>
      <c r="Q329" s="38">
        <v>60.0</v>
      </c>
      <c r="R329" s="38">
        <v>6423.0</v>
      </c>
      <c r="S329" s="38">
        <v>9.0</v>
      </c>
      <c r="T329" s="38">
        <v>862.0</v>
      </c>
      <c r="U329" s="38">
        <v>423.0</v>
      </c>
      <c r="V329" s="38">
        <v>420.0</v>
      </c>
      <c r="W329" s="38">
        <v>58.0</v>
      </c>
      <c r="X329" s="38">
        <v>40.0</v>
      </c>
      <c r="Y329" s="38">
        <v>13.0</v>
      </c>
      <c r="Z329" s="35">
        <v>2210.0</v>
      </c>
      <c r="AA329" s="29">
        <v>1488.0</v>
      </c>
      <c r="AB329" s="29">
        <v>726.0</v>
      </c>
      <c r="AC329" s="29">
        <v>2214.0</v>
      </c>
      <c r="AD329" s="29">
        <v>64726.0</v>
      </c>
      <c r="AE329" s="29">
        <v>1488.0</v>
      </c>
      <c r="AF329" s="29">
        <v>52106.0</v>
      </c>
      <c r="AG329" s="29">
        <v>726.0</v>
      </c>
      <c r="AH329" s="29">
        <v>12621.0</v>
      </c>
    </row>
    <row r="330" ht="14.25" customHeight="1">
      <c r="A330" s="34">
        <v>44216.0</v>
      </c>
      <c r="B330" s="35">
        <v>967.0</v>
      </c>
      <c r="C330" s="35">
        <v>827.0</v>
      </c>
      <c r="D330" s="35">
        <v>130461.0</v>
      </c>
      <c r="E330" s="36">
        <v>22631.0</v>
      </c>
      <c r="F330" s="37">
        <v>2217441.0</v>
      </c>
      <c r="G330" s="37">
        <v>23598.0</v>
      </c>
      <c r="H330" s="37">
        <v>2347902.0</v>
      </c>
      <c r="I330" s="36">
        <v>854.0</v>
      </c>
      <c r="J330" s="36">
        <v>726.0</v>
      </c>
      <c r="K330" s="36">
        <v>109280.0</v>
      </c>
      <c r="L330" s="36">
        <v>3360.0</v>
      </c>
      <c r="M330" s="36">
        <v>588860.0</v>
      </c>
      <c r="N330" s="36">
        <v>698140.0</v>
      </c>
      <c r="O330" s="36">
        <v>46.0</v>
      </c>
      <c r="P330" s="38">
        <v>7754.0</v>
      </c>
      <c r="Q330" s="38">
        <v>66.0</v>
      </c>
      <c r="R330" s="38">
        <v>6489.0</v>
      </c>
      <c r="S330" s="38">
        <v>11.0</v>
      </c>
      <c r="T330" s="38">
        <v>873.0</v>
      </c>
      <c r="U330" s="38">
        <v>392.0</v>
      </c>
      <c r="V330" s="38">
        <v>413.0</v>
      </c>
      <c r="W330" s="38">
        <v>52.0</v>
      </c>
      <c r="X330" s="38">
        <v>34.0</v>
      </c>
      <c r="Y330" s="38">
        <v>25.0</v>
      </c>
      <c r="Z330" s="35">
        <v>2235.0</v>
      </c>
      <c r="AA330" s="29">
        <v>1959.0</v>
      </c>
      <c r="AB330" s="29">
        <v>799.0</v>
      </c>
      <c r="AC330" s="29">
        <v>2758.0</v>
      </c>
      <c r="AD330" s="29">
        <v>67484.0</v>
      </c>
      <c r="AE330" s="29">
        <v>1959.0</v>
      </c>
      <c r="AF330" s="29">
        <v>54065.0</v>
      </c>
      <c r="AG330" s="29">
        <v>799.0</v>
      </c>
      <c r="AH330" s="29">
        <v>13420.0</v>
      </c>
    </row>
    <row r="331" ht="14.25" customHeight="1">
      <c r="A331" s="34">
        <v>44217.0</v>
      </c>
      <c r="B331" s="35">
        <v>1183.0</v>
      </c>
      <c r="C331" s="35">
        <v>1035.0</v>
      </c>
      <c r="D331" s="35">
        <v>131644.0</v>
      </c>
      <c r="E331" s="36">
        <v>24195.0</v>
      </c>
      <c r="F331" s="37">
        <v>2241636.0</v>
      </c>
      <c r="G331" s="37">
        <v>25378.0</v>
      </c>
      <c r="H331" s="37">
        <v>2373280.0</v>
      </c>
      <c r="I331" s="36">
        <v>1014.0</v>
      </c>
      <c r="J331" s="36">
        <v>907.0</v>
      </c>
      <c r="K331" s="36">
        <v>110294.0</v>
      </c>
      <c r="L331" s="36">
        <v>3896.0</v>
      </c>
      <c r="M331" s="36">
        <v>592756.0</v>
      </c>
      <c r="N331" s="36">
        <v>703050.0</v>
      </c>
      <c r="O331" s="36">
        <v>55.0</v>
      </c>
      <c r="P331" s="38">
        <v>7809.0</v>
      </c>
      <c r="Q331" s="38">
        <v>59.0</v>
      </c>
      <c r="R331" s="38">
        <v>6548.0</v>
      </c>
      <c r="S331" s="38">
        <v>5.0</v>
      </c>
      <c r="T331" s="38">
        <v>878.0</v>
      </c>
      <c r="U331" s="38">
        <v>383.0</v>
      </c>
      <c r="V331" s="38">
        <v>399.0</v>
      </c>
      <c r="W331" s="38">
        <v>52.0</v>
      </c>
      <c r="X331" s="38">
        <v>32.0</v>
      </c>
      <c r="Y331" s="38">
        <v>10.0</v>
      </c>
      <c r="Z331" s="35">
        <v>2245.0</v>
      </c>
      <c r="AA331" s="29">
        <v>2389.0</v>
      </c>
      <c r="AB331" s="29">
        <v>346.0</v>
      </c>
      <c r="AC331" s="29">
        <v>2735.0</v>
      </c>
      <c r="AD331" s="29">
        <v>70219.0</v>
      </c>
      <c r="AE331" s="29">
        <v>2389.0</v>
      </c>
      <c r="AF331" s="29">
        <v>56454.0</v>
      </c>
      <c r="AG331" s="29">
        <v>346.0</v>
      </c>
      <c r="AH331" s="29">
        <v>13766.0</v>
      </c>
    </row>
    <row r="332" ht="14.25" customHeight="1">
      <c r="A332" s="34">
        <v>44218.0</v>
      </c>
      <c r="B332" s="35">
        <v>872.0</v>
      </c>
      <c r="C332" s="35">
        <v>1007.0</v>
      </c>
      <c r="D332" s="35">
        <v>132516.0</v>
      </c>
      <c r="E332" s="36">
        <v>19821.0</v>
      </c>
      <c r="F332" s="37">
        <v>2261457.0</v>
      </c>
      <c r="G332" s="37">
        <v>20693.0</v>
      </c>
      <c r="H332" s="37">
        <v>2393973.0</v>
      </c>
      <c r="I332" s="36">
        <v>757.0</v>
      </c>
      <c r="J332" s="36">
        <v>875.0</v>
      </c>
      <c r="K332" s="36">
        <v>111051.0</v>
      </c>
      <c r="L332" s="36">
        <v>3033.0</v>
      </c>
      <c r="M332" s="36">
        <v>595789.0</v>
      </c>
      <c r="N332" s="36">
        <v>706840.0</v>
      </c>
      <c r="O332" s="36">
        <v>54.0</v>
      </c>
      <c r="P332" s="38">
        <v>7863.0</v>
      </c>
      <c r="Q332" s="38">
        <v>58.0</v>
      </c>
      <c r="R332" s="38">
        <v>6606.0</v>
      </c>
      <c r="S332" s="38">
        <v>10.0</v>
      </c>
      <c r="T332" s="38">
        <v>888.0</v>
      </c>
      <c r="U332" s="38">
        <v>369.0</v>
      </c>
      <c r="V332" s="38">
        <v>381.0</v>
      </c>
      <c r="W332" s="38">
        <v>55.0</v>
      </c>
      <c r="X332" s="38">
        <v>34.0</v>
      </c>
      <c r="Y332" s="38">
        <v>16.0</v>
      </c>
      <c r="Z332" s="35">
        <v>2261.0</v>
      </c>
      <c r="AA332" s="29">
        <v>2502.0</v>
      </c>
      <c r="AB332" s="29">
        <v>313.0</v>
      </c>
      <c r="AC332" s="29">
        <v>2815.0</v>
      </c>
      <c r="AD332" s="29">
        <v>73034.0</v>
      </c>
      <c r="AE332" s="29">
        <v>2502.0</v>
      </c>
      <c r="AF332" s="29">
        <v>58956.0</v>
      </c>
      <c r="AG332" s="29">
        <v>313.0</v>
      </c>
      <c r="AH332" s="29">
        <v>14079.0</v>
      </c>
    </row>
    <row r="333" ht="14.25" customHeight="1">
      <c r="A333" s="34">
        <v>44219.0</v>
      </c>
      <c r="B333" s="35">
        <v>909.0</v>
      </c>
      <c r="C333" s="35">
        <v>988.0</v>
      </c>
      <c r="D333" s="35">
        <v>133425.0</v>
      </c>
      <c r="E333" s="36">
        <v>19073.0</v>
      </c>
      <c r="F333" s="37">
        <v>2280530.0</v>
      </c>
      <c r="G333" s="37">
        <v>19982.0</v>
      </c>
      <c r="H333" s="37">
        <v>2413955.0</v>
      </c>
      <c r="I333" s="36">
        <v>777.0</v>
      </c>
      <c r="J333" s="36">
        <v>849.0</v>
      </c>
      <c r="K333" s="36">
        <v>111828.0</v>
      </c>
      <c r="L333" s="36">
        <v>3055.0</v>
      </c>
      <c r="M333" s="36">
        <v>598844.0</v>
      </c>
      <c r="N333" s="36">
        <v>710672.0</v>
      </c>
      <c r="O333" s="36">
        <v>57.0</v>
      </c>
      <c r="P333" s="38">
        <v>7920.0</v>
      </c>
      <c r="Q333" s="38">
        <v>32.0</v>
      </c>
      <c r="R333" s="38">
        <v>6638.0</v>
      </c>
      <c r="S333" s="38">
        <v>3.0</v>
      </c>
      <c r="T333" s="38">
        <v>891.0</v>
      </c>
      <c r="U333" s="38">
        <v>391.0</v>
      </c>
      <c r="V333" s="38">
        <v>381.0</v>
      </c>
      <c r="W333" s="38">
        <v>60.0</v>
      </c>
      <c r="X333" s="38">
        <v>35.0</v>
      </c>
      <c r="Y333" s="38">
        <v>8.0</v>
      </c>
      <c r="Z333" s="35">
        <v>2269.0</v>
      </c>
      <c r="AA333" s="29">
        <v>2499.0</v>
      </c>
      <c r="AB333" s="29">
        <v>601.0</v>
      </c>
      <c r="AC333" s="29">
        <v>3100.0</v>
      </c>
      <c r="AD333" s="29">
        <v>76134.0</v>
      </c>
      <c r="AE333" s="29">
        <v>2499.0</v>
      </c>
      <c r="AF333" s="29">
        <v>61455.0</v>
      </c>
      <c r="AG333" s="29">
        <v>601.0</v>
      </c>
      <c r="AH333" s="29">
        <v>14680.0</v>
      </c>
    </row>
    <row r="334" ht="14.25" customHeight="1">
      <c r="A334" s="34">
        <v>44220.0</v>
      </c>
      <c r="B334" s="35">
        <v>405.0</v>
      </c>
      <c r="C334" s="35">
        <v>729.0</v>
      </c>
      <c r="D334" s="35">
        <v>133830.0</v>
      </c>
      <c r="E334" s="36">
        <v>8969.0</v>
      </c>
      <c r="F334" s="37">
        <v>2289499.0</v>
      </c>
      <c r="G334" s="37">
        <v>9374.0</v>
      </c>
      <c r="H334" s="37">
        <v>2423329.0</v>
      </c>
      <c r="I334" s="36">
        <v>341.0</v>
      </c>
      <c r="J334" s="36">
        <v>625.0</v>
      </c>
      <c r="K334" s="36">
        <v>112169.0</v>
      </c>
      <c r="L334" s="36">
        <v>1196.0</v>
      </c>
      <c r="M334" s="36">
        <v>600040.0</v>
      </c>
      <c r="N334" s="36">
        <v>712209.0</v>
      </c>
      <c r="O334" s="36">
        <v>43.0</v>
      </c>
      <c r="P334" s="38">
        <v>7963.0</v>
      </c>
      <c r="Q334" s="38">
        <v>43.0</v>
      </c>
      <c r="R334" s="38">
        <v>6681.0</v>
      </c>
      <c r="S334" s="38">
        <v>9.0</v>
      </c>
      <c r="T334" s="38">
        <v>900.0</v>
      </c>
      <c r="U334" s="38">
        <v>382.0</v>
      </c>
      <c r="V334" s="38">
        <v>381.0</v>
      </c>
      <c r="W334" s="38">
        <v>60.0</v>
      </c>
      <c r="X334" s="38">
        <v>38.0</v>
      </c>
      <c r="Y334" s="38">
        <v>16.0</v>
      </c>
      <c r="Z334" s="35">
        <v>2285.0</v>
      </c>
      <c r="AA334" s="29">
        <v>741.0</v>
      </c>
      <c r="AB334" s="29">
        <v>1050.0</v>
      </c>
      <c r="AC334" s="29">
        <v>1791.0</v>
      </c>
      <c r="AD334" s="29">
        <v>77925.0</v>
      </c>
      <c r="AE334" s="29">
        <v>741.0</v>
      </c>
      <c r="AF334" s="29">
        <v>62196.0</v>
      </c>
      <c r="AG334" s="29">
        <v>1050.0</v>
      </c>
      <c r="AH334" s="29">
        <v>15730.0</v>
      </c>
    </row>
    <row r="335" ht="14.25" customHeight="1">
      <c r="A335" s="34">
        <v>44221.0</v>
      </c>
      <c r="B335" s="35">
        <v>806.0</v>
      </c>
      <c r="C335" s="35">
        <v>707.0</v>
      </c>
      <c r="D335" s="35">
        <v>134636.0</v>
      </c>
      <c r="E335" s="36">
        <v>13387.0</v>
      </c>
      <c r="F335" s="37">
        <v>2302886.0</v>
      </c>
      <c r="G335" s="37">
        <v>14193.0</v>
      </c>
      <c r="H335" s="37">
        <v>2437522.0</v>
      </c>
      <c r="I335" s="36">
        <v>687.0</v>
      </c>
      <c r="J335" s="36">
        <v>602.0</v>
      </c>
      <c r="K335" s="36">
        <v>112856.0</v>
      </c>
      <c r="L335" s="36">
        <v>2580.0</v>
      </c>
      <c r="M335" s="36">
        <v>602620.0</v>
      </c>
      <c r="N335" s="36">
        <v>715476.0</v>
      </c>
      <c r="O335" s="36">
        <v>48.0</v>
      </c>
      <c r="P335" s="38">
        <v>8011.0</v>
      </c>
      <c r="Q335" s="38">
        <v>55.0</v>
      </c>
      <c r="R335" s="38">
        <v>6736.0</v>
      </c>
      <c r="S335" s="38">
        <v>5.0</v>
      </c>
      <c r="T335" s="38">
        <v>905.0</v>
      </c>
      <c r="U335" s="38">
        <v>370.0</v>
      </c>
      <c r="V335" s="38">
        <v>381.0</v>
      </c>
      <c r="W335" s="38">
        <v>60.0</v>
      </c>
      <c r="X335" s="38">
        <v>39.0</v>
      </c>
      <c r="Y335" s="38">
        <v>14.0</v>
      </c>
      <c r="Z335" s="35">
        <v>2299.0</v>
      </c>
      <c r="AA335" s="29">
        <v>2033.0</v>
      </c>
      <c r="AB335" s="29">
        <v>2783.0</v>
      </c>
      <c r="AC335" s="29">
        <v>4816.0</v>
      </c>
      <c r="AD335" s="29">
        <v>82741.0</v>
      </c>
      <c r="AE335" s="29">
        <v>2033.0</v>
      </c>
      <c r="AF335" s="29">
        <v>64229.0</v>
      </c>
      <c r="AG335" s="29">
        <v>2783.0</v>
      </c>
      <c r="AH335" s="29">
        <v>18513.0</v>
      </c>
    </row>
    <row r="336" ht="14.25" customHeight="1">
      <c r="A336" s="34">
        <v>44222.0</v>
      </c>
      <c r="B336" s="35">
        <v>725.0</v>
      </c>
      <c r="C336" s="35">
        <v>645.0</v>
      </c>
      <c r="D336" s="35">
        <v>135361.0</v>
      </c>
      <c r="E336" s="36">
        <v>20058.0</v>
      </c>
      <c r="F336" s="37">
        <v>2322944.0</v>
      </c>
      <c r="G336" s="37">
        <v>20783.0</v>
      </c>
      <c r="H336" s="37">
        <v>2458305.0</v>
      </c>
      <c r="I336" s="36">
        <v>643.0</v>
      </c>
      <c r="J336" s="36">
        <v>557.0</v>
      </c>
      <c r="K336" s="36">
        <v>113499.0</v>
      </c>
      <c r="L336" s="36">
        <v>3337.0</v>
      </c>
      <c r="M336" s="36">
        <v>605957.0</v>
      </c>
      <c r="N336" s="36">
        <v>719456.0</v>
      </c>
      <c r="O336" s="36">
        <v>49.0</v>
      </c>
      <c r="P336" s="38">
        <v>8060.0</v>
      </c>
      <c r="Q336" s="38">
        <v>47.0</v>
      </c>
      <c r="R336" s="38">
        <v>6783.0</v>
      </c>
      <c r="S336" s="38">
        <v>9.0</v>
      </c>
      <c r="T336" s="38">
        <v>914.0</v>
      </c>
      <c r="U336" s="38">
        <v>363.0</v>
      </c>
      <c r="V336" s="38">
        <v>372.0</v>
      </c>
      <c r="W336" s="38">
        <v>57.0</v>
      </c>
      <c r="X336" s="38">
        <v>36.0</v>
      </c>
      <c r="Y336" s="38">
        <v>12.0</v>
      </c>
      <c r="Z336" s="35">
        <v>2311.0</v>
      </c>
      <c r="AA336" s="29">
        <v>1566.0</v>
      </c>
      <c r="AB336" s="29">
        <v>2619.0</v>
      </c>
      <c r="AC336" s="29">
        <v>4185.0</v>
      </c>
      <c r="AD336" s="29">
        <v>86926.0</v>
      </c>
      <c r="AE336" s="29">
        <v>1566.0</v>
      </c>
      <c r="AF336" s="29">
        <v>65795.0</v>
      </c>
      <c r="AG336" s="29">
        <v>2619.0</v>
      </c>
      <c r="AH336" s="29">
        <v>21132.0</v>
      </c>
    </row>
    <row r="337" ht="14.25" customHeight="1">
      <c r="A337" s="34">
        <v>44223.0</v>
      </c>
      <c r="B337" s="35">
        <v>843.0</v>
      </c>
      <c r="C337" s="35">
        <v>791.0</v>
      </c>
      <c r="D337" s="35">
        <v>136204.0</v>
      </c>
      <c r="E337" s="36">
        <v>21876.0</v>
      </c>
      <c r="F337" s="37">
        <v>2344820.0</v>
      </c>
      <c r="G337" s="37">
        <v>22719.0</v>
      </c>
      <c r="H337" s="37">
        <v>2481024.0</v>
      </c>
      <c r="I337" s="36">
        <v>713.0</v>
      </c>
      <c r="J337" s="36">
        <v>681.0</v>
      </c>
      <c r="K337" s="36">
        <v>114212.0</v>
      </c>
      <c r="L337" s="36">
        <v>3215.0</v>
      </c>
      <c r="M337" s="36">
        <v>609172.0</v>
      </c>
      <c r="N337" s="36">
        <v>723384.0</v>
      </c>
      <c r="O337" s="36">
        <v>50.0</v>
      </c>
      <c r="P337" s="38">
        <v>8110.0</v>
      </c>
      <c r="Q337" s="38">
        <v>58.0</v>
      </c>
      <c r="R337" s="38">
        <v>6841.0</v>
      </c>
      <c r="S337" s="38">
        <v>3.0</v>
      </c>
      <c r="T337" s="38">
        <v>917.0</v>
      </c>
      <c r="U337" s="38">
        <v>352.0</v>
      </c>
      <c r="V337" s="38">
        <v>362.0</v>
      </c>
      <c r="W337" s="38">
        <v>59.0</v>
      </c>
      <c r="X337" s="38">
        <v>33.0</v>
      </c>
      <c r="Y337" s="38">
        <v>7.0</v>
      </c>
      <c r="Z337" s="35">
        <v>2318.0</v>
      </c>
      <c r="AA337" s="29">
        <v>2265.0</v>
      </c>
      <c r="AB337" s="29">
        <v>2801.0</v>
      </c>
      <c r="AC337" s="29">
        <v>5066.0</v>
      </c>
      <c r="AD337" s="29">
        <v>91992.0</v>
      </c>
      <c r="AE337" s="29">
        <v>2265.0</v>
      </c>
      <c r="AF337" s="29">
        <v>68060.0</v>
      </c>
      <c r="AG337" s="29">
        <v>2801.0</v>
      </c>
      <c r="AH337" s="29">
        <v>23933.0</v>
      </c>
    </row>
    <row r="338" ht="14.25" customHeight="1">
      <c r="A338" s="34">
        <v>44224.0</v>
      </c>
      <c r="B338" s="35">
        <v>764.0</v>
      </c>
      <c r="C338" s="35">
        <v>777.0</v>
      </c>
      <c r="D338" s="35">
        <v>136968.0</v>
      </c>
      <c r="E338" s="36">
        <v>22593.0</v>
      </c>
      <c r="F338" s="37">
        <v>2367413.0</v>
      </c>
      <c r="G338" s="37">
        <v>23357.0</v>
      </c>
      <c r="H338" s="37">
        <v>2504381.0</v>
      </c>
      <c r="I338" s="36">
        <v>638.0</v>
      </c>
      <c r="J338" s="36">
        <v>665.0</v>
      </c>
      <c r="K338" s="36">
        <v>114850.0</v>
      </c>
      <c r="L338" s="36">
        <v>3046.0</v>
      </c>
      <c r="M338" s="36">
        <v>612218.0</v>
      </c>
      <c r="N338" s="36">
        <v>727068.0</v>
      </c>
      <c r="O338" s="36">
        <v>34.0</v>
      </c>
      <c r="P338" s="38">
        <v>8144.0</v>
      </c>
      <c r="Q338" s="38">
        <v>35.0</v>
      </c>
      <c r="R338" s="38">
        <v>6876.0</v>
      </c>
      <c r="S338" s="38">
        <v>4.0</v>
      </c>
      <c r="T338" s="38">
        <v>921.0</v>
      </c>
      <c r="U338" s="38">
        <v>347.0</v>
      </c>
      <c r="V338" s="38">
        <v>354.0</v>
      </c>
      <c r="W338" s="38">
        <v>55.0</v>
      </c>
      <c r="X338" s="38">
        <v>31.0</v>
      </c>
      <c r="Y338" s="38">
        <v>15.0</v>
      </c>
      <c r="Z338" s="35">
        <v>2333.0</v>
      </c>
      <c r="AA338" s="29">
        <v>2752.0</v>
      </c>
      <c r="AB338" s="29">
        <v>1097.0</v>
      </c>
      <c r="AC338" s="29">
        <v>3849.0</v>
      </c>
      <c r="AD338" s="29">
        <v>95841.0</v>
      </c>
      <c r="AE338" s="29">
        <v>2752.0</v>
      </c>
      <c r="AF338" s="29">
        <v>70812.0</v>
      </c>
      <c r="AG338" s="29">
        <v>1097.0</v>
      </c>
      <c r="AH338" s="29">
        <v>25030.0</v>
      </c>
    </row>
    <row r="339" ht="14.25" customHeight="1">
      <c r="A339" s="34">
        <v>44225.0</v>
      </c>
      <c r="B339" s="35">
        <v>672.0</v>
      </c>
      <c r="C339" s="35">
        <v>760.0</v>
      </c>
      <c r="D339" s="35">
        <v>137640.0</v>
      </c>
      <c r="E339" s="36">
        <v>20067.0</v>
      </c>
      <c r="F339" s="37">
        <v>2387480.0</v>
      </c>
      <c r="G339" s="37">
        <v>20739.0</v>
      </c>
      <c r="H339" s="37">
        <v>2525120.0</v>
      </c>
      <c r="I339" s="36">
        <v>593.0</v>
      </c>
      <c r="J339" s="36">
        <v>648.0</v>
      </c>
      <c r="K339" s="36">
        <v>115443.0</v>
      </c>
      <c r="L339" s="36">
        <v>2517.0</v>
      </c>
      <c r="M339" s="36">
        <v>614735.0</v>
      </c>
      <c r="N339" s="36">
        <v>730178.0</v>
      </c>
      <c r="O339" s="36">
        <v>41.0</v>
      </c>
      <c r="P339" s="38">
        <v>8185.0</v>
      </c>
      <c r="Q339" s="38">
        <v>53.0</v>
      </c>
      <c r="R339" s="38">
        <v>6929.0</v>
      </c>
      <c r="S339" s="38">
        <v>4.0</v>
      </c>
      <c r="T339" s="38">
        <v>925.0</v>
      </c>
      <c r="U339" s="38">
        <v>331.0</v>
      </c>
      <c r="V339" s="38">
        <v>343.0</v>
      </c>
      <c r="W339" s="38">
        <v>57.0</v>
      </c>
      <c r="X339" s="38">
        <v>34.0</v>
      </c>
      <c r="Y339" s="38">
        <v>7.0</v>
      </c>
      <c r="Z339" s="35">
        <v>2340.0</v>
      </c>
      <c r="AA339" s="29">
        <v>2299.0</v>
      </c>
      <c r="AB339" s="29">
        <v>1197.0</v>
      </c>
      <c r="AC339" s="29">
        <v>3496.0</v>
      </c>
      <c r="AD339" s="29">
        <v>99337.0</v>
      </c>
      <c r="AE339" s="29">
        <v>2299.0</v>
      </c>
      <c r="AF339" s="29">
        <v>73111.0</v>
      </c>
      <c r="AG339" s="29">
        <v>1197.0</v>
      </c>
      <c r="AH339" s="29">
        <v>26227.0</v>
      </c>
    </row>
    <row r="340" ht="14.25" customHeight="1">
      <c r="A340" s="34">
        <v>44226.0</v>
      </c>
      <c r="B340" s="35">
        <v>695.0</v>
      </c>
      <c r="C340" s="35">
        <v>710.0</v>
      </c>
      <c r="D340" s="35">
        <v>138335.0</v>
      </c>
      <c r="E340" s="36">
        <v>16300.0</v>
      </c>
      <c r="F340" s="37">
        <v>2403780.0</v>
      </c>
      <c r="G340" s="37">
        <v>16995.0</v>
      </c>
      <c r="H340" s="37">
        <v>2542115.0</v>
      </c>
      <c r="I340" s="36">
        <v>591.0</v>
      </c>
      <c r="J340" s="36">
        <v>607.0</v>
      </c>
      <c r="K340" s="36">
        <v>116034.0</v>
      </c>
      <c r="L340" s="36">
        <v>2285.0</v>
      </c>
      <c r="M340" s="36">
        <v>617020.0</v>
      </c>
      <c r="N340" s="36">
        <v>733054.0</v>
      </c>
      <c r="O340" s="36">
        <v>39.0</v>
      </c>
      <c r="P340" s="38">
        <v>8224.0</v>
      </c>
      <c r="Q340" s="38">
        <v>30.0</v>
      </c>
      <c r="R340" s="38">
        <v>6959.0</v>
      </c>
      <c r="S340" s="38">
        <v>4.0</v>
      </c>
      <c r="T340" s="38">
        <v>929.0</v>
      </c>
      <c r="U340" s="38">
        <v>336.0</v>
      </c>
      <c r="V340" s="38">
        <v>338.0</v>
      </c>
      <c r="W340" s="38">
        <v>52.0</v>
      </c>
      <c r="X340" s="38">
        <v>31.0</v>
      </c>
      <c r="Y340" s="38">
        <v>9.0</v>
      </c>
      <c r="Z340" s="35">
        <v>2349.0</v>
      </c>
      <c r="AA340" s="29">
        <v>3558.0</v>
      </c>
      <c r="AB340" s="29">
        <v>2109.0</v>
      </c>
      <c r="AC340" s="29">
        <v>5667.0</v>
      </c>
      <c r="AD340" s="29">
        <v>105004.0</v>
      </c>
      <c r="AE340" s="29">
        <v>3558.0</v>
      </c>
      <c r="AF340" s="29">
        <v>76669.0</v>
      </c>
      <c r="AG340" s="29">
        <v>2109.0</v>
      </c>
      <c r="AH340" s="29">
        <v>28336.0</v>
      </c>
    </row>
    <row r="341" ht="14.25" customHeight="1">
      <c r="A341" s="34">
        <v>44227.0</v>
      </c>
      <c r="B341" s="35">
        <v>361.0</v>
      </c>
      <c r="C341" s="35">
        <v>576.0</v>
      </c>
      <c r="D341" s="35">
        <v>138696.0</v>
      </c>
      <c r="E341" s="36">
        <v>8373.0</v>
      </c>
      <c r="F341" s="37">
        <v>2412153.0</v>
      </c>
      <c r="G341" s="37">
        <v>8734.0</v>
      </c>
      <c r="H341" s="37">
        <v>2550849.0</v>
      </c>
      <c r="I341" s="36">
        <v>322.0</v>
      </c>
      <c r="J341" s="36">
        <v>502.0</v>
      </c>
      <c r="K341" s="36">
        <v>116356.0</v>
      </c>
      <c r="L341" s="36">
        <v>1146.0</v>
      </c>
      <c r="M341" s="36">
        <v>618166.0</v>
      </c>
      <c r="N341" s="36">
        <v>734522.0</v>
      </c>
      <c r="O341" s="36">
        <v>36.0</v>
      </c>
      <c r="P341" s="38">
        <v>8260.0</v>
      </c>
      <c r="Q341" s="38">
        <v>36.0</v>
      </c>
      <c r="R341" s="38">
        <v>6995.0</v>
      </c>
      <c r="S341" s="38">
        <v>2.0</v>
      </c>
      <c r="T341" s="38">
        <v>931.0</v>
      </c>
      <c r="U341" s="38">
        <v>334.0</v>
      </c>
      <c r="V341" s="38">
        <v>334.0</v>
      </c>
      <c r="W341" s="38">
        <v>46.0</v>
      </c>
      <c r="X341" s="38">
        <v>26.0</v>
      </c>
      <c r="Y341" s="38">
        <v>8.0</v>
      </c>
      <c r="Z341" s="35">
        <v>2357.0</v>
      </c>
      <c r="AA341" s="29">
        <v>2327.0</v>
      </c>
      <c r="AB341" s="29">
        <v>392.0</v>
      </c>
      <c r="AC341" s="29">
        <v>2719.0</v>
      </c>
      <c r="AD341" s="29">
        <v>107723.0</v>
      </c>
      <c r="AE341" s="29">
        <v>2327.0</v>
      </c>
      <c r="AF341" s="29">
        <v>78996.0</v>
      </c>
      <c r="AG341" s="29">
        <v>392.0</v>
      </c>
      <c r="AH341" s="29">
        <v>28728.0</v>
      </c>
    </row>
    <row r="342" ht="14.25" customHeight="1">
      <c r="A342" s="34">
        <v>44228.0</v>
      </c>
      <c r="B342" s="35">
        <v>238.0</v>
      </c>
      <c r="C342" s="35">
        <v>431.0</v>
      </c>
      <c r="D342" s="35">
        <v>138934.0</v>
      </c>
      <c r="E342" s="36">
        <v>7378.0</v>
      </c>
      <c r="F342" s="37">
        <v>2419531.0</v>
      </c>
      <c r="G342" s="37">
        <v>7616.0</v>
      </c>
      <c r="H342" s="37">
        <v>2558465.0</v>
      </c>
      <c r="I342" s="36">
        <v>204.0</v>
      </c>
      <c r="J342" s="36">
        <v>372.0</v>
      </c>
      <c r="K342" s="36">
        <v>116560.0</v>
      </c>
      <c r="L342" s="36">
        <v>670.0</v>
      </c>
      <c r="M342" s="36">
        <v>618836.0</v>
      </c>
      <c r="N342" s="36">
        <v>735396.0</v>
      </c>
      <c r="O342" s="36">
        <v>35.0</v>
      </c>
      <c r="P342" s="38">
        <v>8295.0</v>
      </c>
      <c r="Q342" s="38">
        <v>39.0</v>
      </c>
      <c r="R342" s="38">
        <v>7034.0</v>
      </c>
      <c r="S342" s="38">
        <v>7.0</v>
      </c>
      <c r="T342" s="38">
        <v>938.0</v>
      </c>
      <c r="U342" s="38">
        <v>323.0</v>
      </c>
      <c r="V342" s="38">
        <v>331.0</v>
      </c>
      <c r="W342" s="38">
        <v>44.0</v>
      </c>
      <c r="X342" s="38">
        <v>23.0</v>
      </c>
      <c r="Y342" s="38">
        <v>11.0</v>
      </c>
      <c r="Z342" s="35">
        <v>2368.0</v>
      </c>
      <c r="AA342" s="29">
        <v>440.0</v>
      </c>
      <c r="AB342" s="29">
        <v>1036.0</v>
      </c>
      <c r="AC342" s="29">
        <v>1476.0</v>
      </c>
      <c r="AD342" s="29">
        <v>109199.0</v>
      </c>
      <c r="AE342" s="29">
        <v>440.0</v>
      </c>
      <c r="AF342" s="29">
        <v>79436.0</v>
      </c>
      <c r="AG342" s="29">
        <v>1036.0</v>
      </c>
      <c r="AH342" s="29">
        <v>29764.0</v>
      </c>
    </row>
    <row r="343" ht="14.25" customHeight="1">
      <c r="A343" s="34">
        <v>44229.0</v>
      </c>
      <c r="B343" s="35">
        <v>603.0</v>
      </c>
      <c r="C343" s="35">
        <v>401.0</v>
      </c>
      <c r="D343" s="35">
        <v>139537.0</v>
      </c>
      <c r="E343" s="36">
        <v>14852.0</v>
      </c>
      <c r="F343" s="37">
        <v>2434383.0</v>
      </c>
      <c r="G343" s="37">
        <v>15455.0</v>
      </c>
      <c r="H343" s="37">
        <v>2573920.0</v>
      </c>
      <c r="I343" s="36">
        <v>538.0</v>
      </c>
      <c r="J343" s="36">
        <v>355.0</v>
      </c>
      <c r="K343" s="36">
        <v>117098.0</v>
      </c>
      <c r="L343" s="36">
        <v>1898.0</v>
      </c>
      <c r="M343" s="36">
        <v>620734.0</v>
      </c>
      <c r="N343" s="36">
        <v>737832.0</v>
      </c>
      <c r="O343" s="36">
        <v>48.0</v>
      </c>
      <c r="P343" s="38">
        <v>8343.0</v>
      </c>
      <c r="Q343" s="38">
        <v>48.0</v>
      </c>
      <c r="R343" s="38">
        <v>7082.0</v>
      </c>
      <c r="S343" s="38">
        <v>5.0</v>
      </c>
      <c r="T343" s="38">
        <v>943.0</v>
      </c>
      <c r="U343" s="38">
        <v>318.0</v>
      </c>
      <c r="V343" s="38">
        <v>325.0</v>
      </c>
      <c r="W343" s="38">
        <v>47.0</v>
      </c>
      <c r="X343" s="38">
        <v>24.0</v>
      </c>
      <c r="Y343" s="38">
        <v>14.0</v>
      </c>
      <c r="Z343" s="35">
        <v>2382.0</v>
      </c>
      <c r="AA343" s="29">
        <v>1722.0</v>
      </c>
      <c r="AB343" s="29">
        <v>1689.0</v>
      </c>
      <c r="AC343" s="29">
        <v>3411.0</v>
      </c>
      <c r="AD343" s="29">
        <v>112610.0</v>
      </c>
      <c r="AE343" s="29">
        <v>1722.0</v>
      </c>
      <c r="AF343" s="29">
        <v>81158.0</v>
      </c>
      <c r="AG343" s="29">
        <v>1689.0</v>
      </c>
      <c r="AH343" s="29">
        <v>31453.0</v>
      </c>
    </row>
    <row r="344" ht="14.25" customHeight="1">
      <c r="A344" s="34">
        <v>44230.0</v>
      </c>
      <c r="B344" s="35">
        <v>750.0</v>
      </c>
      <c r="C344" s="35">
        <v>530.0</v>
      </c>
      <c r="D344" s="35">
        <v>140287.0</v>
      </c>
      <c r="E344" s="36">
        <v>24454.0</v>
      </c>
      <c r="F344" s="37">
        <v>2458837.0</v>
      </c>
      <c r="G344" s="37">
        <v>25204.0</v>
      </c>
      <c r="H344" s="37">
        <v>2599124.0</v>
      </c>
      <c r="I344" s="36">
        <v>656.0</v>
      </c>
      <c r="J344" s="36">
        <v>466.0</v>
      </c>
      <c r="K344" s="36">
        <v>117754.0</v>
      </c>
      <c r="L344" s="36">
        <v>2488.0</v>
      </c>
      <c r="M344" s="36">
        <v>623222.0</v>
      </c>
      <c r="N344" s="36">
        <v>740976.0</v>
      </c>
      <c r="O344" s="36">
        <v>50.0</v>
      </c>
      <c r="P344" s="38">
        <v>8393.0</v>
      </c>
      <c r="Q344" s="38">
        <v>46.0</v>
      </c>
      <c r="R344" s="38">
        <v>7128.0</v>
      </c>
      <c r="S344" s="38">
        <v>5.0</v>
      </c>
      <c r="T344" s="38">
        <v>948.0</v>
      </c>
      <c r="U344" s="38">
        <v>317.0</v>
      </c>
      <c r="V344" s="38">
        <v>319.0</v>
      </c>
      <c r="W344" s="38">
        <v>47.0</v>
      </c>
      <c r="X344" s="38">
        <v>22.0</v>
      </c>
      <c r="Y344" s="38">
        <v>15.0</v>
      </c>
      <c r="Z344" s="35">
        <v>2397.0</v>
      </c>
      <c r="AA344" s="29">
        <v>3913.0</v>
      </c>
      <c r="AB344" s="29">
        <v>1963.0</v>
      </c>
      <c r="AC344" s="29">
        <v>5876.0</v>
      </c>
      <c r="AD344" s="29">
        <v>118486.0</v>
      </c>
      <c r="AE344" s="29">
        <v>3913.0</v>
      </c>
      <c r="AF344" s="29">
        <v>85071.0</v>
      </c>
      <c r="AG344" s="29">
        <v>1963.0</v>
      </c>
      <c r="AH344" s="29">
        <v>33416.0</v>
      </c>
    </row>
    <row r="345" ht="14.25" customHeight="1">
      <c r="A345" s="34">
        <v>44231.0</v>
      </c>
      <c r="B345" s="35">
        <v>708.0</v>
      </c>
      <c r="C345" s="35">
        <v>687.0</v>
      </c>
      <c r="D345" s="35">
        <v>140995.0</v>
      </c>
      <c r="E345" s="36">
        <v>23484.0</v>
      </c>
      <c r="F345" s="37">
        <v>2482321.0</v>
      </c>
      <c r="G345" s="37">
        <v>24192.0</v>
      </c>
      <c r="H345" s="37">
        <v>2623316.0</v>
      </c>
      <c r="I345" s="36">
        <v>612.0</v>
      </c>
      <c r="J345" s="36">
        <v>602.0</v>
      </c>
      <c r="K345" s="36">
        <v>118366.0</v>
      </c>
      <c r="L345" s="36">
        <v>2642.0</v>
      </c>
      <c r="M345" s="36">
        <v>625864.0</v>
      </c>
      <c r="N345" s="36">
        <v>744230.0</v>
      </c>
      <c r="O345" s="36">
        <v>33.0</v>
      </c>
      <c r="P345" s="38">
        <v>8426.0</v>
      </c>
      <c r="Q345" s="38">
        <v>48.0</v>
      </c>
      <c r="R345" s="38">
        <v>7176.0</v>
      </c>
      <c r="S345" s="38">
        <v>0.0</v>
      </c>
      <c r="T345" s="38">
        <v>948.0</v>
      </c>
      <c r="U345" s="38">
        <v>302.0</v>
      </c>
      <c r="V345" s="38">
        <v>312.0</v>
      </c>
      <c r="W345" s="38">
        <v>48.0</v>
      </c>
      <c r="X345" s="38">
        <v>23.0</v>
      </c>
      <c r="Y345" s="38">
        <v>8.0</v>
      </c>
      <c r="Z345" s="35">
        <v>2405.0</v>
      </c>
      <c r="AA345" s="29">
        <v>2930.0</v>
      </c>
      <c r="AB345" s="29">
        <v>2054.0</v>
      </c>
      <c r="AC345" s="29">
        <v>4984.0</v>
      </c>
      <c r="AD345" s="29">
        <v>123470.0</v>
      </c>
      <c r="AE345" s="29">
        <v>2930.0</v>
      </c>
      <c r="AF345" s="29">
        <v>88001.0</v>
      </c>
      <c r="AG345" s="29">
        <v>2054.0</v>
      </c>
      <c r="AH345" s="29">
        <v>35470.0</v>
      </c>
    </row>
    <row r="346" ht="14.25" customHeight="1">
      <c r="A346" s="34">
        <v>44232.0</v>
      </c>
      <c r="B346" s="35">
        <v>613.0</v>
      </c>
      <c r="C346" s="35">
        <v>690.0</v>
      </c>
      <c r="D346" s="35">
        <v>141608.0</v>
      </c>
      <c r="E346" s="36">
        <v>20028.0</v>
      </c>
      <c r="F346" s="37">
        <v>2502349.0</v>
      </c>
      <c r="G346" s="37">
        <v>20641.0</v>
      </c>
      <c r="H346" s="37">
        <v>2643957.0</v>
      </c>
      <c r="I346" s="36">
        <v>519.0</v>
      </c>
      <c r="J346" s="36">
        <v>596.0</v>
      </c>
      <c r="K346" s="36">
        <v>118885.0</v>
      </c>
      <c r="L346" s="36">
        <v>2285.0</v>
      </c>
      <c r="M346" s="36">
        <v>628149.0</v>
      </c>
      <c r="N346" s="36">
        <v>747034.0</v>
      </c>
      <c r="O346" s="36">
        <v>25.0</v>
      </c>
      <c r="P346" s="38">
        <v>8451.0</v>
      </c>
      <c r="Q346" s="38">
        <v>41.0</v>
      </c>
      <c r="R346" s="38">
        <v>7217.0</v>
      </c>
      <c r="S346" s="38">
        <v>3.0</v>
      </c>
      <c r="T346" s="38">
        <v>951.0</v>
      </c>
      <c r="U346" s="38">
        <v>283.0</v>
      </c>
      <c r="V346" s="38">
        <v>301.0</v>
      </c>
      <c r="W346" s="38">
        <v>51.0</v>
      </c>
      <c r="X346" s="38">
        <v>24.0</v>
      </c>
      <c r="Y346" s="38">
        <v>6.0</v>
      </c>
      <c r="Z346" s="35">
        <v>2411.0</v>
      </c>
      <c r="AA346" s="29">
        <v>2963.0</v>
      </c>
      <c r="AB346" s="29">
        <v>1555.0</v>
      </c>
      <c r="AC346" s="29">
        <v>4518.0</v>
      </c>
      <c r="AD346" s="29">
        <v>127988.0</v>
      </c>
      <c r="AE346" s="29">
        <v>2963.0</v>
      </c>
      <c r="AF346" s="29">
        <v>90964.0</v>
      </c>
      <c r="AG346" s="29">
        <v>1555.0</v>
      </c>
      <c r="AH346" s="29">
        <v>37025.0</v>
      </c>
    </row>
    <row r="347" ht="14.25" customHeight="1">
      <c r="A347" s="34">
        <v>44233.0</v>
      </c>
      <c r="B347" s="35">
        <v>413.0</v>
      </c>
      <c r="C347" s="35">
        <v>578.0</v>
      </c>
      <c r="D347" s="35">
        <v>142021.0</v>
      </c>
      <c r="E347" s="36">
        <v>15174.0</v>
      </c>
      <c r="F347" s="37">
        <v>2517523.0</v>
      </c>
      <c r="G347" s="37">
        <v>15587.0</v>
      </c>
      <c r="H347" s="37">
        <v>2659544.0</v>
      </c>
      <c r="I347" s="36">
        <v>366.0</v>
      </c>
      <c r="J347" s="36">
        <v>499.0</v>
      </c>
      <c r="K347" s="36">
        <v>119251.0</v>
      </c>
      <c r="L347" s="36">
        <v>1713.0</v>
      </c>
      <c r="M347" s="36">
        <v>629862.0</v>
      </c>
      <c r="N347" s="36">
        <v>749113.0</v>
      </c>
      <c r="O347" s="36">
        <v>28.0</v>
      </c>
      <c r="P347" s="38">
        <v>8479.0</v>
      </c>
      <c r="Q347" s="38">
        <v>28.0</v>
      </c>
      <c r="R347" s="38">
        <v>7245.0</v>
      </c>
      <c r="S347" s="38">
        <v>3.0</v>
      </c>
      <c r="T347" s="38">
        <v>954.0</v>
      </c>
      <c r="U347" s="38">
        <v>280.0</v>
      </c>
      <c r="V347" s="38">
        <v>288.0</v>
      </c>
      <c r="W347" s="38">
        <v>52.0</v>
      </c>
      <c r="X347" s="38">
        <v>23.0</v>
      </c>
      <c r="Y347" s="38">
        <v>9.0</v>
      </c>
      <c r="Z347" s="35">
        <v>2420.0</v>
      </c>
      <c r="AA347" s="29">
        <v>3237.0</v>
      </c>
      <c r="AB347" s="29">
        <v>1661.0</v>
      </c>
      <c r="AC347" s="29">
        <v>4898.0</v>
      </c>
      <c r="AD347" s="29">
        <v>132886.0</v>
      </c>
      <c r="AE347" s="29">
        <v>3237.0</v>
      </c>
      <c r="AF347" s="29">
        <v>94201.0</v>
      </c>
      <c r="AG347" s="29">
        <v>1661.0</v>
      </c>
      <c r="AH347" s="29">
        <v>38686.0</v>
      </c>
    </row>
    <row r="348" ht="14.25" customHeight="1">
      <c r="A348" s="34">
        <v>44234.0</v>
      </c>
      <c r="B348" s="35">
        <v>240.0</v>
      </c>
      <c r="C348" s="35">
        <v>422.0</v>
      </c>
      <c r="D348" s="35">
        <v>142261.0</v>
      </c>
      <c r="E348" s="36">
        <v>4713.0</v>
      </c>
      <c r="F348" s="37">
        <v>2522236.0</v>
      </c>
      <c r="G348" s="37">
        <v>4953.0</v>
      </c>
      <c r="H348" s="37">
        <v>2664497.0</v>
      </c>
      <c r="I348" s="36">
        <v>189.0</v>
      </c>
      <c r="J348" s="36">
        <v>358.0</v>
      </c>
      <c r="K348" s="36">
        <v>119440.0</v>
      </c>
      <c r="L348" s="36">
        <v>712.0</v>
      </c>
      <c r="M348" s="36">
        <v>630574.0</v>
      </c>
      <c r="N348" s="36">
        <v>750014.0</v>
      </c>
      <c r="O348" s="36">
        <v>25.0</v>
      </c>
      <c r="P348" s="38">
        <v>8504.0</v>
      </c>
      <c r="Q348" s="38">
        <v>22.0</v>
      </c>
      <c r="R348" s="38">
        <v>7267.0</v>
      </c>
      <c r="S348" s="38">
        <v>7.0</v>
      </c>
      <c r="T348" s="38">
        <v>961.0</v>
      </c>
      <c r="U348" s="38">
        <v>276.0</v>
      </c>
      <c r="V348" s="38">
        <v>280.0</v>
      </c>
      <c r="W348" s="38">
        <v>49.0</v>
      </c>
      <c r="X348" s="38">
        <v>24.0</v>
      </c>
      <c r="Y348" s="38">
        <v>14.0</v>
      </c>
      <c r="Z348" s="35">
        <v>2434.0</v>
      </c>
      <c r="AA348" s="29">
        <v>417.0</v>
      </c>
      <c r="AB348" s="29">
        <v>445.0</v>
      </c>
      <c r="AC348" s="29">
        <v>862.0</v>
      </c>
      <c r="AD348" s="29">
        <v>133748.0</v>
      </c>
      <c r="AE348" s="29">
        <v>417.0</v>
      </c>
      <c r="AF348" s="29">
        <v>94618.0</v>
      </c>
      <c r="AG348" s="29">
        <v>445.0</v>
      </c>
      <c r="AH348" s="29">
        <v>39131.0</v>
      </c>
    </row>
    <row r="349" ht="14.25" customHeight="1">
      <c r="A349" s="34">
        <v>44235.0</v>
      </c>
      <c r="B349" s="35">
        <v>387.0</v>
      </c>
      <c r="C349" s="35">
        <v>347.0</v>
      </c>
      <c r="D349" s="35">
        <v>142648.0</v>
      </c>
      <c r="E349" s="36">
        <v>13023.0</v>
      </c>
      <c r="F349" s="37">
        <v>2535259.0</v>
      </c>
      <c r="G349" s="37">
        <v>13410.0</v>
      </c>
      <c r="H349" s="37">
        <v>2677907.0</v>
      </c>
      <c r="I349" s="36">
        <v>338.0</v>
      </c>
      <c r="J349" s="36">
        <v>298.0</v>
      </c>
      <c r="K349" s="36">
        <v>119778.0</v>
      </c>
      <c r="L349" s="36">
        <v>1605.0</v>
      </c>
      <c r="M349" s="36">
        <v>632179.0</v>
      </c>
      <c r="N349" s="36">
        <v>751957.0</v>
      </c>
      <c r="O349" s="36">
        <v>23.0</v>
      </c>
      <c r="P349" s="38">
        <v>8527.0</v>
      </c>
      <c r="Q349" s="38">
        <v>30.0</v>
      </c>
      <c r="R349" s="38">
        <v>7297.0</v>
      </c>
      <c r="S349" s="38">
        <v>1.0</v>
      </c>
      <c r="T349" s="38">
        <v>962.0</v>
      </c>
      <c r="U349" s="38">
        <v>268.0</v>
      </c>
      <c r="V349" s="38">
        <v>275.0</v>
      </c>
      <c r="W349" s="38">
        <v>46.0</v>
      </c>
      <c r="X349" s="38">
        <v>23.0</v>
      </c>
      <c r="Y349" s="38">
        <v>8.0</v>
      </c>
      <c r="Z349" s="35">
        <v>2442.0</v>
      </c>
      <c r="AA349" s="29">
        <v>1721.0</v>
      </c>
      <c r="AB349" s="29">
        <v>1388.0</v>
      </c>
      <c r="AC349" s="29">
        <v>3109.0</v>
      </c>
      <c r="AD349" s="29">
        <v>136857.0</v>
      </c>
      <c r="AE349" s="29">
        <v>1721.0</v>
      </c>
      <c r="AF349" s="29">
        <v>96339.0</v>
      </c>
      <c r="AG349" s="29">
        <v>1388.0</v>
      </c>
      <c r="AH349" s="29">
        <v>40519.0</v>
      </c>
    </row>
    <row r="350" ht="14.25" customHeight="1">
      <c r="A350" s="34">
        <v>44236.0</v>
      </c>
      <c r="B350" s="35">
        <v>563.0</v>
      </c>
      <c r="C350" s="35">
        <v>397.0</v>
      </c>
      <c r="D350" s="35">
        <v>143211.0</v>
      </c>
      <c r="E350" s="36">
        <v>17930.0</v>
      </c>
      <c r="F350" s="37">
        <v>2553189.0</v>
      </c>
      <c r="G350" s="37">
        <v>18493.0</v>
      </c>
      <c r="H350" s="37">
        <v>2696400.0</v>
      </c>
      <c r="I350" s="36">
        <v>493.0</v>
      </c>
      <c r="J350" s="36">
        <v>340.0</v>
      </c>
      <c r="K350" s="36">
        <v>120271.0</v>
      </c>
      <c r="L350" s="36">
        <v>1766.0</v>
      </c>
      <c r="M350" s="36">
        <v>633945.0</v>
      </c>
      <c r="N350" s="36">
        <v>754216.0</v>
      </c>
      <c r="O350" s="36">
        <v>34.0</v>
      </c>
      <c r="P350" s="38">
        <v>8561.0</v>
      </c>
      <c r="Q350" s="38">
        <v>35.0</v>
      </c>
      <c r="R350" s="38">
        <v>7332.0</v>
      </c>
      <c r="S350" s="38">
        <v>4.0</v>
      </c>
      <c r="T350" s="38">
        <v>966.0</v>
      </c>
      <c r="U350" s="38">
        <v>263.0</v>
      </c>
      <c r="V350" s="38">
        <v>269.0</v>
      </c>
      <c r="W350" s="38">
        <v>48.0</v>
      </c>
      <c r="X350" s="38">
        <v>24.0</v>
      </c>
      <c r="Y350" s="38">
        <v>7.0</v>
      </c>
      <c r="Z350" s="35">
        <v>2449.0</v>
      </c>
      <c r="AA350" s="29">
        <v>2712.0</v>
      </c>
      <c r="AB350" s="29">
        <v>1399.0</v>
      </c>
      <c r="AC350" s="29">
        <v>4111.0</v>
      </c>
      <c r="AD350" s="29">
        <v>140968.0</v>
      </c>
      <c r="AE350" s="29">
        <v>2712.0</v>
      </c>
      <c r="AF350" s="29">
        <v>99051.0</v>
      </c>
      <c r="AG350" s="29">
        <v>1399.0</v>
      </c>
      <c r="AH350" s="29">
        <v>41918.0</v>
      </c>
    </row>
    <row r="351" ht="14.25" customHeight="1">
      <c r="A351" s="34">
        <v>44237.0</v>
      </c>
      <c r="B351" s="35">
        <v>549.0</v>
      </c>
      <c r="C351" s="35">
        <v>500.0</v>
      </c>
      <c r="D351" s="35">
        <v>143760.0</v>
      </c>
      <c r="E351" s="36">
        <v>23770.0</v>
      </c>
      <c r="F351" s="37">
        <v>2576959.0</v>
      </c>
      <c r="G351" s="37">
        <v>24319.0</v>
      </c>
      <c r="H351" s="37">
        <v>2720719.0</v>
      </c>
      <c r="I351" s="36">
        <v>472.0</v>
      </c>
      <c r="J351" s="36">
        <v>434.0</v>
      </c>
      <c r="K351" s="36">
        <v>120743.0</v>
      </c>
      <c r="L351" s="36">
        <v>2135.0</v>
      </c>
      <c r="M351" s="36">
        <v>636080.0</v>
      </c>
      <c r="N351" s="36">
        <v>756823.0</v>
      </c>
      <c r="O351" s="36">
        <v>30.0</v>
      </c>
      <c r="P351" s="38">
        <v>8591.0</v>
      </c>
      <c r="Q351" s="38">
        <v>44.0</v>
      </c>
      <c r="R351" s="38">
        <v>7376.0</v>
      </c>
      <c r="S351" s="38">
        <v>6.0</v>
      </c>
      <c r="T351" s="38">
        <v>972.0</v>
      </c>
      <c r="U351" s="38">
        <v>243.0</v>
      </c>
      <c r="V351" s="38">
        <v>258.0</v>
      </c>
      <c r="W351" s="38">
        <v>44.0</v>
      </c>
      <c r="X351" s="38">
        <v>22.0</v>
      </c>
      <c r="Y351" s="38">
        <v>11.0</v>
      </c>
      <c r="Z351" s="35">
        <v>2460.0</v>
      </c>
      <c r="AA351" s="29">
        <v>2756.0</v>
      </c>
      <c r="AB351" s="29">
        <v>2249.0</v>
      </c>
      <c r="AC351" s="29">
        <v>5005.0</v>
      </c>
      <c r="AD351" s="29">
        <v>145973.0</v>
      </c>
      <c r="AE351" s="29">
        <v>2756.0</v>
      </c>
      <c r="AF351" s="29">
        <v>101807.0</v>
      </c>
      <c r="AG351" s="29">
        <v>2249.0</v>
      </c>
      <c r="AH351" s="29">
        <v>44167.0</v>
      </c>
    </row>
    <row r="352" ht="14.25" customHeight="1">
      <c r="A352" s="34">
        <v>44238.0</v>
      </c>
      <c r="B352" s="35">
        <v>478.0</v>
      </c>
      <c r="C352" s="35">
        <v>530.0</v>
      </c>
      <c r="D352" s="35">
        <v>144238.0</v>
      </c>
      <c r="E352" s="36">
        <v>21077.0</v>
      </c>
      <c r="F352" s="37">
        <v>2598036.0</v>
      </c>
      <c r="G352" s="37">
        <v>21555.0</v>
      </c>
      <c r="H352" s="37">
        <v>2742274.0</v>
      </c>
      <c r="I352" s="36">
        <v>409.0</v>
      </c>
      <c r="J352" s="36">
        <v>458.0</v>
      </c>
      <c r="K352" s="36">
        <v>121152.0</v>
      </c>
      <c r="L352" s="36">
        <v>2005.0</v>
      </c>
      <c r="M352" s="36">
        <v>638085.0</v>
      </c>
      <c r="N352" s="36">
        <v>759237.0</v>
      </c>
      <c r="O352" s="36">
        <v>31.0</v>
      </c>
      <c r="P352" s="38">
        <v>8622.0</v>
      </c>
      <c r="Q352" s="38">
        <v>34.0</v>
      </c>
      <c r="R352" s="38">
        <v>7410.0</v>
      </c>
      <c r="S352" s="38">
        <v>4.0</v>
      </c>
      <c r="T352" s="38">
        <v>976.0</v>
      </c>
      <c r="U352" s="38">
        <v>236.0</v>
      </c>
      <c r="V352" s="38">
        <v>247.0</v>
      </c>
      <c r="W352" s="38">
        <v>43.0</v>
      </c>
      <c r="X352" s="38">
        <v>22.0</v>
      </c>
      <c r="Y352" s="38">
        <v>11.0</v>
      </c>
      <c r="Z352" s="35">
        <v>2471.0</v>
      </c>
      <c r="AA352" s="29">
        <v>3043.0</v>
      </c>
      <c r="AB352" s="29">
        <v>1958.0</v>
      </c>
      <c r="AC352" s="29">
        <v>5001.0</v>
      </c>
      <c r="AD352" s="29">
        <v>150974.0</v>
      </c>
      <c r="AE352" s="29">
        <v>3043.0</v>
      </c>
      <c r="AF352" s="29">
        <v>104850.0</v>
      </c>
      <c r="AG352" s="29">
        <v>1958.0</v>
      </c>
      <c r="AH352" s="29">
        <v>46125.0</v>
      </c>
    </row>
    <row r="353" ht="14.25" customHeight="1">
      <c r="A353" s="34">
        <v>44239.0</v>
      </c>
      <c r="B353" s="35">
        <v>444.0</v>
      </c>
      <c r="C353" s="35">
        <v>490.0</v>
      </c>
      <c r="D353" s="35">
        <v>144682.0</v>
      </c>
      <c r="E353" s="36">
        <v>20707.0</v>
      </c>
      <c r="F353" s="37">
        <v>2618743.0</v>
      </c>
      <c r="G353" s="37">
        <v>21151.0</v>
      </c>
      <c r="H353" s="37">
        <v>2763425.0</v>
      </c>
      <c r="I353" s="36">
        <v>383.0</v>
      </c>
      <c r="J353" s="36">
        <v>421.0</v>
      </c>
      <c r="K353" s="36">
        <v>121535.0</v>
      </c>
      <c r="L353" s="36">
        <v>1934.0</v>
      </c>
      <c r="M353" s="36">
        <v>640019.0</v>
      </c>
      <c r="N353" s="36">
        <v>761554.0</v>
      </c>
      <c r="O353" s="36">
        <v>19.0</v>
      </c>
      <c r="P353" s="38">
        <v>8641.0</v>
      </c>
      <c r="Q353" s="38">
        <v>27.0</v>
      </c>
      <c r="R353" s="38">
        <v>7437.0</v>
      </c>
      <c r="S353" s="38">
        <v>2.0</v>
      </c>
      <c r="T353" s="38">
        <v>978.0</v>
      </c>
      <c r="U353" s="38">
        <v>226.0</v>
      </c>
      <c r="V353" s="38">
        <v>235.0</v>
      </c>
      <c r="W353" s="38">
        <v>41.0</v>
      </c>
      <c r="X353" s="38">
        <v>21.0</v>
      </c>
      <c r="Y353" s="38">
        <v>5.0</v>
      </c>
      <c r="Z353" s="35">
        <v>2476.0</v>
      </c>
      <c r="AA353" s="29">
        <v>3401.0</v>
      </c>
      <c r="AB353" s="29">
        <v>2404.0</v>
      </c>
      <c r="AC353" s="29">
        <v>5805.0</v>
      </c>
      <c r="AD353" s="29">
        <v>156779.0</v>
      </c>
      <c r="AE353" s="29">
        <v>3401.0</v>
      </c>
      <c r="AF353" s="29">
        <v>108251.0</v>
      </c>
      <c r="AG353" s="29">
        <v>2404.0</v>
      </c>
      <c r="AH353" s="29">
        <v>48529.0</v>
      </c>
    </row>
    <row r="354" ht="14.25" customHeight="1">
      <c r="A354" s="34">
        <v>44240.0</v>
      </c>
      <c r="B354" s="35">
        <v>387.0</v>
      </c>
      <c r="C354" s="35">
        <v>436.0</v>
      </c>
      <c r="D354" s="35">
        <v>145069.0</v>
      </c>
      <c r="E354" s="36">
        <v>14068.0</v>
      </c>
      <c r="F354" s="37">
        <v>2632811.0</v>
      </c>
      <c r="G354" s="37">
        <v>14455.0</v>
      </c>
      <c r="H354" s="37">
        <v>2777880.0</v>
      </c>
      <c r="I354" s="36">
        <v>329.0</v>
      </c>
      <c r="J354" s="36">
        <v>374.0</v>
      </c>
      <c r="K354" s="36">
        <v>121864.0</v>
      </c>
      <c r="L354" s="36">
        <v>1579.0</v>
      </c>
      <c r="M354" s="36">
        <v>641598.0</v>
      </c>
      <c r="N354" s="36">
        <v>763462.0</v>
      </c>
      <c r="O354" s="36">
        <v>22.0</v>
      </c>
      <c r="P354" s="38">
        <v>8663.0</v>
      </c>
      <c r="Q354" s="38">
        <v>34.0</v>
      </c>
      <c r="R354" s="38">
        <v>7471.0</v>
      </c>
      <c r="S354" s="38">
        <v>4.0</v>
      </c>
      <c r="T354" s="38">
        <v>982.0</v>
      </c>
      <c r="U354" s="38">
        <v>210.0</v>
      </c>
      <c r="V354" s="38">
        <v>224.0</v>
      </c>
      <c r="W354" s="38">
        <v>38.0</v>
      </c>
      <c r="X354" s="38">
        <v>19.0</v>
      </c>
      <c r="Y354" s="38">
        <v>10.0</v>
      </c>
      <c r="Z354" s="35">
        <v>2486.0</v>
      </c>
      <c r="AA354" s="29">
        <v>3342.0</v>
      </c>
      <c r="AB354" s="29">
        <v>2877.0</v>
      </c>
      <c r="AC354" s="29">
        <v>6219.0</v>
      </c>
      <c r="AD354" s="29">
        <v>162998.0</v>
      </c>
      <c r="AE354" s="29">
        <v>3342.0</v>
      </c>
      <c r="AF354" s="29">
        <v>111593.0</v>
      </c>
      <c r="AG354" s="29">
        <v>2878.0</v>
      </c>
      <c r="AH354" s="29">
        <v>51407.0</v>
      </c>
    </row>
    <row r="355" ht="14.25" customHeight="1">
      <c r="A355" s="34">
        <v>44241.0</v>
      </c>
      <c r="B355" s="35">
        <v>266.0</v>
      </c>
      <c r="C355" s="35">
        <v>366.0</v>
      </c>
      <c r="D355" s="35">
        <v>145335.0</v>
      </c>
      <c r="E355" s="36">
        <v>6593.0</v>
      </c>
      <c r="F355" s="37">
        <v>2639404.0</v>
      </c>
      <c r="G355" s="37">
        <v>6859.0</v>
      </c>
      <c r="H355" s="37">
        <v>2784739.0</v>
      </c>
      <c r="I355" s="36">
        <v>231.0</v>
      </c>
      <c r="J355" s="36">
        <v>314.0</v>
      </c>
      <c r="K355" s="36">
        <v>122095.0</v>
      </c>
      <c r="L355" s="36">
        <v>894.0</v>
      </c>
      <c r="M355" s="36">
        <v>642492.0</v>
      </c>
      <c r="N355" s="36">
        <v>764587.0</v>
      </c>
      <c r="O355" s="36">
        <v>26.0</v>
      </c>
      <c r="P355" s="38">
        <v>8689.0</v>
      </c>
      <c r="Q355" s="38">
        <v>15.0</v>
      </c>
      <c r="R355" s="38">
        <v>7486.0</v>
      </c>
      <c r="S355" s="38">
        <v>0.0</v>
      </c>
      <c r="T355" s="38">
        <v>982.0</v>
      </c>
      <c r="U355" s="38">
        <v>221.0</v>
      </c>
      <c r="V355" s="38">
        <v>219.0</v>
      </c>
      <c r="W355" s="38">
        <v>38.0</v>
      </c>
      <c r="X355" s="38">
        <v>23.0</v>
      </c>
      <c r="Y355" s="38">
        <v>4.0</v>
      </c>
      <c r="Z355" s="35">
        <v>2490.0</v>
      </c>
      <c r="AA355" s="29">
        <v>1332.0</v>
      </c>
      <c r="AB355" s="29">
        <v>787.0</v>
      </c>
      <c r="AC355" s="29">
        <v>2119.0</v>
      </c>
      <c r="AD355" s="29">
        <v>165117.0</v>
      </c>
      <c r="AE355" s="29">
        <v>1332.0</v>
      </c>
      <c r="AF355" s="29">
        <v>112925.0</v>
      </c>
      <c r="AG355" s="29">
        <v>787.0</v>
      </c>
      <c r="AH355" s="29">
        <v>52194.0</v>
      </c>
    </row>
    <row r="356" ht="14.25" customHeight="1">
      <c r="A356" s="34">
        <v>44242.0</v>
      </c>
      <c r="B356" s="35">
        <v>330.0</v>
      </c>
      <c r="C356" s="35">
        <v>328.0</v>
      </c>
      <c r="D356" s="35">
        <v>145665.0</v>
      </c>
      <c r="E356" s="36">
        <v>11090.0</v>
      </c>
      <c r="F356" s="37">
        <v>2650494.0</v>
      </c>
      <c r="G356" s="37">
        <v>11420.0</v>
      </c>
      <c r="H356" s="37">
        <v>2796159.0</v>
      </c>
      <c r="I356" s="36">
        <v>301.0</v>
      </c>
      <c r="J356" s="36">
        <v>287.0</v>
      </c>
      <c r="K356" s="36">
        <v>122396.0</v>
      </c>
      <c r="L356" s="36">
        <v>1181.0</v>
      </c>
      <c r="M356" s="36">
        <v>643673.0</v>
      </c>
      <c r="N356" s="36">
        <v>766069.0</v>
      </c>
      <c r="O356" s="36">
        <v>28.0</v>
      </c>
      <c r="P356" s="38">
        <v>8717.0</v>
      </c>
      <c r="Q356" s="38">
        <v>28.0</v>
      </c>
      <c r="R356" s="38">
        <v>7514.0</v>
      </c>
      <c r="S356" s="38">
        <v>3.0</v>
      </c>
      <c r="T356" s="38">
        <v>985.0</v>
      </c>
      <c r="U356" s="38">
        <v>218.0</v>
      </c>
      <c r="V356" s="38">
        <v>216.0</v>
      </c>
      <c r="W356" s="38">
        <v>33.0</v>
      </c>
      <c r="X356" s="38">
        <v>22.0</v>
      </c>
      <c r="Y356" s="38">
        <v>3.0</v>
      </c>
      <c r="Z356" s="35">
        <v>2493.0</v>
      </c>
      <c r="AA356" s="29">
        <v>3822.0</v>
      </c>
      <c r="AB356" s="29">
        <v>1073.0</v>
      </c>
      <c r="AC356" s="29">
        <v>4895.0</v>
      </c>
      <c r="AD356" s="29">
        <v>170012.0</v>
      </c>
      <c r="AE356" s="29">
        <v>3822.0</v>
      </c>
      <c r="AF356" s="29">
        <v>116747.0</v>
      </c>
      <c r="AG356" s="29">
        <v>1073.0</v>
      </c>
      <c r="AH356" s="29">
        <v>53267.0</v>
      </c>
    </row>
    <row r="357" ht="14.25" customHeight="1">
      <c r="A357" s="34">
        <v>44243.0</v>
      </c>
      <c r="B357" s="35">
        <v>472.0</v>
      </c>
      <c r="C357" s="35">
        <v>356.0</v>
      </c>
      <c r="D357" s="35">
        <v>146137.0</v>
      </c>
      <c r="E357" s="36">
        <v>20049.0</v>
      </c>
      <c r="F357" s="37">
        <v>2670543.0</v>
      </c>
      <c r="G357" s="37">
        <v>20521.0</v>
      </c>
      <c r="H357" s="37">
        <v>2816680.0</v>
      </c>
      <c r="I357" s="36">
        <v>410.0</v>
      </c>
      <c r="J357" s="36">
        <v>314.0</v>
      </c>
      <c r="K357" s="36">
        <v>122806.0</v>
      </c>
      <c r="L357" s="36">
        <v>1793.0</v>
      </c>
      <c r="M357" s="36">
        <v>645466.0</v>
      </c>
      <c r="N357" s="36">
        <v>768272.0</v>
      </c>
      <c r="O357" s="36">
        <v>22.0</v>
      </c>
      <c r="P357" s="38">
        <v>8739.0</v>
      </c>
      <c r="Q357" s="38">
        <v>41.0</v>
      </c>
      <c r="R357" s="38">
        <v>7555.0</v>
      </c>
      <c r="S357" s="38">
        <v>3.0</v>
      </c>
      <c r="T357" s="38">
        <v>988.0</v>
      </c>
      <c r="U357" s="38">
        <v>196.0</v>
      </c>
      <c r="V357" s="38">
        <v>212.0</v>
      </c>
      <c r="W357" s="38">
        <v>34.0</v>
      </c>
      <c r="X357" s="38">
        <v>20.0</v>
      </c>
      <c r="Y357" s="38">
        <v>9.0</v>
      </c>
      <c r="Z357" s="35">
        <v>2502.0</v>
      </c>
      <c r="AA357" s="29">
        <v>3645.0</v>
      </c>
      <c r="AB357" s="29">
        <v>1311.0</v>
      </c>
      <c r="AC357" s="29">
        <v>4956.0</v>
      </c>
      <c r="AD357" s="29">
        <v>174968.0</v>
      </c>
      <c r="AE357" s="29">
        <v>3645.0</v>
      </c>
      <c r="AF357" s="29">
        <v>120392.0</v>
      </c>
      <c r="AG357" s="29">
        <v>1311.0</v>
      </c>
      <c r="AH357" s="29">
        <v>54578.0</v>
      </c>
    </row>
    <row r="358" ht="14.25" customHeight="1">
      <c r="A358" s="34">
        <v>44244.0</v>
      </c>
      <c r="B358" s="35">
        <v>412.0</v>
      </c>
      <c r="C358" s="35">
        <v>405.0</v>
      </c>
      <c r="D358" s="35">
        <v>146549.0</v>
      </c>
      <c r="E358" s="36">
        <v>22259.0</v>
      </c>
      <c r="F358" s="37">
        <v>2692802.0</v>
      </c>
      <c r="G358" s="37">
        <v>22671.0</v>
      </c>
      <c r="H358" s="37">
        <v>2839351.0</v>
      </c>
      <c r="I358" s="36">
        <v>359.0</v>
      </c>
      <c r="J358" s="36">
        <v>357.0</v>
      </c>
      <c r="K358" s="36">
        <v>123165.0</v>
      </c>
      <c r="L358" s="36">
        <v>1741.0</v>
      </c>
      <c r="M358" s="36">
        <v>647207.0</v>
      </c>
      <c r="N358" s="36">
        <v>770372.0</v>
      </c>
      <c r="O358" s="36">
        <v>25.0</v>
      </c>
      <c r="P358" s="38">
        <v>8764.0</v>
      </c>
      <c r="Q358" s="38">
        <v>27.0</v>
      </c>
      <c r="R358" s="38">
        <v>7582.0</v>
      </c>
      <c r="S358" s="38">
        <v>0.0</v>
      </c>
      <c r="T358" s="38">
        <v>988.0</v>
      </c>
      <c r="U358" s="38">
        <v>194.0</v>
      </c>
      <c r="V358" s="38">
        <v>203.0</v>
      </c>
      <c r="W358" s="38">
        <v>30.0</v>
      </c>
      <c r="X358" s="38">
        <v>20.0</v>
      </c>
      <c r="Y358" s="38">
        <v>2.0</v>
      </c>
      <c r="Z358" s="35">
        <v>2504.0</v>
      </c>
      <c r="AA358" s="29">
        <v>5201.0</v>
      </c>
      <c r="AB358" s="29">
        <v>1930.0</v>
      </c>
      <c r="AC358" s="29">
        <v>7131.0</v>
      </c>
      <c r="AD358" s="29">
        <v>182099.0</v>
      </c>
      <c r="AE358" s="29">
        <v>5201.0</v>
      </c>
      <c r="AF358" s="29">
        <v>125593.0</v>
      </c>
      <c r="AG358" s="29">
        <v>1930.0</v>
      </c>
      <c r="AH358" s="29">
        <v>56508.0</v>
      </c>
    </row>
    <row r="359" ht="14.25" customHeight="1">
      <c r="A359" s="34">
        <v>44245.0</v>
      </c>
      <c r="B359" s="35">
        <v>397.0</v>
      </c>
      <c r="C359" s="35">
        <v>427.0</v>
      </c>
      <c r="D359" s="35">
        <v>146946.0</v>
      </c>
      <c r="E359" s="36">
        <v>20161.0</v>
      </c>
      <c r="F359" s="37">
        <v>2712963.0</v>
      </c>
      <c r="G359" s="37">
        <v>20558.0</v>
      </c>
      <c r="H359" s="37">
        <v>2859909.0</v>
      </c>
      <c r="I359" s="36">
        <v>333.0</v>
      </c>
      <c r="J359" s="36">
        <v>367.0</v>
      </c>
      <c r="K359" s="36">
        <v>123498.0</v>
      </c>
      <c r="L359" s="36">
        <v>1573.0</v>
      </c>
      <c r="M359" s="36">
        <v>648780.0</v>
      </c>
      <c r="N359" s="36">
        <v>772278.0</v>
      </c>
      <c r="O359" s="36">
        <v>17.0</v>
      </c>
      <c r="P359" s="38">
        <v>8781.0</v>
      </c>
      <c r="Q359" s="38">
        <v>19.0</v>
      </c>
      <c r="R359" s="38">
        <v>7601.0</v>
      </c>
      <c r="S359" s="38">
        <v>2.0</v>
      </c>
      <c r="T359" s="38">
        <v>990.0</v>
      </c>
      <c r="U359" s="38">
        <v>190.0</v>
      </c>
      <c r="V359" s="38">
        <v>193.0</v>
      </c>
      <c r="W359" s="38">
        <v>35.0</v>
      </c>
      <c r="X359" s="38">
        <v>19.0</v>
      </c>
      <c r="Y359" s="38">
        <v>4.0</v>
      </c>
      <c r="Z359" s="35">
        <v>2508.0</v>
      </c>
      <c r="AA359" s="29">
        <v>6035.0</v>
      </c>
      <c r="AB359" s="29">
        <v>2326.0</v>
      </c>
      <c r="AC359" s="29">
        <v>8361.0</v>
      </c>
      <c r="AD359" s="29">
        <v>190460.0</v>
      </c>
      <c r="AE359" s="29">
        <v>6035.0</v>
      </c>
      <c r="AF359" s="29">
        <v>131628.0</v>
      </c>
      <c r="AG359" s="29">
        <v>2326.0</v>
      </c>
      <c r="AH359" s="29">
        <v>58834.0</v>
      </c>
    </row>
    <row r="360" ht="14.25" customHeight="1">
      <c r="A360" s="34">
        <v>44246.0</v>
      </c>
      <c r="B360" s="35">
        <v>418.0</v>
      </c>
      <c r="C360" s="35">
        <v>409.0</v>
      </c>
      <c r="D360" s="35">
        <v>147364.0</v>
      </c>
      <c r="E360" s="36">
        <v>16724.0</v>
      </c>
      <c r="F360" s="37">
        <v>2729687.0</v>
      </c>
      <c r="G360" s="37">
        <v>17142.0</v>
      </c>
      <c r="H360" s="37">
        <v>2877051.0</v>
      </c>
      <c r="I360" s="36">
        <v>352.0</v>
      </c>
      <c r="J360" s="36">
        <v>348.0</v>
      </c>
      <c r="K360" s="36">
        <v>123850.0</v>
      </c>
      <c r="L360" s="36">
        <v>1542.0</v>
      </c>
      <c r="M360" s="36">
        <v>650322.0</v>
      </c>
      <c r="N360" s="36">
        <v>774172.0</v>
      </c>
      <c r="O360" s="36">
        <v>22.0</v>
      </c>
      <c r="P360" s="38">
        <v>8803.0</v>
      </c>
      <c r="Q360" s="38">
        <v>34.0</v>
      </c>
      <c r="R360" s="38">
        <v>7635.0</v>
      </c>
      <c r="S360" s="38">
        <v>3.0</v>
      </c>
      <c r="T360" s="38">
        <v>993.0</v>
      </c>
      <c r="U360" s="38">
        <v>175.0</v>
      </c>
      <c r="V360" s="38">
        <v>186.0</v>
      </c>
      <c r="W360" s="38">
        <v>29.0</v>
      </c>
      <c r="X360" s="38">
        <v>17.0</v>
      </c>
      <c r="Y360" s="38">
        <v>6.0</v>
      </c>
      <c r="Z360" s="35">
        <v>2514.0</v>
      </c>
      <c r="AA360" s="29">
        <v>5578.0</v>
      </c>
      <c r="AB360" s="29">
        <v>2252.0</v>
      </c>
      <c r="AC360" s="29">
        <v>7830.0</v>
      </c>
      <c r="AD360" s="29">
        <v>198290.0</v>
      </c>
      <c r="AE360" s="29">
        <v>5578.0</v>
      </c>
      <c r="AF360" s="29">
        <v>137206.0</v>
      </c>
      <c r="AG360" s="29">
        <v>2252.0</v>
      </c>
      <c r="AH360" s="29">
        <v>61086.0</v>
      </c>
    </row>
    <row r="361" ht="14.25" customHeight="1">
      <c r="A361" s="34">
        <v>44247.0</v>
      </c>
      <c r="B361" s="35">
        <v>336.0</v>
      </c>
      <c r="C361" s="35">
        <v>384.0</v>
      </c>
      <c r="D361" s="35">
        <v>147700.0</v>
      </c>
      <c r="E361" s="35">
        <v>10618.0</v>
      </c>
      <c r="F361" s="35">
        <v>2740305.0</v>
      </c>
      <c r="G361" s="35">
        <v>10954.0</v>
      </c>
      <c r="H361" s="35">
        <v>2888005.0</v>
      </c>
      <c r="I361" s="35">
        <v>285.0</v>
      </c>
      <c r="J361" s="35">
        <v>323.0</v>
      </c>
      <c r="K361" s="35">
        <v>124135.0</v>
      </c>
      <c r="L361" s="35">
        <v>1307.0</v>
      </c>
      <c r="M361" s="35">
        <v>651629.0</v>
      </c>
      <c r="N361" s="35">
        <v>775764.0</v>
      </c>
      <c r="O361" s="35">
        <v>37.0</v>
      </c>
      <c r="P361" s="35">
        <v>8840.0</v>
      </c>
      <c r="Q361" s="35">
        <v>21.0</v>
      </c>
      <c r="R361" s="35">
        <v>7656.0</v>
      </c>
      <c r="S361" s="35">
        <v>2.0</v>
      </c>
      <c r="T361" s="35">
        <v>995.0</v>
      </c>
      <c r="U361" s="35">
        <v>189.0</v>
      </c>
      <c r="V361" s="35">
        <v>185.0</v>
      </c>
      <c r="W361" s="35">
        <v>29.0</v>
      </c>
      <c r="X361" s="35">
        <v>17.0</v>
      </c>
      <c r="Y361" s="35">
        <v>4.0</v>
      </c>
      <c r="Z361" s="35">
        <v>2518.0</v>
      </c>
      <c r="AA361" s="35">
        <v>7944.0</v>
      </c>
      <c r="AB361" s="35">
        <v>2027.0</v>
      </c>
      <c r="AC361" s="35">
        <v>9971.0</v>
      </c>
      <c r="AD361" s="35">
        <v>208261.0</v>
      </c>
      <c r="AE361" s="35">
        <v>7944.0</v>
      </c>
      <c r="AF361" s="35">
        <v>145150.0</v>
      </c>
      <c r="AG361" s="35">
        <v>2027.0</v>
      </c>
      <c r="AH361" s="35">
        <v>63113.0</v>
      </c>
    </row>
    <row r="362" ht="14.25" customHeight="1">
      <c r="A362" s="34">
        <v>44248.0</v>
      </c>
      <c r="B362" s="35">
        <v>199.0</v>
      </c>
      <c r="C362" s="35">
        <v>318.0</v>
      </c>
      <c r="D362" s="35">
        <v>147899.0</v>
      </c>
      <c r="E362" s="35">
        <v>6308.0</v>
      </c>
      <c r="F362" s="35">
        <v>2746613.0</v>
      </c>
      <c r="G362" s="35">
        <v>6507.0</v>
      </c>
      <c r="H362" s="35">
        <v>2894512.0</v>
      </c>
      <c r="I362" s="35">
        <v>177.0</v>
      </c>
      <c r="J362" s="35">
        <v>271.0</v>
      </c>
      <c r="K362" s="35">
        <v>124312.0</v>
      </c>
      <c r="L362" s="35">
        <v>832.0</v>
      </c>
      <c r="M362" s="35">
        <v>652461.0</v>
      </c>
      <c r="N362" s="35">
        <v>776773.0</v>
      </c>
      <c r="O362" s="35">
        <v>6.0</v>
      </c>
      <c r="P362" s="35">
        <v>8846.0</v>
      </c>
      <c r="Q362" s="35">
        <v>14.0</v>
      </c>
      <c r="R362" s="35">
        <v>7670.0</v>
      </c>
      <c r="S362" s="35">
        <v>2.0</v>
      </c>
      <c r="T362" s="35">
        <v>997.0</v>
      </c>
      <c r="U362" s="35">
        <v>179.0</v>
      </c>
      <c r="V362" s="35">
        <v>181.0</v>
      </c>
      <c r="W362" s="35">
        <v>33.0</v>
      </c>
      <c r="X362" s="35">
        <v>18.0</v>
      </c>
      <c r="Y362" s="35">
        <v>3.0</v>
      </c>
      <c r="Z362" s="35">
        <v>2521.0</v>
      </c>
      <c r="AA362" s="35">
        <v>1943.0</v>
      </c>
      <c r="AB362" s="35">
        <v>618.0</v>
      </c>
      <c r="AC362" s="35">
        <v>2561.0</v>
      </c>
      <c r="AD362" s="35">
        <v>210822.0</v>
      </c>
      <c r="AE362" s="35">
        <v>1943.0</v>
      </c>
      <c r="AF362" s="35">
        <v>147093.0</v>
      </c>
      <c r="AG362" s="35">
        <v>618.0</v>
      </c>
      <c r="AH362" s="35">
        <v>63731.0</v>
      </c>
    </row>
    <row r="363" ht="14.25" customHeight="1">
      <c r="A363" s="34">
        <v>44249.0</v>
      </c>
      <c r="B363" s="35">
        <v>389.0</v>
      </c>
      <c r="C363" s="35">
        <v>308.0</v>
      </c>
      <c r="D363" s="35">
        <v>148288.0</v>
      </c>
      <c r="E363" s="35">
        <v>12032.0</v>
      </c>
      <c r="F363" s="35">
        <v>2758645.0</v>
      </c>
      <c r="G363" s="35">
        <v>12421.0</v>
      </c>
      <c r="H363" s="35">
        <v>2906933.0</v>
      </c>
      <c r="I363" s="35">
        <v>344.0</v>
      </c>
      <c r="J363" s="35">
        <v>269.0</v>
      </c>
      <c r="K363" s="35">
        <v>124656.0</v>
      </c>
      <c r="L363" s="35">
        <v>1511.0</v>
      </c>
      <c r="M363" s="35">
        <v>653972.0</v>
      </c>
      <c r="N363" s="35">
        <v>778628.0</v>
      </c>
      <c r="O363" s="35">
        <v>16.0</v>
      </c>
      <c r="P363" s="35">
        <v>8862.0</v>
      </c>
      <c r="Q363" s="35">
        <v>17.0</v>
      </c>
      <c r="R363" s="35">
        <v>7687.0</v>
      </c>
      <c r="S363" s="35">
        <v>0.0</v>
      </c>
      <c r="T363" s="35">
        <v>997.0</v>
      </c>
      <c r="U363" s="35">
        <v>178.0</v>
      </c>
      <c r="V363" s="35">
        <v>182.0</v>
      </c>
      <c r="W363" s="35">
        <v>32.0</v>
      </c>
      <c r="X363" s="35">
        <v>17.0</v>
      </c>
      <c r="Y363" s="35">
        <v>3.0</v>
      </c>
      <c r="Z363" s="35">
        <v>2524.0</v>
      </c>
      <c r="AA363" s="35">
        <v>5487.0</v>
      </c>
      <c r="AB363" s="35">
        <v>1397.0</v>
      </c>
      <c r="AC363" s="35">
        <v>6884.0</v>
      </c>
      <c r="AD363" s="35">
        <v>217706.0</v>
      </c>
      <c r="AE363" s="35">
        <v>5487.0</v>
      </c>
      <c r="AF363" s="35">
        <v>152580.0</v>
      </c>
      <c r="AG363" s="35">
        <v>1397.0</v>
      </c>
      <c r="AH363" s="35">
        <v>65128.0</v>
      </c>
    </row>
    <row r="364" ht="14.25" customHeight="1">
      <c r="A364" s="34">
        <v>44250.0</v>
      </c>
      <c r="B364" s="35">
        <v>489.0</v>
      </c>
      <c r="C364" s="35">
        <v>359.0</v>
      </c>
      <c r="D364" s="35">
        <v>148777.0</v>
      </c>
      <c r="E364" s="35">
        <v>19938.0</v>
      </c>
      <c r="F364" s="35">
        <v>2778583.0</v>
      </c>
      <c r="G364" s="35">
        <v>20427.0</v>
      </c>
      <c r="H364" s="35">
        <v>2927360.0</v>
      </c>
      <c r="I364" s="35">
        <v>443.0</v>
      </c>
      <c r="J364" s="35">
        <v>321.0</v>
      </c>
      <c r="K364" s="35">
        <v>125099.0</v>
      </c>
      <c r="L364" s="35">
        <v>2092.0</v>
      </c>
      <c r="M364" s="35">
        <v>656064.0</v>
      </c>
      <c r="N364" s="35">
        <v>781163.0</v>
      </c>
      <c r="O364" s="35">
        <v>27.0</v>
      </c>
      <c r="P364" s="35">
        <v>8889.0</v>
      </c>
      <c r="Q364" s="35">
        <v>27.0</v>
      </c>
      <c r="R364" s="35">
        <v>7714.0</v>
      </c>
      <c r="S364" s="35">
        <v>2.0</v>
      </c>
      <c r="T364" s="35">
        <v>999.0</v>
      </c>
      <c r="U364" s="35">
        <v>176.0</v>
      </c>
      <c r="V364" s="35">
        <v>178.0</v>
      </c>
      <c r="W364" s="35">
        <v>32.0</v>
      </c>
      <c r="X364" s="35">
        <v>18.0</v>
      </c>
      <c r="Y364" s="35">
        <v>6.0</v>
      </c>
      <c r="Z364" s="35">
        <v>2530.0</v>
      </c>
      <c r="AA364" s="35">
        <v>6124.0</v>
      </c>
      <c r="AB364" s="35">
        <v>1382.0</v>
      </c>
      <c r="AC364" s="35">
        <v>7506.0</v>
      </c>
      <c r="AD364" s="35">
        <v>225212.0</v>
      </c>
      <c r="AE364" s="35">
        <v>6124.0</v>
      </c>
      <c r="AF364" s="35">
        <v>158704.0</v>
      </c>
      <c r="AG364" s="35">
        <v>1382.0</v>
      </c>
      <c r="AH364" s="35">
        <v>66510.0</v>
      </c>
    </row>
    <row r="365" ht="14.25" customHeight="1">
      <c r="A365" s="34">
        <v>44251.0</v>
      </c>
      <c r="B365" s="35">
        <v>489.0</v>
      </c>
      <c r="C365" s="35">
        <v>456.0</v>
      </c>
      <c r="D365" s="35">
        <v>149266.0</v>
      </c>
      <c r="E365" s="35">
        <v>23277.0</v>
      </c>
      <c r="F365" s="35">
        <v>2801860.0</v>
      </c>
      <c r="G365" s="35">
        <v>23766.0</v>
      </c>
      <c r="H365" s="35">
        <v>2951126.0</v>
      </c>
      <c r="I365" s="35">
        <v>427.0</v>
      </c>
      <c r="J365" s="35">
        <v>405.0</v>
      </c>
      <c r="K365" s="35">
        <v>125526.0</v>
      </c>
      <c r="L365" s="35">
        <v>2019.0</v>
      </c>
      <c r="M365" s="35">
        <v>658083.0</v>
      </c>
      <c r="N365" s="35">
        <v>783609.0</v>
      </c>
      <c r="O365" s="35">
        <v>28.0</v>
      </c>
      <c r="P365" s="35">
        <v>8917.0</v>
      </c>
      <c r="Q365" s="35">
        <v>20.0</v>
      </c>
      <c r="R365" s="35">
        <v>7734.0</v>
      </c>
      <c r="S365" s="35">
        <v>2.0</v>
      </c>
      <c r="T365" s="35">
        <v>1001.0</v>
      </c>
      <c r="U365" s="35">
        <v>182.0</v>
      </c>
      <c r="V365" s="35">
        <v>179.0</v>
      </c>
      <c r="W365" s="35">
        <v>33.0</v>
      </c>
      <c r="X365" s="35">
        <v>20.0</v>
      </c>
      <c r="Y365" s="35">
        <v>5.0</v>
      </c>
      <c r="Z365" s="35">
        <v>2535.0</v>
      </c>
      <c r="AA365" s="35">
        <v>6641.0</v>
      </c>
      <c r="AB365" s="35">
        <v>1821.0</v>
      </c>
      <c r="AC365" s="35">
        <v>8462.0</v>
      </c>
      <c r="AD365" s="35">
        <v>233674.0</v>
      </c>
      <c r="AE365" s="35">
        <v>6641.0</v>
      </c>
      <c r="AF365" s="35">
        <v>165345.0</v>
      </c>
      <c r="AG365" s="35">
        <v>1821.0</v>
      </c>
      <c r="AH365" s="35">
        <v>68331.0</v>
      </c>
    </row>
    <row r="366" ht="14.25" customHeight="1">
      <c r="A366" s="34">
        <v>44252.0</v>
      </c>
      <c r="B366" s="35">
        <v>526.0</v>
      </c>
      <c r="C366" s="35">
        <v>501.0</v>
      </c>
      <c r="D366" s="35">
        <v>149792.0</v>
      </c>
      <c r="E366" s="35">
        <v>21113.0</v>
      </c>
      <c r="F366" s="35">
        <v>2822973.0</v>
      </c>
      <c r="G366" s="35">
        <v>21639.0</v>
      </c>
      <c r="H366" s="35">
        <v>2972765.0</v>
      </c>
      <c r="I366" s="35">
        <v>463.0</v>
      </c>
      <c r="J366" s="35">
        <v>444.0</v>
      </c>
      <c r="K366" s="35">
        <v>125989.0</v>
      </c>
      <c r="L366" s="35">
        <v>1925.0</v>
      </c>
      <c r="M366" s="35">
        <v>660008.0</v>
      </c>
      <c r="N366" s="35">
        <v>785997.0</v>
      </c>
      <c r="O366" s="35">
        <v>19.0</v>
      </c>
      <c r="P366" s="35">
        <v>8936.0</v>
      </c>
      <c r="Q366" s="35">
        <v>20.0</v>
      </c>
      <c r="R366" s="35">
        <v>7754.0</v>
      </c>
      <c r="S366" s="35">
        <v>3.0</v>
      </c>
      <c r="T366" s="35">
        <v>1004.0</v>
      </c>
      <c r="U366" s="35">
        <v>178.0</v>
      </c>
      <c r="V366" s="35">
        <v>179.0</v>
      </c>
      <c r="W366" s="35">
        <v>30.0</v>
      </c>
      <c r="X366" s="35">
        <v>20.0</v>
      </c>
      <c r="Y366" s="35">
        <v>5.0</v>
      </c>
      <c r="Z366" s="35">
        <v>2540.0</v>
      </c>
      <c r="AA366" s="35">
        <v>8711.0</v>
      </c>
      <c r="AB366" s="35">
        <v>2981.0</v>
      </c>
      <c r="AC366" s="35">
        <v>11692.0</v>
      </c>
      <c r="AD366" s="35">
        <v>245366.0</v>
      </c>
      <c r="AE366" s="35">
        <v>8711.0</v>
      </c>
      <c r="AF366" s="35">
        <v>174056.0</v>
      </c>
      <c r="AG366" s="35">
        <v>2981.0</v>
      </c>
      <c r="AH366" s="35">
        <v>71312.0</v>
      </c>
    </row>
    <row r="367" ht="14.25" customHeight="1">
      <c r="A367" s="34">
        <v>44253.0</v>
      </c>
      <c r="B367" s="35">
        <v>433.0</v>
      </c>
      <c r="C367" s="35">
        <v>483.0</v>
      </c>
      <c r="D367" s="35">
        <v>150225.0</v>
      </c>
      <c r="E367" s="35">
        <v>18585.0</v>
      </c>
      <c r="F367" s="35">
        <v>2841558.0</v>
      </c>
      <c r="G367" s="35">
        <v>19018.0</v>
      </c>
      <c r="H367" s="35">
        <v>2991783.0</v>
      </c>
      <c r="I367" s="35">
        <v>377.0</v>
      </c>
      <c r="J367" s="35">
        <v>422.0</v>
      </c>
      <c r="K367" s="35">
        <v>126366.0</v>
      </c>
      <c r="L367" s="35">
        <v>1584.0</v>
      </c>
      <c r="M367" s="35">
        <v>661592.0</v>
      </c>
      <c r="N367" s="35">
        <v>787958.0</v>
      </c>
      <c r="O367" s="35">
        <v>26.0</v>
      </c>
      <c r="P367" s="35">
        <v>8962.0</v>
      </c>
      <c r="Q367" s="35">
        <v>24.0</v>
      </c>
      <c r="R367" s="35">
        <v>7778.0</v>
      </c>
      <c r="S367" s="35">
        <v>1.0</v>
      </c>
      <c r="T367" s="35">
        <v>1005.0</v>
      </c>
      <c r="U367" s="35">
        <v>179.0</v>
      </c>
      <c r="V367" s="35">
        <v>180.0</v>
      </c>
      <c r="W367" s="35">
        <v>30.0</v>
      </c>
      <c r="X367" s="35">
        <v>21.0</v>
      </c>
      <c r="Y367" s="35">
        <v>0.0</v>
      </c>
      <c r="Z367" s="35">
        <v>2540.0</v>
      </c>
      <c r="AA367" s="35">
        <v>8431.0</v>
      </c>
      <c r="AB367" s="35">
        <v>2644.0</v>
      </c>
      <c r="AC367" s="35">
        <v>11075.0</v>
      </c>
      <c r="AD367" s="35">
        <v>256441.0</v>
      </c>
      <c r="AE367" s="35">
        <v>8431.0</v>
      </c>
      <c r="AF367" s="35">
        <v>182487.0</v>
      </c>
      <c r="AG367" s="35">
        <v>2644.0</v>
      </c>
      <c r="AH367" s="35">
        <v>73956.0</v>
      </c>
    </row>
    <row r="368" ht="14.25" customHeight="1">
      <c r="A368" s="34">
        <v>44254.0</v>
      </c>
      <c r="B368" s="35">
        <v>384.0</v>
      </c>
      <c r="C368" s="35">
        <v>448.0</v>
      </c>
      <c r="D368" s="35">
        <v>150609.0</v>
      </c>
      <c r="E368" s="35">
        <v>14920.0</v>
      </c>
      <c r="F368" s="35">
        <v>2856478.0</v>
      </c>
      <c r="G368" s="35">
        <v>15304.0</v>
      </c>
      <c r="H368" s="35">
        <v>3007087.0</v>
      </c>
      <c r="I368" s="35">
        <v>356.0</v>
      </c>
      <c r="J368" s="35">
        <v>399.0</v>
      </c>
      <c r="K368" s="35">
        <v>126722.0</v>
      </c>
      <c r="L368" s="35">
        <v>1626.0</v>
      </c>
      <c r="M368" s="35">
        <v>663218.0</v>
      </c>
      <c r="N368" s="35">
        <v>789940.0</v>
      </c>
      <c r="O368" s="35">
        <v>14.0</v>
      </c>
      <c r="P368" s="35">
        <v>8976.0</v>
      </c>
      <c r="Q368" s="35">
        <v>13.0</v>
      </c>
      <c r="R368" s="35">
        <v>7791.0</v>
      </c>
      <c r="S368" s="35">
        <v>1.0</v>
      </c>
      <c r="T368" s="35">
        <v>1006.0</v>
      </c>
      <c r="U368" s="35">
        <v>179.0</v>
      </c>
      <c r="V368" s="35">
        <v>179.0</v>
      </c>
      <c r="W368" s="35">
        <v>30.0</v>
      </c>
      <c r="X368" s="35">
        <v>21.0</v>
      </c>
      <c r="Y368" s="35">
        <v>4.0</v>
      </c>
      <c r="Z368" s="35">
        <v>2544.0</v>
      </c>
      <c r="AA368" s="35">
        <v>8510.0</v>
      </c>
      <c r="AB368" s="35">
        <v>3735.0</v>
      </c>
      <c r="AC368" s="35">
        <v>12245.0</v>
      </c>
      <c r="AD368" s="35">
        <v>268686.0</v>
      </c>
      <c r="AE368" s="35">
        <v>8510.0</v>
      </c>
      <c r="AF368" s="35">
        <v>190997.0</v>
      </c>
      <c r="AG368" s="35">
        <v>3735.0</v>
      </c>
      <c r="AH368" s="35">
        <v>77691.0</v>
      </c>
    </row>
    <row r="369" ht="14.25" customHeight="1">
      <c r="A369" s="34">
        <v>44255.0</v>
      </c>
      <c r="B369" s="35">
        <v>193.0</v>
      </c>
      <c r="C369" s="35">
        <v>337.0</v>
      </c>
      <c r="D369" s="35">
        <v>150802.0</v>
      </c>
      <c r="E369" s="35">
        <v>6184.0</v>
      </c>
      <c r="F369" s="35">
        <v>2862662.0</v>
      </c>
      <c r="G369" s="35">
        <v>6377.0</v>
      </c>
      <c r="H369" s="35">
        <v>3013464.0</v>
      </c>
      <c r="I369" s="35">
        <v>172.0</v>
      </c>
      <c r="J369" s="35">
        <v>302.0</v>
      </c>
      <c r="K369" s="35">
        <v>126894.0</v>
      </c>
      <c r="L369" s="35">
        <v>724.0</v>
      </c>
      <c r="M369" s="35">
        <v>663942.0</v>
      </c>
      <c r="N369" s="35">
        <v>790836.0</v>
      </c>
      <c r="O369" s="35">
        <v>8.0</v>
      </c>
      <c r="P369" s="35">
        <v>8984.0</v>
      </c>
      <c r="Q369" s="35">
        <v>9.0</v>
      </c>
      <c r="R369" s="35">
        <v>7800.0</v>
      </c>
      <c r="S369" s="35">
        <v>2.0</v>
      </c>
      <c r="T369" s="35">
        <v>1008.0</v>
      </c>
      <c r="U369" s="35">
        <v>176.0</v>
      </c>
      <c r="V369" s="35">
        <v>178.0</v>
      </c>
      <c r="W369" s="35">
        <v>28.0</v>
      </c>
      <c r="X369" s="35">
        <v>19.0</v>
      </c>
      <c r="Y369" s="35">
        <v>3.0</v>
      </c>
      <c r="Z369" s="35">
        <v>2547.0</v>
      </c>
      <c r="AA369" s="35">
        <v>2517.0</v>
      </c>
      <c r="AB369" s="35">
        <v>1351.0</v>
      </c>
      <c r="AC369" s="35">
        <v>3868.0</v>
      </c>
      <c r="AD369" s="35">
        <v>272554.0</v>
      </c>
      <c r="AE369" s="35">
        <v>2517.0</v>
      </c>
      <c r="AF369" s="35">
        <v>193514.0</v>
      </c>
      <c r="AG369" s="35">
        <v>1351.0</v>
      </c>
      <c r="AH369" s="35">
        <v>79042.0</v>
      </c>
    </row>
    <row r="370" ht="14.25" customHeight="1">
      <c r="A370" s="34">
        <v>44256.0</v>
      </c>
      <c r="B370" s="35">
        <v>360.0</v>
      </c>
      <c r="C370" s="35">
        <v>312.0</v>
      </c>
      <c r="D370" s="35">
        <v>151162.0</v>
      </c>
      <c r="E370" s="35">
        <v>11466.0</v>
      </c>
      <c r="F370" s="35">
        <v>2874128.0</v>
      </c>
      <c r="G370" s="35">
        <v>11826.0</v>
      </c>
      <c r="H370" s="35">
        <v>3025290.0</v>
      </c>
      <c r="I370" s="35">
        <v>322.0</v>
      </c>
      <c r="J370" s="35">
        <v>283.0</v>
      </c>
      <c r="K370" s="35">
        <v>127216.0</v>
      </c>
      <c r="L370" s="35">
        <v>1383.0</v>
      </c>
      <c r="M370" s="35">
        <v>665325.0</v>
      </c>
      <c r="N370" s="35">
        <v>792541.0</v>
      </c>
      <c r="O370" s="35">
        <v>15.0</v>
      </c>
      <c r="P370" s="35">
        <v>8999.0</v>
      </c>
      <c r="Q370" s="35">
        <v>21.0</v>
      </c>
      <c r="R370" s="35">
        <v>7821.0</v>
      </c>
      <c r="S370" s="35">
        <v>4.0</v>
      </c>
      <c r="T370" s="35">
        <v>1012.0</v>
      </c>
      <c r="U370" s="35">
        <v>166.0</v>
      </c>
      <c r="V370" s="35">
        <v>174.0</v>
      </c>
      <c r="W370" s="35">
        <v>27.0</v>
      </c>
      <c r="X370" s="35">
        <v>17.0</v>
      </c>
      <c r="Y370" s="35">
        <v>6.0</v>
      </c>
      <c r="Z370" s="35">
        <v>2553.0</v>
      </c>
      <c r="AA370" s="35">
        <v>4813.0</v>
      </c>
      <c r="AB370" s="35">
        <v>1485.0</v>
      </c>
      <c r="AC370" s="35">
        <v>6298.0</v>
      </c>
      <c r="AD370" s="35">
        <v>278852.0</v>
      </c>
      <c r="AE370" s="35">
        <v>4813.0</v>
      </c>
      <c r="AF370" s="35">
        <v>198327.0</v>
      </c>
      <c r="AG370" s="35">
        <v>1485.0</v>
      </c>
      <c r="AH370" s="35">
        <v>80527.0</v>
      </c>
    </row>
    <row r="371" ht="14.25" customHeight="1">
      <c r="A371" s="34">
        <v>44257.0</v>
      </c>
      <c r="B371" s="35">
        <v>481.0</v>
      </c>
      <c r="C371" s="35">
        <v>345.0</v>
      </c>
      <c r="D371" s="35">
        <v>151643.0</v>
      </c>
      <c r="E371" s="35">
        <v>20958.0</v>
      </c>
      <c r="F371" s="35">
        <v>2895086.0</v>
      </c>
      <c r="G371" s="35">
        <v>21439.0</v>
      </c>
      <c r="H371" s="35">
        <v>3046729.0</v>
      </c>
      <c r="I371" s="35">
        <v>430.0</v>
      </c>
      <c r="J371" s="35">
        <v>308.0</v>
      </c>
      <c r="K371" s="35">
        <v>127646.0</v>
      </c>
      <c r="L371" s="35">
        <v>1703.0</v>
      </c>
      <c r="M371" s="35">
        <v>667028.0</v>
      </c>
      <c r="N371" s="35">
        <v>794674.0</v>
      </c>
      <c r="O371" s="35">
        <v>23.0</v>
      </c>
      <c r="P371" s="35">
        <v>9022.0</v>
      </c>
      <c r="Q371" s="35">
        <v>23.0</v>
      </c>
      <c r="R371" s="35">
        <v>7844.0</v>
      </c>
      <c r="S371" s="35">
        <v>0.0</v>
      </c>
      <c r="T371" s="35">
        <v>1012.0</v>
      </c>
      <c r="U371" s="35">
        <v>166.0</v>
      </c>
      <c r="V371" s="35">
        <v>169.0</v>
      </c>
      <c r="W371" s="35">
        <v>28.0</v>
      </c>
      <c r="X371" s="35">
        <v>18.0</v>
      </c>
      <c r="Y371" s="35">
        <v>0.0</v>
      </c>
      <c r="Z371" s="35">
        <v>2553.0</v>
      </c>
      <c r="AA371" s="35">
        <v>6219.0</v>
      </c>
      <c r="AB371" s="35">
        <v>1360.0</v>
      </c>
      <c r="AC371" s="35">
        <v>7579.0</v>
      </c>
      <c r="AD371" s="35">
        <v>286431.0</v>
      </c>
      <c r="AE371" s="35">
        <v>6219.0</v>
      </c>
      <c r="AF371" s="35">
        <v>204546.0</v>
      </c>
      <c r="AG371" s="35">
        <v>1360.0</v>
      </c>
      <c r="AH371" s="35">
        <v>81887.0</v>
      </c>
    </row>
    <row r="372" ht="14.25" customHeight="1">
      <c r="A372" s="34">
        <v>44258.0</v>
      </c>
      <c r="B372" s="35">
        <v>474.0</v>
      </c>
      <c r="C372" s="35">
        <v>438.0</v>
      </c>
      <c r="D372" s="35">
        <v>152117.0</v>
      </c>
      <c r="E372" s="35">
        <v>24084.0</v>
      </c>
      <c r="F372" s="35">
        <v>2919170.0</v>
      </c>
      <c r="G372" s="35">
        <v>24558.0</v>
      </c>
      <c r="H372" s="35">
        <v>3071287.0</v>
      </c>
      <c r="I372" s="35">
        <v>427.0</v>
      </c>
      <c r="J372" s="35">
        <v>393.0</v>
      </c>
      <c r="K372" s="35">
        <v>128073.0</v>
      </c>
      <c r="L372" s="35">
        <v>1827.0</v>
      </c>
      <c r="M372" s="35">
        <v>668855.0</v>
      </c>
      <c r="N372" s="35">
        <v>796928.0</v>
      </c>
      <c r="O372" s="35">
        <v>16.0</v>
      </c>
      <c r="P372" s="35">
        <v>9038.0</v>
      </c>
      <c r="Q372" s="35">
        <v>23.0</v>
      </c>
      <c r="R372" s="35">
        <v>7867.0</v>
      </c>
      <c r="S372" s="35">
        <v>2.0</v>
      </c>
      <c r="T372" s="35">
        <v>1014.0</v>
      </c>
      <c r="U372" s="35">
        <v>157.0</v>
      </c>
      <c r="V372" s="35">
        <v>163.0</v>
      </c>
      <c r="W372" s="35">
        <v>29.0</v>
      </c>
      <c r="X372" s="35">
        <v>17.0</v>
      </c>
      <c r="Y372" s="35">
        <v>3.0</v>
      </c>
      <c r="Z372" s="35">
        <v>2556.0</v>
      </c>
      <c r="AA372" s="35">
        <v>7625.0</v>
      </c>
      <c r="AB372" s="35">
        <v>3147.0</v>
      </c>
      <c r="AC372" s="35">
        <v>10772.0</v>
      </c>
      <c r="AD372" s="35">
        <v>297203.0</v>
      </c>
      <c r="AE372" s="35">
        <v>7625.0</v>
      </c>
      <c r="AF372" s="35">
        <v>212171.0</v>
      </c>
      <c r="AG372" s="35">
        <v>3147.0</v>
      </c>
      <c r="AH372" s="35">
        <v>85034.0</v>
      </c>
    </row>
    <row r="373" ht="14.25" customHeight="1">
      <c r="A373" s="34">
        <v>44259.0</v>
      </c>
      <c r="B373" s="35">
        <v>429.0</v>
      </c>
      <c r="C373" s="35">
        <v>461.0</v>
      </c>
      <c r="D373" s="35">
        <v>152546.0</v>
      </c>
      <c r="E373" s="35">
        <v>20740.0</v>
      </c>
      <c r="F373" s="35">
        <v>2939910.0</v>
      </c>
      <c r="G373" s="35">
        <v>21169.0</v>
      </c>
      <c r="H373" s="35">
        <v>3092456.0</v>
      </c>
      <c r="I373" s="35">
        <v>384.0</v>
      </c>
      <c r="J373" s="35">
        <v>414.0</v>
      </c>
      <c r="K373" s="35">
        <v>128457.0</v>
      </c>
      <c r="L373" s="35">
        <v>1725.0</v>
      </c>
      <c r="M373" s="35">
        <v>670580.0</v>
      </c>
      <c r="N373" s="35">
        <v>799037.0</v>
      </c>
      <c r="O373" s="39">
        <v>22.0</v>
      </c>
      <c r="P373" s="39">
        <v>9060.0</v>
      </c>
      <c r="Q373" s="39">
        <v>29.0</v>
      </c>
      <c r="R373" s="39">
        <v>7896.0</v>
      </c>
      <c r="S373" s="39">
        <v>2.0</v>
      </c>
      <c r="T373" s="39">
        <v>1016.0</v>
      </c>
      <c r="U373" s="39">
        <v>148.0</v>
      </c>
      <c r="V373" s="39">
        <v>157.0</v>
      </c>
      <c r="W373" s="39">
        <v>27.0</v>
      </c>
      <c r="X373" s="39">
        <v>17.0</v>
      </c>
      <c r="Y373" s="35">
        <v>2.0</v>
      </c>
      <c r="Z373" s="35">
        <v>2558.0</v>
      </c>
      <c r="AA373" s="35">
        <v>6756.0</v>
      </c>
      <c r="AB373" s="35">
        <v>2824.0</v>
      </c>
      <c r="AC373" s="35">
        <v>9580.0</v>
      </c>
      <c r="AD373" s="35">
        <v>306783.0</v>
      </c>
      <c r="AE373" s="35">
        <v>6756.0</v>
      </c>
      <c r="AF373" s="35">
        <v>218927.0</v>
      </c>
      <c r="AG373" s="35">
        <v>2824.0</v>
      </c>
      <c r="AH373" s="35">
        <v>87858.0</v>
      </c>
    </row>
    <row r="374" ht="14.25" customHeight="1">
      <c r="A374" s="34">
        <v>44260.0</v>
      </c>
      <c r="B374" s="35">
        <v>424.0</v>
      </c>
      <c r="C374" s="35">
        <v>442.0</v>
      </c>
      <c r="D374" s="35">
        <v>152970.0</v>
      </c>
      <c r="E374" s="35">
        <v>18659.0</v>
      </c>
      <c r="F374" s="35">
        <v>2958569.0</v>
      </c>
      <c r="G374" s="35">
        <v>19083.0</v>
      </c>
      <c r="H374" s="35">
        <v>3111539.0</v>
      </c>
      <c r="I374" s="35">
        <v>357.0</v>
      </c>
      <c r="J374" s="35">
        <v>389.0</v>
      </c>
      <c r="K374" s="35">
        <v>128814.0</v>
      </c>
      <c r="L374" s="35">
        <v>1861.0</v>
      </c>
      <c r="M374" s="35">
        <v>672441.0</v>
      </c>
      <c r="N374" s="35">
        <v>801255.0</v>
      </c>
      <c r="O374" s="39">
        <v>19.0</v>
      </c>
      <c r="P374" s="39">
        <v>9079.0</v>
      </c>
      <c r="Q374" s="39">
        <v>18.0</v>
      </c>
      <c r="R374" s="39">
        <v>7914.0</v>
      </c>
      <c r="S374" s="39">
        <v>2.0</v>
      </c>
      <c r="T374" s="39">
        <v>1018.0</v>
      </c>
      <c r="U374" s="39">
        <v>147.0</v>
      </c>
      <c r="V374" s="39">
        <v>151.0</v>
      </c>
      <c r="W374" s="39">
        <v>26.0</v>
      </c>
      <c r="X374" s="39">
        <v>17.0</v>
      </c>
      <c r="Y374" s="35">
        <v>3.0</v>
      </c>
      <c r="Z374" s="35">
        <v>2561.0</v>
      </c>
      <c r="AA374" s="35">
        <v>6323.0</v>
      </c>
      <c r="AB374" s="35">
        <v>2844.0</v>
      </c>
      <c r="AC374" s="35">
        <v>9167.0</v>
      </c>
      <c r="AD374" s="35">
        <v>315950.0</v>
      </c>
      <c r="AE374" s="35">
        <v>6323.0</v>
      </c>
      <c r="AF374" s="35">
        <v>225250.0</v>
      </c>
      <c r="AG374" s="35">
        <v>2844.0</v>
      </c>
      <c r="AH374" s="35">
        <v>90702.0</v>
      </c>
    </row>
    <row r="375" ht="14.25" customHeight="1">
      <c r="A375" s="34">
        <v>44261.0</v>
      </c>
      <c r="B375" s="35">
        <v>299.0</v>
      </c>
      <c r="C375" s="35">
        <v>384.0</v>
      </c>
      <c r="D375" s="35">
        <v>153269.0</v>
      </c>
      <c r="E375" s="35">
        <v>13482.0</v>
      </c>
      <c r="F375" s="35">
        <v>2972051.0</v>
      </c>
      <c r="G375" s="35">
        <v>13781.0</v>
      </c>
      <c r="H375" s="35">
        <v>3125320.0</v>
      </c>
      <c r="I375" s="35">
        <v>247.0</v>
      </c>
      <c r="J375" s="35">
        <v>329.0</v>
      </c>
      <c r="K375" s="35">
        <v>129061.0</v>
      </c>
      <c r="L375" s="35">
        <v>1450.0</v>
      </c>
      <c r="M375" s="35">
        <v>673891.0</v>
      </c>
      <c r="N375" s="35">
        <v>802952.0</v>
      </c>
      <c r="O375" s="39">
        <v>17.0</v>
      </c>
      <c r="P375" s="39">
        <v>9096.0</v>
      </c>
      <c r="Q375" s="39">
        <v>16.0</v>
      </c>
      <c r="R375" s="39">
        <v>7930.0</v>
      </c>
      <c r="S375" s="39">
        <v>1.0</v>
      </c>
      <c r="T375" s="39">
        <v>1019.0</v>
      </c>
      <c r="U375" s="39">
        <v>147.0</v>
      </c>
      <c r="V375" s="39">
        <v>147.0</v>
      </c>
      <c r="W375" s="39">
        <v>24.0</v>
      </c>
      <c r="X375" s="39">
        <v>19.0</v>
      </c>
      <c r="Y375" s="35">
        <v>1.0</v>
      </c>
      <c r="Z375" s="35">
        <v>2562.0</v>
      </c>
      <c r="AA375" s="35">
        <v>7759.0</v>
      </c>
      <c r="AB375" s="35">
        <v>2355.0</v>
      </c>
      <c r="AC375" s="35">
        <v>10114.0</v>
      </c>
      <c r="AD375" s="35">
        <v>326064.0</v>
      </c>
      <c r="AE375" s="35">
        <v>7759.0</v>
      </c>
      <c r="AF375" s="35">
        <v>233009.0</v>
      </c>
      <c r="AG375" s="35">
        <v>2746.0</v>
      </c>
      <c r="AH375" s="35">
        <v>93448.0</v>
      </c>
    </row>
    <row r="376" ht="14.25" customHeight="1">
      <c r="A376" s="34">
        <v>44262.0</v>
      </c>
      <c r="B376" s="35">
        <v>244.0</v>
      </c>
      <c r="C376" s="35">
        <v>322.0</v>
      </c>
      <c r="D376" s="35">
        <v>153513.0</v>
      </c>
      <c r="E376" s="35">
        <v>5096.0</v>
      </c>
      <c r="F376" s="35">
        <v>2977147.0</v>
      </c>
      <c r="G376" s="35">
        <v>5340.0</v>
      </c>
      <c r="H376" s="35">
        <v>3130660.0</v>
      </c>
      <c r="I376" s="35">
        <v>202.0</v>
      </c>
      <c r="J376" s="35">
        <v>269.0</v>
      </c>
      <c r="K376" s="35">
        <v>129263.0</v>
      </c>
      <c r="L376" s="35">
        <v>679.0</v>
      </c>
      <c r="M376" s="35">
        <v>674570.0</v>
      </c>
      <c r="N376" s="35">
        <v>803833.0</v>
      </c>
      <c r="O376" s="39">
        <v>13.0</v>
      </c>
      <c r="P376" s="39">
        <v>9109.0</v>
      </c>
      <c r="Q376" s="39">
        <v>6.0</v>
      </c>
      <c r="R376" s="39">
        <v>7936.0</v>
      </c>
      <c r="S376" s="39">
        <v>0.0</v>
      </c>
      <c r="T376" s="39">
        <v>1019.0</v>
      </c>
      <c r="U376" s="39">
        <v>154.0</v>
      </c>
      <c r="V376" s="39">
        <v>149.0</v>
      </c>
      <c r="W376" s="39">
        <v>23.0</v>
      </c>
      <c r="X376" s="39">
        <v>17.0</v>
      </c>
      <c r="Y376" s="35">
        <v>4.0</v>
      </c>
      <c r="Z376" s="35">
        <v>2566.0</v>
      </c>
      <c r="AA376" s="35">
        <v>3030.0</v>
      </c>
      <c r="AB376" s="35">
        <v>435.0</v>
      </c>
      <c r="AC376" s="35">
        <v>3465.0</v>
      </c>
      <c r="AD376" s="35">
        <v>329529.0</v>
      </c>
      <c r="AE376" s="35">
        <v>3030.0</v>
      </c>
      <c r="AF376" s="35">
        <v>236039.0</v>
      </c>
      <c r="AG376" s="35">
        <v>816.0</v>
      </c>
      <c r="AH376" s="35">
        <v>94264.0</v>
      </c>
    </row>
    <row r="377" ht="14.25" customHeight="1">
      <c r="A377" s="34">
        <v>44263.0</v>
      </c>
      <c r="B377" s="35">
        <v>368.0</v>
      </c>
      <c r="C377" s="35">
        <v>304.0</v>
      </c>
      <c r="D377" s="35">
        <v>153881.0</v>
      </c>
      <c r="E377" s="35">
        <v>12281.0</v>
      </c>
      <c r="F377" s="35">
        <v>2989428.0</v>
      </c>
      <c r="G377" s="35">
        <v>12649.0</v>
      </c>
      <c r="H377" s="35">
        <v>3143309.0</v>
      </c>
      <c r="I377" s="35">
        <v>307.0</v>
      </c>
      <c r="J377" s="35">
        <v>252.0</v>
      </c>
      <c r="K377" s="35">
        <v>129570.0</v>
      </c>
      <c r="L377" s="35">
        <v>1435.0</v>
      </c>
      <c r="M377" s="35">
        <v>676005.0</v>
      </c>
      <c r="N377" s="35">
        <v>805575.0</v>
      </c>
      <c r="O377" s="39">
        <v>25.0</v>
      </c>
      <c r="P377" s="39">
        <v>9134.0</v>
      </c>
      <c r="Q377" s="39">
        <v>22.0</v>
      </c>
      <c r="R377" s="39">
        <v>7958.0</v>
      </c>
      <c r="S377" s="39">
        <v>1.0</v>
      </c>
      <c r="T377" s="39">
        <v>1020.0</v>
      </c>
      <c r="U377" s="39">
        <v>156.0</v>
      </c>
      <c r="V377" s="39">
        <v>152.0</v>
      </c>
      <c r="W377" s="39">
        <v>24.0</v>
      </c>
      <c r="X377" s="39">
        <v>17.0</v>
      </c>
      <c r="Y377" s="35">
        <v>1.0</v>
      </c>
      <c r="Z377" s="35">
        <v>2567.0</v>
      </c>
      <c r="AA377" s="35">
        <v>4587.0</v>
      </c>
      <c r="AB377" s="35">
        <v>1636.0</v>
      </c>
      <c r="AC377" s="35">
        <v>6223.0</v>
      </c>
      <c r="AD377" s="35">
        <v>335752.0</v>
      </c>
      <c r="AE377" s="35">
        <v>4587.0</v>
      </c>
      <c r="AF377" s="35">
        <v>240626.0</v>
      </c>
      <c r="AG377" s="35">
        <v>2137.0</v>
      </c>
      <c r="AH377" s="35">
        <v>96401.0</v>
      </c>
    </row>
    <row r="378" ht="14.25" customHeight="1">
      <c r="A378" s="34">
        <v>44264.0</v>
      </c>
      <c r="B378" s="35">
        <v>427.0</v>
      </c>
      <c r="C378" s="35">
        <v>346.0</v>
      </c>
      <c r="D378" s="35">
        <v>154308.0</v>
      </c>
      <c r="E378" s="35">
        <v>19751.0</v>
      </c>
      <c r="F378" s="35">
        <v>3009179.0</v>
      </c>
      <c r="G378" s="35">
        <v>20178.0</v>
      </c>
      <c r="H378" s="35">
        <v>3163487.0</v>
      </c>
      <c r="I378" s="35">
        <v>380.0</v>
      </c>
      <c r="J378" s="35">
        <v>296.0</v>
      </c>
      <c r="K378" s="35">
        <v>129950.0</v>
      </c>
      <c r="L378" s="35">
        <v>1854.0</v>
      </c>
      <c r="M378" s="35">
        <v>677859.0</v>
      </c>
      <c r="N378" s="35">
        <v>807809.0</v>
      </c>
      <c r="O378" s="39">
        <v>24.0</v>
      </c>
      <c r="P378" s="39">
        <v>9158.0</v>
      </c>
      <c r="Q378" s="39">
        <v>24.0</v>
      </c>
      <c r="R378" s="39">
        <v>7982.0</v>
      </c>
      <c r="S378" s="39">
        <v>2.0</v>
      </c>
      <c r="T378" s="39">
        <v>1022.0</v>
      </c>
      <c r="U378" s="39">
        <v>154.0</v>
      </c>
      <c r="V378" s="39">
        <v>155.0</v>
      </c>
      <c r="W378" s="39">
        <v>27.0</v>
      </c>
      <c r="X378" s="39">
        <v>17.0</v>
      </c>
      <c r="Y378" s="35">
        <v>2.0</v>
      </c>
      <c r="Z378" s="35">
        <v>2569.0</v>
      </c>
      <c r="AA378" s="35">
        <v>5127.0</v>
      </c>
      <c r="AB378" s="35">
        <v>2471.0</v>
      </c>
      <c r="AC378" s="35">
        <v>7598.0</v>
      </c>
      <c r="AD378" s="35">
        <v>343350.0</v>
      </c>
      <c r="AE378" s="35">
        <v>5127.0</v>
      </c>
      <c r="AF378" s="35">
        <v>245753.0</v>
      </c>
      <c r="AG378" s="35">
        <v>3255.0</v>
      </c>
      <c r="AH378" s="35">
        <v>99656.0</v>
      </c>
    </row>
    <row r="379" ht="14.25" customHeight="1">
      <c r="A379" s="34">
        <v>44265.0</v>
      </c>
      <c r="B379" s="35">
        <v>538.0</v>
      </c>
      <c r="C379" s="35">
        <v>444.0</v>
      </c>
      <c r="D379" s="35">
        <v>154846.0</v>
      </c>
      <c r="E379" s="35">
        <v>25658.0</v>
      </c>
      <c r="F379" s="35">
        <v>3034837.0</v>
      </c>
      <c r="G379" s="35">
        <v>26196.0</v>
      </c>
      <c r="H379" s="35">
        <v>3189683.0</v>
      </c>
      <c r="I379" s="35">
        <v>481.0</v>
      </c>
      <c r="J379" s="35">
        <v>389.0</v>
      </c>
      <c r="K379" s="35">
        <v>130431.0</v>
      </c>
      <c r="L379" s="35">
        <v>2059.0</v>
      </c>
      <c r="M379" s="35">
        <v>679918.0</v>
      </c>
      <c r="N379" s="35">
        <v>810349.0</v>
      </c>
      <c r="O379" s="39">
        <v>19.0</v>
      </c>
      <c r="P379" s="39">
        <v>9177.0</v>
      </c>
      <c r="Q379" s="39">
        <v>26.0</v>
      </c>
      <c r="R379" s="39">
        <v>8008.0</v>
      </c>
      <c r="S379" s="39">
        <v>0.0</v>
      </c>
      <c r="T379" s="39">
        <v>1022.0</v>
      </c>
      <c r="U379" s="39">
        <v>147.0</v>
      </c>
      <c r="V379" s="39">
        <v>152.0</v>
      </c>
      <c r="W379" s="39">
        <v>25.0</v>
      </c>
      <c r="X379" s="39">
        <v>18.0</v>
      </c>
      <c r="Y379" s="35">
        <v>6.0</v>
      </c>
      <c r="Z379" s="35">
        <v>2575.0</v>
      </c>
      <c r="AA379" s="35">
        <v>5722.0</v>
      </c>
      <c r="AB379" s="35">
        <v>2666.0</v>
      </c>
      <c r="AC379" s="35">
        <v>8388.0</v>
      </c>
      <c r="AD379" s="35">
        <v>351738.0</v>
      </c>
      <c r="AE379" s="35">
        <v>5722.0</v>
      </c>
      <c r="AF379" s="35">
        <v>251475.0</v>
      </c>
      <c r="AG379" s="35">
        <v>3236.0</v>
      </c>
      <c r="AH379" s="35">
        <v>102892.0</v>
      </c>
    </row>
    <row r="380" ht="14.25" customHeight="1">
      <c r="A380" s="34">
        <v>44266.0</v>
      </c>
      <c r="B380" s="35">
        <v>415.0</v>
      </c>
      <c r="C380" s="35">
        <v>460.0</v>
      </c>
      <c r="D380" s="35">
        <v>155261.0</v>
      </c>
      <c r="E380" s="35">
        <v>21023.0</v>
      </c>
      <c r="F380" s="35">
        <v>3055860.0</v>
      </c>
      <c r="G380" s="35">
        <v>21438.0</v>
      </c>
      <c r="H380" s="35">
        <v>3211121.0</v>
      </c>
      <c r="I380" s="35">
        <v>366.0</v>
      </c>
      <c r="J380" s="35">
        <v>409.0</v>
      </c>
      <c r="K380" s="35">
        <v>130797.0</v>
      </c>
      <c r="L380" s="35">
        <v>2099.0</v>
      </c>
      <c r="M380" s="35">
        <v>682017.0</v>
      </c>
      <c r="N380" s="35">
        <v>812814.0</v>
      </c>
      <c r="O380" s="39">
        <v>21.0</v>
      </c>
      <c r="P380" s="39">
        <v>9198.0</v>
      </c>
      <c r="Q380" s="39">
        <v>15.0</v>
      </c>
      <c r="R380" s="39">
        <v>8023.0</v>
      </c>
      <c r="S380" s="39">
        <v>3.0</v>
      </c>
      <c r="T380" s="39">
        <v>1025.0</v>
      </c>
      <c r="U380" s="39">
        <v>150.0</v>
      </c>
      <c r="V380" s="39">
        <v>150.0</v>
      </c>
      <c r="W380" s="39">
        <v>25.0</v>
      </c>
      <c r="X380" s="39">
        <v>16.0</v>
      </c>
      <c r="Y380" s="35">
        <v>3.0</v>
      </c>
      <c r="Z380" s="35">
        <v>2578.0</v>
      </c>
      <c r="AA380" s="35">
        <v>7210.0</v>
      </c>
      <c r="AB380" s="35">
        <v>3102.0</v>
      </c>
      <c r="AC380" s="35">
        <v>10312.0</v>
      </c>
      <c r="AD380" s="35">
        <v>362050.0</v>
      </c>
      <c r="AE380" s="35">
        <v>7210.0</v>
      </c>
      <c r="AF380" s="35">
        <v>258685.0</v>
      </c>
      <c r="AG380" s="35">
        <v>4586.0</v>
      </c>
      <c r="AH380" s="35">
        <v>107478.0</v>
      </c>
    </row>
    <row r="381" ht="14.25" customHeight="1">
      <c r="A381" s="34">
        <v>44267.0</v>
      </c>
      <c r="B381" s="35">
        <v>428.0</v>
      </c>
      <c r="C381" s="35">
        <v>460.0</v>
      </c>
      <c r="D381" s="35">
        <v>155689.0</v>
      </c>
      <c r="E381" s="35">
        <v>18121.0</v>
      </c>
      <c r="F381" s="35">
        <v>3073981.0</v>
      </c>
      <c r="G381" s="35">
        <v>18549.0</v>
      </c>
      <c r="H381" s="35">
        <v>3229670.0</v>
      </c>
      <c r="I381" s="35">
        <v>365.0</v>
      </c>
      <c r="J381" s="35">
        <v>404.0</v>
      </c>
      <c r="K381" s="35">
        <v>131162.0</v>
      </c>
      <c r="L381" s="35">
        <v>1907.0</v>
      </c>
      <c r="M381" s="35">
        <v>683924.0</v>
      </c>
      <c r="N381" s="35">
        <v>815086.0</v>
      </c>
      <c r="O381" s="39">
        <v>25.0</v>
      </c>
      <c r="P381" s="39">
        <v>9223.0</v>
      </c>
      <c r="Q381" s="39">
        <v>28.0</v>
      </c>
      <c r="R381" s="39">
        <v>8051.0</v>
      </c>
      <c r="S381" s="39">
        <v>0.0</v>
      </c>
      <c r="T381" s="39">
        <v>1025.0</v>
      </c>
      <c r="U381" s="39">
        <v>147.0</v>
      </c>
      <c r="V381" s="39">
        <v>148.0</v>
      </c>
      <c r="W381" s="39">
        <v>24.0</v>
      </c>
      <c r="X381" s="39">
        <v>15.0</v>
      </c>
      <c r="Y381" s="35">
        <v>1.0</v>
      </c>
      <c r="Z381" s="35">
        <v>2579.0</v>
      </c>
      <c r="AA381" s="35">
        <v>8498.0</v>
      </c>
      <c r="AB381" s="35">
        <v>3198.0</v>
      </c>
      <c r="AC381" s="35">
        <v>11696.0</v>
      </c>
      <c r="AD381" s="35">
        <v>373746.0</v>
      </c>
      <c r="AE381" s="35">
        <v>8498.0</v>
      </c>
      <c r="AF381" s="35">
        <v>267183.0</v>
      </c>
      <c r="AG381" s="35">
        <v>3867.0</v>
      </c>
      <c r="AH381" s="35">
        <v>111345.0</v>
      </c>
    </row>
    <row r="382" ht="14.25" customHeight="1">
      <c r="A382" s="34">
        <v>44268.0</v>
      </c>
      <c r="B382" s="35">
        <v>357.0</v>
      </c>
      <c r="C382" s="35">
        <v>400.0</v>
      </c>
      <c r="D382" s="35">
        <v>156046.0</v>
      </c>
      <c r="E382" s="35">
        <v>13289.0</v>
      </c>
      <c r="F382" s="35">
        <v>3087270.0</v>
      </c>
      <c r="G382" s="35">
        <v>13646.0</v>
      </c>
      <c r="H382" s="35">
        <v>3243316.0</v>
      </c>
      <c r="I382" s="35">
        <v>297.0</v>
      </c>
      <c r="J382" s="35">
        <v>343.0</v>
      </c>
      <c r="K382" s="35">
        <v>131459.0</v>
      </c>
      <c r="L382" s="35">
        <v>1579.0</v>
      </c>
      <c r="M382" s="35">
        <v>685503.0</v>
      </c>
      <c r="N382" s="35">
        <v>816962.0</v>
      </c>
      <c r="O382" s="39">
        <v>16.0</v>
      </c>
      <c r="P382" s="39">
        <v>9239.0</v>
      </c>
      <c r="Q382" s="39">
        <v>13.0</v>
      </c>
      <c r="R382" s="39">
        <v>8064.0</v>
      </c>
      <c r="S382" s="39">
        <v>3.0</v>
      </c>
      <c r="T382" s="39">
        <v>1028.0</v>
      </c>
      <c r="U382" s="39">
        <v>147.0</v>
      </c>
      <c r="V382" s="39">
        <v>148.0</v>
      </c>
      <c r="W382" s="39">
        <v>21.0</v>
      </c>
      <c r="X382" s="39">
        <v>15.0</v>
      </c>
      <c r="Y382" s="35">
        <v>5.0</v>
      </c>
      <c r="Z382" s="35">
        <v>2584.0</v>
      </c>
      <c r="AA382" s="35">
        <v>8829.0</v>
      </c>
      <c r="AB382" s="35">
        <v>3079.0</v>
      </c>
      <c r="AC382" s="35">
        <v>11908.0</v>
      </c>
      <c r="AD382" s="35">
        <v>385654.0</v>
      </c>
      <c r="AE382" s="35">
        <v>8829.0</v>
      </c>
      <c r="AF382" s="35">
        <v>276012.0</v>
      </c>
      <c r="AG382" s="35">
        <v>4796.0</v>
      </c>
      <c r="AH382" s="35">
        <v>116141.0</v>
      </c>
    </row>
    <row r="383" ht="14.25" customHeight="1">
      <c r="A383" s="34">
        <v>44269.0</v>
      </c>
      <c r="B383" s="35">
        <v>163.0</v>
      </c>
      <c r="C383" s="35">
        <v>316.0</v>
      </c>
      <c r="D383" s="35">
        <v>156209.0</v>
      </c>
      <c r="E383" s="35">
        <v>4458.0</v>
      </c>
      <c r="F383" s="35">
        <v>3091728.0</v>
      </c>
      <c r="G383" s="35">
        <v>4621.0</v>
      </c>
      <c r="H383" s="35">
        <v>3247937.0</v>
      </c>
      <c r="I383" s="35">
        <v>158.0</v>
      </c>
      <c r="J383" s="35">
        <v>273.0</v>
      </c>
      <c r="K383" s="35">
        <v>131617.0</v>
      </c>
      <c r="L383" s="35">
        <v>656.0</v>
      </c>
      <c r="M383" s="35">
        <v>686159.0</v>
      </c>
      <c r="N383" s="35">
        <v>817776.0</v>
      </c>
      <c r="O383" s="39">
        <v>18.0</v>
      </c>
      <c r="P383" s="39">
        <v>9257.0</v>
      </c>
      <c r="Q383" s="39">
        <v>19.0</v>
      </c>
      <c r="R383" s="39">
        <v>8083.0</v>
      </c>
      <c r="S383" s="39">
        <v>1.0</v>
      </c>
      <c r="T383" s="39">
        <v>1029.0</v>
      </c>
      <c r="U383" s="39">
        <v>145.0</v>
      </c>
      <c r="V383" s="39">
        <v>146.0</v>
      </c>
      <c r="W383" s="39">
        <v>19.0</v>
      </c>
      <c r="X383" s="39">
        <v>15.0</v>
      </c>
      <c r="Y383" s="35">
        <v>2.0</v>
      </c>
      <c r="Z383" s="35">
        <v>2586.0</v>
      </c>
      <c r="AA383" s="35">
        <v>2582.0</v>
      </c>
      <c r="AB383" s="35">
        <v>601.0</v>
      </c>
      <c r="AC383" s="35">
        <v>3183.0</v>
      </c>
      <c r="AD383" s="35">
        <v>388837.0</v>
      </c>
      <c r="AE383" s="35">
        <v>2582.0</v>
      </c>
      <c r="AF383" s="35">
        <v>278594.0</v>
      </c>
      <c r="AG383" s="35">
        <v>929.0</v>
      </c>
      <c r="AH383" s="35">
        <v>117070.0</v>
      </c>
    </row>
    <row r="384" ht="14.25" customHeight="1">
      <c r="A384" s="34">
        <v>44270.0</v>
      </c>
      <c r="B384" s="35">
        <v>318.0</v>
      </c>
      <c r="C384" s="35">
        <v>279.0</v>
      </c>
      <c r="D384" s="35">
        <v>156527.0</v>
      </c>
      <c r="E384" s="35">
        <v>11032.0</v>
      </c>
      <c r="F384" s="35">
        <v>3102760.0</v>
      </c>
      <c r="G384" s="35">
        <v>11350.0</v>
      </c>
      <c r="H384" s="35">
        <v>3259287.0</v>
      </c>
      <c r="I384" s="35">
        <v>267.0</v>
      </c>
      <c r="J384" s="35">
        <v>241.0</v>
      </c>
      <c r="K384" s="35">
        <v>131884.0</v>
      </c>
      <c r="L384" s="35">
        <v>1323.0</v>
      </c>
      <c r="M384" s="35">
        <v>687482.0</v>
      </c>
      <c r="N384" s="35">
        <v>819366.0</v>
      </c>
      <c r="O384" s="39">
        <v>17.0</v>
      </c>
      <c r="P384" s="39">
        <v>9274.0</v>
      </c>
      <c r="Q384" s="39">
        <v>21.0</v>
      </c>
      <c r="R384" s="39">
        <v>8104.0</v>
      </c>
      <c r="S384" s="39">
        <v>2.0</v>
      </c>
      <c r="T384" s="39">
        <v>1031.0</v>
      </c>
      <c r="U384" s="39">
        <v>139.0</v>
      </c>
      <c r="V384" s="39">
        <v>144.0</v>
      </c>
      <c r="W384" s="39">
        <v>16.0</v>
      </c>
      <c r="X384" s="39">
        <v>12.0</v>
      </c>
      <c r="Y384" s="35">
        <v>4.0</v>
      </c>
      <c r="Z384" s="35">
        <v>2590.0</v>
      </c>
      <c r="AA384" s="35">
        <v>2345.0</v>
      </c>
      <c r="AB384" s="35">
        <v>4574.0</v>
      </c>
      <c r="AC384" s="35">
        <v>6919.0</v>
      </c>
      <c r="AD384" s="35">
        <v>395756.0</v>
      </c>
      <c r="AE384" s="35">
        <v>2345.0</v>
      </c>
      <c r="AF384" s="35">
        <v>280939.0</v>
      </c>
      <c r="AG384" s="35">
        <v>4661.0</v>
      </c>
      <c r="AH384" s="35">
        <v>121731.0</v>
      </c>
    </row>
    <row r="385" ht="14.25" customHeight="1">
      <c r="A385" s="34">
        <v>44271.0</v>
      </c>
      <c r="B385" s="35">
        <v>506.0</v>
      </c>
      <c r="C385" s="35">
        <v>329.0</v>
      </c>
      <c r="D385" s="35">
        <v>157033.0</v>
      </c>
      <c r="E385" s="35">
        <v>21489.0</v>
      </c>
      <c r="F385" s="35">
        <v>3124249.0</v>
      </c>
      <c r="G385" s="35">
        <v>21995.0</v>
      </c>
      <c r="H385" s="35">
        <v>3281282.0</v>
      </c>
      <c r="I385" s="35">
        <v>443.0</v>
      </c>
      <c r="J385" s="35">
        <v>289.0</v>
      </c>
      <c r="K385" s="35">
        <v>132327.0</v>
      </c>
      <c r="L385" s="35">
        <v>1746.0</v>
      </c>
      <c r="M385" s="35">
        <v>689228.0</v>
      </c>
      <c r="N385" s="35">
        <v>821555.0</v>
      </c>
      <c r="O385" s="39">
        <v>16.0</v>
      </c>
      <c r="P385" s="39">
        <v>9290.0</v>
      </c>
      <c r="Q385" s="39">
        <v>18.0</v>
      </c>
      <c r="R385" s="39">
        <v>8122.0</v>
      </c>
      <c r="S385" s="39">
        <v>3.0</v>
      </c>
      <c r="T385" s="39">
        <v>1034.0</v>
      </c>
      <c r="U385" s="39">
        <v>134.0</v>
      </c>
      <c r="V385" s="39">
        <v>139.0</v>
      </c>
      <c r="W385" s="39">
        <v>17.0</v>
      </c>
      <c r="X385" s="39">
        <v>11.0</v>
      </c>
      <c r="Y385" s="35">
        <v>3.0</v>
      </c>
      <c r="Z385" s="35">
        <v>2593.0</v>
      </c>
      <c r="AA385" s="35">
        <v>3855.0</v>
      </c>
      <c r="AB385" s="35">
        <v>8954.0</v>
      </c>
      <c r="AC385" s="35">
        <v>12809.0</v>
      </c>
      <c r="AD385" s="35">
        <v>408565.0</v>
      </c>
      <c r="AE385" s="35">
        <v>3855.0</v>
      </c>
      <c r="AF385" s="35">
        <v>284794.0</v>
      </c>
      <c r="AG385" s="35">
        <v>9644.0</v>
      </c>
      <c r="AH385" s="35">
        <v>131375.0</v>
      </c>
    </row>
    <row r="386" ht="14.25" customHeight="1">
      <c r="A386" s="34">
        <v>44272.0</v>
      </c>
      <c r="B386" s="35">
        <v>491.0</v>
      </c>
      <c r="C386" s="35">
        <v>438.0</v>
      </c>
      <c r="D386" s="35">
        <v>157524.0</v>
      </c>
      <c r="E386" s="35">
        <v>24597.0</v>
      </c>
      <c r="F386" s="35">
        <v>3148846.0</v>
      </c>
      <c r="G386" s="35">
        <v>25088.0</v>
      </c>
      <c r="H386" s="35">
        <v>3306370.0</v>
      </c>
      <c r="I386" s="35">
        <v>428.0</v>
      </c>
      <c r="J386" s="35">
        <v>379.0</v>
      </c>
      <c r="K386" s="35">
        <v>132755.0</v>
      </c>
      <c r="L386" s="35">
        <v>1768.0</v>
      </c>
      <c r="M386" s="35">
        <v>690996.0</v>
      </c>
      <c r="N386" s="35">
        <v>823751.0</v>
      </c>
      <c r="O386" s="39">
        <v>24.0</v>
      </c>
      <c r="P386" s="39">
        <v>9314.0</v>
      </c>
      <c r="Q386" s="39">
        <v>15.0</v>
      </c>
      <c r="R386" s="39">
        <v>8137.0</v>
      </c>
      <c r="S386" s="39">
        <v>1.0</v>
      </c>
      <c r="T386" s="39">
        <v>1035.0</v>
      </c>
      <c r="U386" s="39">
        <v>142.0</v>
      </c>
      <c r="V386" s="39">
        <v>138.0</v>
      </c>
      <c r="W386" s="39">
        <v>19.0</v>
      </c>
      <c r="X386" s="39">
        <v>12.0</v>
      </c>
      <c r="Y386" s="35">
        <v>3.0</v>
      </c>
      <c r="Z386" s="35">
        <v>2596.0</v>
      </c>
      <c r="AA386" s="35">
        <v>3123.0</v>
      </c>
      <c r="AB386" s="35">
        <v>8602.0</v>
      </c>
      <c r="AC386" s="35">
        <v>11725.0</v>
      </c>
      <c r="AD386" s="35">
        <v>420290.0</v>
      </c>
      <c r="AE386" s="35">
        <v>3123.0</v>
      </c>
      <c r="AF386" s="35">
        <v>287917.0</v>
      </c>
      <c r="AG386" s="35">
        <v>8842.0</v>
      </c>
      <c r="AH386" s="35">
        <v>140217.0</v>
      </c>
    </row>
    <row r="387" ht="14.25" customHeight="1">
      <c r="A387" s="34">
        <v>44273.0</v>
      </c>
      <c r="B387" s="35">
        <v>445.0</v>
      </c>
      <c r="C387" s="35">
        <v>481.0</v>
      </c>
      <c r="D387" s="35">
        <v>157969.0</v>
      </c>
      <c r="E387" s="35">
        <v>20796.0</v>
      </c>
      <c r="F387" s="35">
        <v>3169642.0</v>
      </c>
      <c r="G387" s="35">
        <v>21241.0</v>
      </c>
      <c r="H387" s="35">
        <v>3327611.0</v>
      </c>
      <c r="I387" s="35">
        <v>395.0</v>
      </c>
      <c r="J387" s="35">
        <v>422.0</v>
      </c>
      <c r="K387" s="35">
        <v>133150.0</v>
      </c>
      <c r="L387" s="35">
        <v>1870.0</v>
      </c>
      <c r="M387" s="35">
        <v>692866.0</v>
      </c>
      <c r="N387" s="35">
        <v>826016.0</v>
      </c>
      <c r="O387" s="39">
        <v>13.0</v>
      </c>
      <c r="P387" s="39">
        <v>9327.0</v>
      </c>
      <c r="Q387" s="39">
        <v>19.0</v>
      </c>
      <c r="R387" s="39">
        <v>8156.0</v>
      </c>
      <c r="S387" s="39">
        <v>2.0</v>
      </c>
      <c r="T387" s="39">
        <v>1037.0</v>
      </c>
      <c r="U387" s="39">
        <v>134.0</v>
      </c>
      <c r="V387" s="39">
        <v>137.0</v>
      </c>
      <c r="W387" s="39">
        <v>15.0</v>
      </c>
      <c r="X387" s="39">
        <v>12.0</v>
      </c>
      <c r="Y387" s="35">
        <v>2.0</v>
      </c>
      <c r="Z387" s="35">
        <v>2598.0</v>
      </c>
      <c r="AA387" s="35">
        <v>4383.0</v>
      </c>
      <c r="AB387" s="35">
        <v>8035.0</v>
      </c>
      <c r="AC387" s="35">
        <v>12418.0</v>
      </c>
      <c r="AD387" s="35">
        <v>432708.0</v>
      </c>
      <c r="AE387" s="35">
        <v>4383.0</v>
      </c>
      <c r="AF387" s="35">
        <v>292300.0</v>
      </c>
      <c r="AG387" s="35">
        <v>8974.0</v>
      </c>
      <c r="AH387" s="35">
        <v>149191.0</v>
      </c>
    </row>
    <row r="388" ht="14.25" customHeight="1">
      <c r="A388" s="34">
        <v>44274.0</v>
      </c>
      <c r="B388" s="35">
        <v>461.0</v>
      </c>
      <c r="C388" s="35">
        <v>466.0</v>
      </c>
      <c r="D388" s="35">
        <v>158430.0</v>
      </c>
      <c r="E388" s="35">
        <v>19011.0</v>
      </c>
      <c r="F388" s="35">
        <v>3188653.0</v>
      </c>
      <c r="G388" s="35">
        <v>19472.0</v>
      </c>
      <c r="H388" s="35">
        <v>3347083.0</v>
      </c>
      <c r="I388" s="35">
        <v>401.0</v>
      </c>
      <c r="J388" s="35">
        <v>408.0</v>
      </c>
      <c r="K388" s="35">
        <v>133551.0</v>
      </c>
      <c r="L388" s="35">
        <v>1788.0</v>
      </c>
      <c r="M388" s="35">
        <v>694654.0</v>
      </c>
      <c r="N388" s="35">
        <v>828205.0</v>
      </c>
      <c r="O388" s="39">
        <v>12.0</v>
      </c>
      <c r="P388" s="39">
        <v>9339.0</v>
      </c>
      <c r="Q388" s="39">
        <v>17.0</v>
      </c>
      <c r="R388" s="39">
        <v>8173.0</v>
      </c>
      <c r="S388" s="39">
        <v>2.0</v>
      </c>
      <c r="T388" s="39">
        <v>1039.0</v>
      </c>
      <c r="U388" s="39">
        <v>127.0</v>
      </c>
      <c r="V388" s="39">
        <v>134.0</v>
      </c>
      <c r="W388" s="39">
        <v>17.0</v>
      </c>
      <c r="X388" s="39">
        <v>12.0</v>
      </c>
      <c r="Y388" s="35">
        <v>4.0</v>
      </c>
      <c r="Z388" s="35">
        <v>2602.0</v>
      </c>
      <c r="AA388" s="35">
        <v>5506.0</v>
      </c>
      <c r="AB388" s="35">
        <v>8750.0</v>
      </c>
      <c r="AC388" s="35">
        <v>14256.0</v>
      </c>
      <c r="AD388" s="35">
        <v>446964.0</v>
      </c>
      <c r="AE388" s="35">
        <v>5506.0</v>
      </c>
      <c r="AF388" s="35">
        <v>297806.0</v>
      </c>
      <c r="AG388" s="35">
        <v>9240.0</v>
      </c>
      <c r="AH388" s="35">
        <v>158431.0</v>
      </c>
    </row>
    <row r="389" ht="14.25" customHeight="1">
      <c r="A389" s="34">
        <v>44275.0</v>
      </c>
      <c r="B389" s="35">
        <v>351.0</v>
      </c>
      <c r="C389" s="35">
        <v>419.0</v>
      </c>
      <c r="D389" s="35">
        <v>158781.0</v>
      </c>
      <c r="E389" s="35">
        <v>11538.0</v>
      </c>
      <c r="F389" s="35">
        <v>3200191.0</v>
      </c>
      <c r="G389" s="35">
        <v>11889.0</v>
      </c>
      <c r="H389" s="35">
        <v>3358972.0</v>
      </c>
      <c r="I389" s="35">
        <v>297.0</v>
      </c>
      <c r="J389" s="35">
        <v>364.0</v>
      </c>
      <c r="K389" s="35">
        <v>133848.0</v>
      </c>
      <c r="L389" s="35">
        <v>1413.0</v>
      </c>
      <c r="M389" s="35">
        <v>696067.0</v>
      </c>
      <c r="N389" s="35">
        <v>829915.0</v>
      </c>
      <c r="O389" s="39">
        <v>17.0</v>
      </c>
      <c r="P389" s="39">
        <v>9356.0</v>
      </c>
      <c r="Q389" s="39">
        <v>13.0</v>
      </c>
      <c r="R389" s="39">
        <v>8186.0</v>
      </c>
      <c r="S389" s="39">
        <v>4.0</v>
      </c>
      <c r="T389" s="39">
        <v>1043.0</v>
      </c>
      <c r="U389" s="39">
        <v>127.0</v>
      </c>
      <c r="V389" s="39">
        <v>129.0</v>
      </c>
      <c r="W389" s="39">
        <v>16.0</v>
      </c>
      <c r="X389" s="39">
        <v>13.0</v>
      </c>
      <c r="Y389" s="35">
        <v>3.0</v>
      </c>
      <c r="Z389" s="35">
        <v>2605.0</v>
      </c>
      <c r="AA389" s="35">
        <v>4188.0</v>
      </c>
      <c r="AB389" s="35">
        <v>9376.0</v>
      </c>
      <c r="AC389" s="35">
        <v>13564.0</v>
      </c>
      <c r="AD389" s="35">
        <v>460528.0</v>
      </c>
      <c r="AE389" s="35">
        <v>4188.0</v>
      </c>
      <c r="AF389" s="35">
        <v>301994.0</v>
      </c>
      <c r="AG389" s="35">
        <v>10560.0</v>
      </c>
      <c r="AH389" s="35">
        <v>168991.0</v>
      </c>
    </row>
    <row r="390" ht="14.25" customHeight="1">
      <c r="A390" s="34">
        <v>44276.0</v>
      </c>
      <c r="B390" s="35">
        <v>250.0</v>
      </c>
      <c r="C390" s="35">
        <v>354.0</v>
      </c>
      <c r="D390" s="35">
        <v>159031.0</v>
      </c>
      <c r="E390" s="35">
        <v>4769.0</v>
      </c>
      <c r="F390" s="35">
        <v>3204960.0</v>
      </c>
      <c r="G390" s="35">
        <v>5019.0</v>
      </c>
      <c r="H390" s="35">
        <v>3363991.0</v>
      </c>
      <c r="I390" s="35">
        <v>226.0</v>
      </c>
      <c r="J390" s="35">
        <v>308.0</v>
      </c>
      <c r="K390" s="35">
        <v>134074.0</v>
      </c>
      <c r="L390" s="35">
        <v>768.0</v>
      </c>
      <c r="M390" s="35">
        <v>696835.0</v>
      </c>
      <c r="N390" s="35">
        <v>830909.0</v>
      </c>
      <c r="O390" s="39">
        <v>14.0</v>
      </c>
      <c r="P390" s="39">
        <v>9370.0</v>
      </c>
      <c r="Q390" s="39">
        <v>12.0</v>
      </c>
      <c r="R390" s="39">
        <v>8198.0</v>
      </c>
      <c r="S390" s="39">
        <v>1.0</v>
      </c>
      <c r="T390" s="39">
        <v>1044.0</v>
      </c>
      <c r="U390" s="39">
        <v>128.0</v>
      </c>
      <c r="V390" s="39">
        <v>127.0</v>
      </c>
      <c r="W390" s="39">
        <v>15.0</v>
      </c>
      <c r="X390" s="39">
        <v>12.0</v>
      </c>
      <c r="Y390" s="35">
        <v>1.0</v>
      </c>
      <c r="Z390" s="35">
        <v>2606.0</v>
      </c>
      <c r="AA390" s="35">
        <v>3115.0</v>
      </c>
      <c r="AB390" s="35">
        <v>2791.0</v>
      </c>
      <c r="AC390" s="35">
        <v>5906.0</v>
      </c>
      <c r="AD390" s="35">
        <v>466434.0</v>
      </c>
      <c r="AE390" s="35">
        <v>3115.0</v>
      </c>
      <c r="AF390" s="35">
        <v>305109.0</v>
      </c>
      <c r="AG390" s="35">
        <v>3213.0</v>
      </c>
      <c r="AH390" s="35">
        <v>172204.0</v>
      </c>
    </row>
    <row r="391" ht="14.25" customHeight="1">
      <c r="A391" s="34">
        <v>44277.0</v>
      </c>
      <c r="B391" s="35">
        <v>378.0</v>
      </c>
      <c r="C391" s="35">
        <v>326.0</v>
      </c>
      <c r="D391" s="35">
        <v>159409.0</v>
      </c>
      <c r="E391" s="35">
        <v>12871.0</v>
      </c>
      <c r="F391" s="35">
        <v>3217831.0</v>
      </c>
      <c r="G391" s="35">
        <v>13249.0</v>
      </c>
      <c r="H391" s="35">
        <v>3377240.0</v>
      </c>
      <c r="I391" s="35">
        <v>337.0</v>
      </c>
      <c r="J391" s="35">
        <v>287.0</v>
      </c>
      <c r="K391" s="35">
        <v>134411.0</v>
      </c>
      <c r="L391" s="35">
        <v>1250.0</v>
      </c>
      <c r="M391" s="35">
        <v>698085.0</v>
      </c>
      <c r="N391" s="35">
        <v>832496.0</v>
      </c>
      <c r="O391" s="39">
        <v>11.0</v>
      </c>
      <c r="P391" s="39">
        <v>9381.0</v>
      </c>
      <c r="Q391" s="39">
        <v>24.0</v>
      </c>
      <c r="R391" s="39">
        <v>8222.0</v>
      </c>
      <c r="S391" s="39">
        <v>0.0</v>
      </c>
      <c r="T391" s="39">
        <v>1044.0</v>
      </c>
      <c r="U391" s="39">
        <v>115.0</v>
      </c>
      <c r="V391" s="39">
        <v>123.0</v>
      </c>
      <c r="W391" s="39">
        <v>16.0</v>
      </c>
      <c r="X391" s="39">
        <v>12.0</v>
      </c>
      <c r="Y391" s="35">
        <v>0.0</v>
      </c>
      <c r="Z391" s="35">
        <v>2606.0</v>
      </c>
      <c r="AA391" s="35">
        <v>2025.0</v>
      </c>
      <c r="AB391" s="35">
        <v>5070.0</v>
      </c>
      <c r="AC391" s="35">
        <v>7095.0</v>
      </c>
      <c r="AD391" s="35">
        <v>473529.0</v>
      </c>
      <c r="AE391" s="35">
        <v>2025.0</v>
      </c>
      <c r="AF391" s="35">
        <v>307134.0</v>
      </c>
      <c r="AG391" s="35">
        <v>5155.0</v>
      </c>
      <c r="AH391" s="35">
        <v>177359.0</v>
      </c>
    </row>
    <row r="392" ht="14.25" customHeight="1">
      <c r="A392" s="34">
        <v>44278.0</v>
      </c>
      <c r="B392" s="35">
        <v>505.0</v>
      </c>
      <c r="C392" s="35">
        <v>378.0</v>
      </c>
      <c r="D392" s="35">
        <v>159914.0</v>
      </c>
      <c r="E392" s="35">
        <v>19136.0</v>
      </c>
      <c r="F392" s="35">
        <v>3236967.0</v>
      </c>
      <c r="G392" s="35">
        <v>19641.0</v>
      </c>
      <c r="H392" s="35">
        <v>3396881.0</v>
      </c>
      <c r="I392" s="35">
        <v>438.0</v>
      </c>
      <c r="J392" s="35">
        <v>334.0</v>
      </c>
      <c r="K392" s="35">
        <v>134849.0</v>
      </c>
      <c r="L392" s="35">
        <v>1805.0</v>
      </c>
      <c r="M392" s="35">
        <v>699890.0</v>
      </c>
      <c r="N392" s="35">
        <v>834739.0</v>
      </c>
      <c r="O392" s="39">
        <v>13.0</v>
      </c>
      <c r="P392" s="39">
        <v>9394.0</v>
      </c>
      <c r="Q392" s="39">
        <v>18.0</v>
      </c>
      <c r="R392" s="39">
        <v>8240.0</v>
      </c>
      <c r="S392" s="39">
        <v>0.0</v>
      </c>
      <c r="T392" s="39">
        <v>1044.0</v>
      </c>
      <c r="U392" s="39">
        <v>110.0</v>
      </c>
      <c r="V392" s="39">
        <v>118.0</v>
      </c>
      <c r="W392" s="39">
        <v>18.0</v>
      </c>
      <c r="X392" s="39">
        <v>11.0</v>
      </c>
      <c r="Y392" s="35">
        <v>0.0</v>
      </c>
      <c r="Z392" s="35">
        <v>2606.0</v>
      </c>
      <c r="AA392" s="35">
        <v>2970.0</v>
      </c>
      <c r="AB392" s="35">
        <v>5399.0</v>
      </c>
      <c r="AC392" s="35">
        <v>8369.0</v>
      </c>
      <c r="AD392" s="35">
        <v>481898.0</v>
      </c>
      <c r="AE392" s="35">
        <v>2970.0</v>
      </c>
      <c r="AF392" s="35">
        <v>310104.0</v>
      </c>
      <c r="AG392" s="35">
        <v>5621.0</v>
      </c>
      <c r="AH392" s="35">
        <v>182980.0</v>
      </c>
    </row>
    <row r="393" ht="14.25" customHeight="1">
      <c r="A393" s="40">
        <v>44279.0</v>
      </c>
      <c r="B393" s="35">
        <v>479.0</v>
      </c>
      <c r="C393" s="35">
        <v>454.0</v>
      </c>
      <c r="D393" s="35">
        <v>160393.0</v>
      </c>
      <c r="E393" s="35">
        <v>20155.0</v>
      </c>
      <c r="F393" s="35">
        <v>3257122.0</v>
      </c>
      <c r="G393" s="35">
        <v>20634.0</v>
      </c>
      <c r="H393" s="35">
        <v>3417515.0</v>
      </c>
      <c r="I393" s="35">
        <v>441.0</v>
      </c>
      <c r="J393" s="35">
        <v>405.0</v>
      </c>
      <c r="K393" s="35">
        <v>135290.0</v>
      </c>
      <c r="L393" s="35">
        <v>1521.0</v>
      </c>
      <c r="M393" s="35">
        <v>701411.0</v>
      </c>
      <c r="N393" s="35">
        <v>836701.0</v>
      </c>
      <c r="Y393" s="35">
        <v>1.0</v>
      </c>
      <c r="Z393" s="35">
        <v>2607.0</v>
      </c>
      <c r="AA393" s="35">
        <v>2046.0</v>
      </c>
      <c r="AB393" s="35">
        <v>4486.0</v>
      </c>
      <c r="AC393" s="35">
        <v>6532.0</v>
      </c>
      <c r="AD393" s="35">
        <v>488430.0</v>
      </c>
      <c r="AE393" s="35">
        <v>2046.0</v>
      </c>
      <c r="AF393" s="35">
        <v>312150.0</v>
      </c>
      <c r="AG393" s="35">
        <v>4714.0</v>
      </c>
      <c r="AH393" s="35">
        <v>187694.0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t="s">
        <v>165</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t="s">
        <v>165</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t="s">
        <v>165</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t="s">
        <v>165</v>
      </c>
      <c r="F10" s="122">
        <v>25.0</v>
      </c>
      <c r="G10" s="122">
        <v>35.0</v>
      </c>
      <c r="H10" s="122">
        <v>136.0</v>
      </c>
      <c r="I10" s="122">
        <v>170.0</v>
      </c>
      <c r="J10" s="122">
        <v>0.0</v>
      </c>
      <c r="K10" s="122">
        <v>0.0</v>
      </c>
      <c r="L10" s="122">
        <v>45.0</v>
      </c>
      <c r="M10" s="122">
        <v>30.0</v>
      </c>
      <c r="N10" s="122">
        <v>15.0</v>
      </c>
      <c r="O10" s="122">
        <v>26.0</v>
      </c>
      <c r="P10" s="122" t="s">
        <v>55</v>
      </c>
      <c r="Q10" s="122" t="s">
        <v>165</v>
      </c>
      <c r="R10" s="105"/>
      <c r="S10" s="105"/>
      <c r="T10" s="105"/>
      <c r="U10" s="105"/>
    </row>
    <row r="11">
      <c r="A11" s="176">
        <v>43952.0</v>
      </c>
      <c r="B11" s="122">
        <v>106.0</v>
      </c>
      <c r="C11" s="122">
        <v>169.0</v>
      </c>
      <c r="D11" s="122" t="s">
        <v>55</v>
      </c>
      <c r="E11" s="122" t="s">
        <v>165</v>
      </c>
      <c r="F11" s="122">
        <v>34.0</v>
      </c>
      <c r="G11" s="122">
        <v>41.0</v>
      </c>
      <c r="H11" s="122">
        <v>94.0</v>
      </c>
      <c r="I11" s="122">
        <v>111.0</v>
      </c>
      <c r="J11" s="122">
        <v>0.0</v>
      </c>
      <c r="K11" s="122">
        <v>0.0</v>
      </c>
      <c r="L11" s="122">
        <v>33.0</v>
      </c>
      <c r="M11" s="122">
        <v>23.0</v>
      </c>
      <c r="N11" s="122">
        <v>15.0</v>
      </c>
      <c r="O11" s="122">
        <v>27.0</v>
      </c>
      <c r="P11" s="122" t="s">
        <v>55</v>
      </c>
      <c r="Q11" s="122" t="s">
        <v>165</v>
      </c>
      <c r="R11" s="105"/>
      <c r="S11" s="105"/>
      <c r="T11" s="105"/>
      <c r="U11" s="105"/>
    </row>
    <row r="12">
      <c r="A12" s="176">
        <v>43983.0</v>
      </c>
      <c r="B12" s="122">
        <v>54.0</v>
      </c>
      <c r="C12" s="122">
        <v>73.0</v>
      </c>
      <c r="D12" s="122">
        <v>0.0</v>
      </c>
      <c r="E12" s="122">
        <v>0.0</v>
      </c>
      <c r="F12" s="122" t="s">
        <v>55</v>
      </c>
      <c r="G12" s="122" t="s">
        <v>165</v>
      </c>
      <c r="H12" s="122">
        <v>32.0</v>
      </c>
      <c r="I12" s="122">
        <v>36.0</v>
      </c>
      <c r="J12" s="122">
        <v>0.0</v>
      </c>
      <c r="K12" s="122">
        <v>0.0</v>
      </c>
      <c r="L12" s="122">
        <v>8.0</v>
      </c>
      <c r="M12" s="122">
        <v>6.0</v>
      </c>
      <c r="N12" s="122" t="s">
        <v>55</v>
      </c>
      <c r="O12" s="122" t="s">
        <v>165</v>
      </c>
      <c r="P12" s="122">
        <v>0.0</v>
      </c>
      <c r="Q12" s="122">
        <v>0.0</v>
      </c>
      <c r="R12" s="105"/>
      <c r="S12" s="105"/>
      <c r="T12" s="105"/>
      <c r="U12" s="105"/>
    </row>
    <row r="13">
      <c r="A13" s="176">
        <v>44013.0</v>
      </c>
      <c r="B13" s="122">
        <v>38.0</v>
      </c>
      <c r="C13" s="122">
        <v>49.0</v>
      </c>
      <c r="D13" s="122" t="s">
        <v>55</v>
      </c>
      <c r="E13" s="122" t="s">
        <v>165</v>
      </c>
      <c r="F13" s="122">
        <v>22.0</v>
      </c>
      <c r="G13" s="122">
        <v>25.0</v>
      </c>
      <c r="H13" s="122">
        <v>27.0</v>
      </c>
      <c r="I13" s="122">
        <v>32.0</v>
      </c>
      <c r="J13" s="122">
        <v>0.0</v>
      </c>
      <c r="K13" s="122">
        <v>0.0</v>
      </c>
      <c r="L13" s="122">
        <v>9.0</v>
      </c>
      <c r="M13" s="122">
        <v>6.0</v>
      </c>
      <c r="N13" s="122" t="s">
        <v>55</v>
      </c>
      <c r="O13" s="122" t="s">
        <v>165</v>
      </c>
      <c r="P13" s="122" t="s">
        <v>55</v>
      </c>
      <c r="Q13" s="122" t="s">
        <v>165</v>
      </c>
      <c r="R13" s="105"/>
      <c r="S13" s="105"/>
      <c r="T13" s="105"/>
      <c r="U13" s="105"/>
    </row>
    <row r="14">
      <c r="A14" s="176">
        <v>44044.0</v>
      </c>
      <c r="B14" s="122">
        <v>64.0</v>
      </c>
      <c r="C14" s="122">
        <v>79.0</v>
      </c>
      <c r="D14" s="122" t="s">
        <v>55</v>
      </c>
      <c r="E14" s="122" t="s">
        <v>165</v>
      </c>
      <c r="F14" s="122" t="s">
        <v>55</v>
      </c>
      <c r="G14" s="122" t="s">
        <v>165</v>
      </c>
      <c r="H14" s="122">
        <v>26.0</v>
      </c>
      <c r="I14" s="122">
        <v>29.0</v>
      </c>
      <c r="J14" s="122">
        <v>0.0</v>
      </c>
      <c r="K14" s="122">
        <v>0.0</v>
      </c>
      <c r="L14" s="122">
        <v>11.0</v>
      </c>
      <c r="M14" s="122">
        <v>9.0</v>
      </c>
      <c r="N14" s="122">
        <v>9.0</v>
      </c>
      <c r="O14" s="122">
        <v>16.0</v>
      </c>
      <c r="P14" s="122" t="s">
        <v>55</v>
      </c>
      <c r="Q14" s="122" t="s">
        <v>165</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t="s">
        <v>165</v>
      </c>
      <c r="F16" s="122">
        <v>25.0</v>
      </c>
      <c r="G16" s="122">
        <v>28.0</v>
      </c>
      <c r="H16" s="122">
        <v>64.0</v>
      </c>
      <c r="I16" s="122">
        <v>78.0</v>
      </c>
      <c r="J16" s="122">
        <v>0.0</v>
      </c>
      <c r="K16" s="122">
        <v>0.0</v>
      </c>
      <c r="L16" s="122">
        <v>30.0</v>
      </c>
      <c r="M16" s="122">
        <v>21.0</v>
      </c>
      <c r="N16" s="122">
        <v>31.0</v>
      </c>
      <c r="O16" s="122">
        <v>50.0</v>
      </c>
      <c r="P16" s="122" t="s">
        <v>55</v>
      </c>
      <c r="Q16" s="122" t="s">
        <v>165</v>
      </c>
      <c r="R16" s="105"/>
      <c r="S16" s="105"/>
      <c r="T16" s="105"/>
      <c r="U16" s="105"/>
    </row>
    <row r="17">
      <c r="A17" s="176">
        <v>44136.0</v>
      </c>
      <c r="B17" s="122">
        <v>141.0</v>
      </c>
      <c r="C17" s="122">
        <v>222.0</v>
      </c>
      <c r="D17" s="122" t="s">
        <v>55</v>
      </c>
      <c r="E17" s="122" t="s">
        <v>165</v>
      </c>
      <c r="F17" s="122">
        <v>67.0</v>
      </c>
      <c r="G17" s="122">
        <v>83.0</v>
      </c>
      <c r="H17" s="122">
        <v>114.0</v>
      </c>
      <c r="I17" s="122">
        <v>145.0</v>
      </c>
      <c r="J17" s="122">
        <v>0.0</v>
      </c>
      <c r="K17" s="122">
        <v>0.0</v>
      </c>
      <c r="L17" s="122">
        <v>81.0</v>
      </c>
      <c r="M17" s="122">
        <v>56.0</v>
      </c>
      <c r="N17" s="122">
        <v>53.0</v>
      </c>
      <c r="O17" s="122">
        <v>95.0</v>
      </c>
      <c r="P17" s="122" t="s">
        <v>55</v>
      </c>
      <c r="Q17" s="122" t="s">
        <v>165</v>
      </c>
      <c r="R17" s="105"/>
      <c r="S17" s="105"/>
      <c r="T17" s="105"/>
      <c r="U17" s="105"/>
    </row>
    <row r="18">
      <c r="A18" s="184">
        <v>44166.0</v>
      </c>
      <c r="B18" s="122">
        <v>178.0</v>
      </c>
      <c r="C18" s="140">
        <v>273.0</v>
      </c>
      <c r="D18" s="122" t="s">
        <v>55</v>
      </c>
      <c r="E18" s="122" t="s">
        <v>165</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t="s">
        <v>165</v>
      </c>
      <c r="F19" s="122">
        <v>87.0</v>
      </c>
      <c r="G19" s="122">
        <v>115.0</v>
      </c>
      <c r="H19" s="122">
        <v>95.0</v>
      </c>
      <c r="I19" s="122">
        <v>119.0</v>
      </c>
      <c r="J19" s="122">
        <v>0.0</v>
      </c>
      <c r="K19" s="122">
        <v>0.0</v>
      </c>
      <c r="L19" s="122">
        <v>105.0</v>
      </c>
      <c r="M19" s="122">
        <v>74.0</v>
      </c>
      <c r="N19" s="122">
        <v>62.0</v>
      </c>
      <c r="O19" s="122">
        <v>103.0</v>
      </c>
      <c r="P19" s="122" t="s">
        <v>55</v>
      </c>
      <c r="Q19" s="122" t="s">
        <v>165</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t="s">
        <v>165</v>
      </c>
      <c r="D9" s="122">
        <v>0.0</v>
      </c>
      <c r="E9" s="122">
        <v>0.0</v>
      </c>
      <c r="F9" s="122">
        <v>0.0</v>
      </c>
      <c r="G9" s="122">
        <v>0.0</v>
      </c>
      <c r="H9" s="122" t="s">
        <v>55</v>
      </c>
      <c r="I9" s="122" t="s">
        <v>165</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t="s">
        <v>165</v>
      </c>
      <c r="F10" s="122" t="s">
        <v>55</v>
      </c>
      <c r="G10" s="122" t="s">
        <v>165</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t="s">
        <v>165</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t="s">
        <v>165</v>
      </c>
      <c r="H13" s="122" t="s">
        <v>55</v>
      </c>
      <c r="I13" s="122" t="s">
        <v>165</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t="s">
        <v>165</v>
      </c>
      <c r="J14" s="122">
        <v>0.0</v>
      </c>
      <c r="K14" s="122">
        <v>0.0</v>
      </c>
      <c r="L14" s="122">
        <v>4.0</v>
      </c>
      <c r="M14" s="122">
        <v>2.0</v>
      </c>
      <c r="N14" s="122">
        <v>0.0</v>
      </c>
      <c r="O14" s="122">
        <v>0.0</v>
      </c>
      <c r="P14" s="122">
        <v>0.0</v>
      </c>
      <c r="Q14" s="122">
        <v>0.0</v>
      </c>
      <c r="R14" s="105"/>
      <c r="S14" s="105"/>
      <c r="T14" s="105"/>
      <c r="U14" s="105"/>
    </row>
    <row r="15">
      <c r="A15" s="176">
        <v>44075.0</v>
      </c>
      <c r="B15" s="122" t="s">
        <v>55</v>
      </c>
      <c r="C15" s="122" t="s">
        <v>165</v>
      </c>
      <c r="D15" s="122">
        <v>0.0</v>
      </c>
      <c r="E15" s="122">
        <v>0.0</v>
      </c>
      <c r="F15" s="122" t="s">
        <v>55</v>
      </c>
      <c r="G15" s="122" t="s">
        <v>165</v>
      </c>
      <c r="H15" s="122" t="s">
        <v>55</v>
      </c>
      <c r="I15" s="122" t="s">
        <v>165</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t="s">
        <v>165</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t="s">
        <v>165</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t="s">
        <v>165</v>
      </c>
      <c r="F18" s="122">
        <v>25.0</v>
      </c>
      <c r="G18" s="122">
        <v>41.0</v>
      </c>
      <c r="H18" s="122">
        <v>22.0</v>
      </c>
      <c r="I18" s="122">
        <v>38.0</v>
      </c>
      <c r="J18" s="122">
        <v>0.0</v>
      </c>
      <c r="K18" s="122">
        <v>0.0</v>
      </c>
      <c r="L18" s="122">
        <v>52.0</v>
      </c>
      <c r="M18" s="122">
        <v>30.0</v>
      </c>
      <c r="N18" s="122" t="s">
        <v>55</v>
      </c>
      <c r="O18" s="122" t="s">
        <v>165</v>
      </c>
      <c r="P18" s="122" t="s">
        <v>55</v>
      </c>
      <c r="Q18" s="122" t="s">
        <v>165</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t="s">
        <v>165</v>
      </c>
      <c r="F20" s="122" t="s">
        <v>55</v>
      </c>
      <c r="G20" s="122" t="s">
        <v>165</v>
      </c>
      <c r="H20" s="122" t="s">
        <v>55</v>
      </c>
      <c r="I20" s="122" t="s">
        <v>165</v>
      </c>
      <c r="J20" s="122">
        <v>0.0</v>
      </c>
      <c r="K20" s="122">
        <v>0.0</v>
      </c>
      <c r="L20" s="122">
        <v>18.0</v>
      </c>
      <c r="M20" s="122">
        <v>11.0</v>
      </c>
      <c r="N20" s="122" t="s">
        <v>55</v>
      </c>
      <c r="O20" s="122" t="s">
        <v>165</v>
      </c>
      <c r="P20" s="122">
        <v>0.0</v>
      </c>
      <c r="Q20" s="122">
        <v>0.0</v>
      </c>
      <c r="R20" s="105"/>
      <c r="S20" s="105"/>
      <c r="T20" s="105"/>
      <c r="U20" s="105"/>
    </row>
    <row r="21">
      <c r="A21" s="178" t="s">
        <v>105</v>
      </c>
      <c r="B21" s="180">
        <v>130.0</v>
      </c>
      <c r="C21" s="180">
        <v>293.0</v>
      </c>
      <c r="D21" s="180" t="s">
        <v>55</v>
      </c>
      <c r="E21" s="180" t="s">
        <v>165</v>
      </c>
      <c r="F21" s="180">
        <v>107.0</v>
      </c>
      <c r="G21" s="180">
        <v>167.0</v>
      </c>
      <c r="H21" s="180">
        <v>152.0</v>
      </c>
      <c r="I21" s="180">
        <v>234.0</v>
      </c>
      <c r="J21" s="180">
        <v>0.0</v>
      </c>
      <c r="K21" s="180">
        <v>0.0</v>
      </c>
      <c r="L21" s="180">
        <v>237.0</v>
      </c>
      <c r="M21" s="180">
        <v>140.0</v>
      </c>
      <c r="N21" s="180" t="s">
        <v>55</v>
      </c>
      <c r="O21" s="180" t="s">
        <v>165</v>
      </c>
      <c r="P21" s="180" t="s">
        <v>55</v>
      </c>
      <c r="Q21" s="180" t="s">
        <v>165</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- 199 )"),44081.0)</f>
        <v>44081</v>
      </c>
      <c r="B1" s="329">
        <f>IFERROR(__xludf.DUMMYFUNCTION("""COMPUTED_VALUE"""),35.0)</f>
        <v>35</v>
      </c>
      <c r="C1" s="329">
        <f>IFERROR(__xludf.DUMMYFUNCTION("""COMPUTED_VALUE"""),59.0)</f>
        <v>59</v>
      </c>
      <c r="D1" s="329">
        <f>IFERROR(__xludf.DUMMYFUNCTION("""COMPUTED_VALUE"""),32097.0)</f>
        <v>32097</v>
      </c>
      <c r="E1" s="329">
        <f>IFERROR(__xludf.DUMMYFUNCTION("""COMPUTED_VALUE"""),3002.0)</f>
        <v>3002</v>
      </c>
      <c r="F1" s="258">
        <f>IFERROR(__xludf.DUMMYFUNCTION("""COMPUTED_VALUE"""),556315.0)</f>
        <v>556315</v>
      </c>
      <c r="G1" s="258">
        <f>IFERROR(__xludf.DUMMYFUNCTION("""COMPUTED_VALUE"""),3037.0)</f>
        <v>3037</v>
      </c>
      <c r="H1" s="258">
        <f>IFERROR(__xludf.DUMMYFUNCTION("""COMPUTED_VALUE"""),588412.0)</f>
        <v>588412</v>
      </c>
      <c r="I1" s="329">
        <f>IFERROR(__xludf.DUMMYFUNCTION("""COMPUTED_VALUE"""),26.0)</f>
        <v>26</v>
      </c>
      <c r="J1" s="329">
        <f>IFERROR(__xludf.DUMMYFUNCTION("""COMPUTED_VALUE"""),44.0)</f>
        <v>44</v>
      </c>
      <c r="K1" s="329">
        <f>IFERROR(__xludf.DUMMYFUNCTION("""COMPUTED_VALUE"""),22415.0)</f>
        <v>22415</v>
      </c>
      <c r="L1" s="329">
        <f>IFERROR(__xludf.DUMMYFUNCTION("""COMPUTED_VALUE"""),593.0)</f>
        <v>593</v>
      </c>
      <c r="M1" s="329">
        <f>IFERROR(__xludf.DUMMYFUNCTION("""COMPUTED_VALUE"""),244326.0)</f>
        <v>244326</v>
      </c>
      <c r="N1" s="329">
        <f>IFERROR(__xludf.DUMMYFUNCTION("""COMPUTED_VALUE"""),266741.0)</f>
        <v>266741</v>
      </c>
      <c r="O1" s="329">
        <f>IFERROR(__xludf.DUMMYFUNCTION("""COMPUTED_VALUE"""),11.0)</f>
        <v>11</v>
      </c>
      <c r="P1" s="329">
        <f>IFERROR(__xludf.DUMMYFUNCTION("""COMPUTED_VALUE"""),2548.0)</f>
        <v>2548</v>
      </c>
      <c r="Q1" s="329">
        <f>IFERROR(__xludf.DUMMYFUNCTION("""COMPUTED_VALUE"""),3.0)</f>
        <v>3</v>
      </c>
      <c r="R1" s="329">
        <f>IFERROR(__xludf.DUMMYFUNCTION("""COMPUTED_VALUE"""),2130.0)</f>
        <v>2130</v>
      </c>
      <c r="S1" s="329">
        <f>IFERROR(__xludf.DUMMYFUNCTION("""COMPUTED_VALUE"""),0.0)</f>
        <v>0</v>
      </c>
      <c r="T1" s="329">
        <f>IFERROR(__xludf.DUMMYFUNCTION("""COMPUTED_VALUE"""),341.0)</f>
        <v>341</v>
      </c>
      <c r="U1" s="329">
        <f>IFERROR(__xludf.DUMMYFUNCTION("""COMPUTED_VALUE"""),77.0)</f>
        <v>77</v>
      </c>
      <c r="V1" s="329">
        <f>IFERROR(__xludf.DUMMYFUNCTION("""COMPUTED_VALUE"""),73.0)</f>
        <v>73</v>
      </c>
      <c r="W1" s="329">
        <f>IFERROR(__xludf.DUMMYFUNCTION("""COMPUTED_VALUE"""),5.0)</f>
        <v>5</v>
      </c>
      <c r="X1" s="329">
        <f>IFERROR(__xludf.DUMMYFUNCTION("""COMPUTED_VALUE"""),3.0)</f>
        <v>3</v>
      </c>
      <c r="Y1" s="329">
        <f>IFERROR(__xludf.DUMMYFUNCTION("""COMPUTED_VALUE"""),1.0)</f>
        <v>1</v>
      </c>
      <c r="Z1" s="329">
        <f>IFERROR(__xludf.DUMMYFUNCTION("""COMPUTED_VALUE"""),1089.0)</f>
        <v>1089</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IFERROR(__xludf.DUMMYFUNCTION("""COMPUTED_VALUE"""),44082.0)</f>
        <v>44082</v>
      </c>
      <c r="B2" s="329">
        <f>IFERROR(__xludf.DUMMYFUNCTION("""COMPUTED_VALUE"""),74.0)</f>
        <v>74</v>
      </c>
      <c r="C2" s="329">
        <f>IFERROR(__xludf.DUMMYFUNCTION("""COMPUTED_VALUE"""),66.0)</f>
        <v>66</v>
      </c>
      <c r="D2" s="329">
        <f>IFERROR(__xludf.DUMMYFUNCTION("""COMPUTED_VALUE"""),32171.0)</f>
        <v>32171</v>
      </c>
      <c r="E2" s="329">
        <f>IFERROR(__xludf.DUMMYFUNCTION("""COMPUTED_VALUE"""),6380.0)</f>
        <v>6380</v>
      </c>
      <c r="F2" s="258">
        <f>IFERROR(__xludf.DUMMYFUNCTION("""COMPUTED_VALUE"""),562695.0)</f>
        <v>562695</v>
      </c>
      <c r="G2" s="258">
        <f>IFERROR(__xludf.DUMMYFUNCTION("""COMPUTED_VALUE"""),6454.0)</f>
        <v>6454</v>
      </c>
      <c r="H2" s="258">
        <f>IFERROR(__xludf.DUMMYFUNCTION("""COMPUTED_VALUE"""),594866.0)</f>
        <v>594866</v>
      </c>
      <c r="I2" s="329">
        <f>IFERROR(__xludf.DUMMYFUNCTION("""COMPUTED_VALUE"""),66.0)</f>
        <v>66</v>
      </c>
      <c r="J2" s="329">
        <f>IFERROR(__xludf.DUMMYFUNCTION("""COMPUTED_VALUE"""),52.0)</f>
        <v>52</v>
      </c>
      <c r="K2" s="329">
        <f>IFERROR(__xludf.DUMMYFUNCTION("""COMPUTED_VALUE"""),22481.0)</f>
        <v>22481</v>
      </c>
      <c r="L2" s="329">
        <f>IFERROR(__xludf.DUMMYFUNCTION("""COMPUTED_VALUE"""),1445.0)</f>
        <v>1445</v>
      </c>
      <c r="M2" s="329">
        <f>IFERROR(__xludf.DUMMYFUNCTION("""COMPUTED_VALUE"""),245771.0)</f>
        <v>245771</v>
      </c>
      <c r="N2" s="329">
        <f>IFERROR(__xludf.DUMMYFUNCTION("""COMPUTED_VALUE"""),268252.0)</f>
        <v>268252</v>
      </c>
      <c r="O2" s="329">
        <f>IFERROR(__xludf.DUMMYFUNCTION("""COMPUTED_VALUE"""),6.0)</f>
        <v>6</v>
      </c>
      <c r="P2" s="329">
        <f>IFERROR(__xludf.DUMMYFUNCTION("""COMPUTED_VALUE"""),2554.0)</f>
        <v>2554</v>
      </c>
      <c r="Q2" s="329">
        <f>IFERROR(__xludf.DUMMYFUNCTION("""COMPUTED_VALUE"""),12.0)</f>
        <v>12</v>
      </c>
      <c r="R2" s="329">
        <f>IFERROR(__xludf.DUMMYFUNCTION("""COMPUTED_VALUE"""),2142.0)</f>
        <v>2142</v>
      </c>
      <c r="S2" s="329">
        <f>IFERROR(__xludf.DUMMYFUNCTION("""COMPUTED_VALUE"""),1.0)</f>
        <v>1</v>
      </c>
      <c r="T2" s="329">
        <f>IFERROR(__xludf.DUMMYFUNCTION("""COMPUTED_VALUE"""),342.0)</f>
        <v>342</v>
      </c>
      <c r="U2" s="329">
        <f>IFERROR(__xludf.DUMMYFUNCTION("""COMPUTED_VALUE"""),70.0)</f>
        <v>70</v>
      </c>
      <c r="V2" s="329">
        <f>IFERROR(__xludf.DUMMYFUNCTION("""COMPUTED_VALUE"""),72.0)</f>
        <v>72</v>
      </c>
      <c r="W2" s="329">
        <f>IFERROR(__xludf.DUMMYFUNCTION("""COMPUTED_VALUE"""),6.0)</f>
        <v>6</v>
      </c>
      <c r="X2" s="329">
        <f>IFERROR(__xludf.DUMMYFUNCTION("""COMPUTED_VALUE"""),3.0)</f>
        <v>3</v>
      </c>
      <c r="Y2" s="329">
        <f>IFERROR(__xludf.DUMMYFUNCTION("""COMPUTED_VALUE"""),2.0)</f>
        <v>2</v>
      </c>
      <c r="Z2" s="329">
        <f>IFERROR(__xludf.DUMMYFUNCTION("""COMPUTED_VALUE"""),1091.0)</f>
        <v>1091</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IFERROR(__xludf.DUMMYFUNCTION("""COMPUTED_VALUE"""),44083.0)</f>
        <v>44083</v>
      </c>
      <c r="B3" s="329">
        <f>IFERROR(__xludf.DUMMYFUNCTION("""COMPUTED_VALUE"""),118.0)</f>
        <v>118</v>
      </c>
      <c r="C3" s="329">
        <f>IFERROR(__xludf.DUMMYFUNCTION("""COMPUTED_VALUE"""),76.0)</f>
        <v>76</v>
      </c>
      <c r="D3" s="329">
        <f>IFERROR(__xludf.DUMMYFUNCTION("""COMPUTED_VALUE"""),32289.0)</f>
        <v>32289</v>
      </c>
      <c r="E3" s="329">
        <f>IFERROR(__xludf.DUMMYFUNCTION("""COMPUTED_VALUE"""),8650.0)</f>
        <v>8650</v>
      </c>
      <c r="F3" s="258">
        <f>IFERROR(__xludf.DUMMYFUNCTION("""COMPUTED_VALUE"""),571345.0)</f>
        <v>571345</v>
      </c>
      <c r="G3" s="258">
        <f>IFERROR(__xludf.DUMMYFUNCTION("""COMPUTED_VALUE"""),8768.0)</f>
        <v>8768</v>
      </c>
      <c r="H3" s="258">
        <f>IFERROR(__xludf.DUMMYFUNCTION("""COMPUTED_VALUE"""),603634.0)</f>
        <v>603634</v>
      </c>
      <c r="I3" s="329">
        <f>IFERROR(__xludf.DUMMYFUNCTION("""COMPUTED_VALUE"""),102.0)</f>
        <v>102</v>
      </c>
      <c r="J3" s="329">
        <f>IFERROR(__xludf.DUMMYFUNCTION("""COMPUTED_VALUE"""),65.0)</f>
        <v>65</v>
      </c>
      <c r="K3" s="329">
        <f>IFERROR(__xludf.DUMMYFUNCTION("""COMPUTED_VALUE"""),22583.0)</f>
        <v>22583</v>
      </c>
      <c r="L3" s="329">
        <f>IFERROR(__xludf.DUMMYFUNCTION("""COMPUTED_VALUE"""),1953.0)</f>
        <v>1953</v>
      </c>
      <c r="M3" s="329">
        <f>IFERROR(__xludf.DUMMYFUNCTION("""COMPUTED_VALUE"""),247724.0)</f>
        <v>247724</v>
      </c>
      <c r="N3" s="329">
        <f>IFERROR(__xludf.DUMMYFUNCTION("""COMPUTED_VALUE"""),270307.0)</f>
        <v>270307</v>
      </c>
      <c r="O3" s="329">
        <f>IFERROR(__xludf.DUMMYFUNCTION("""COMPUTED_VALUE"""),10.0)</f>
        <v>10</v>
      </c>
      <c r="P3" s="329">
        <f>IFERROR(__xludf.DUMMYFUNCTION("""COMPUTED_VALUE"""),2564.0)</f>
        <v>2564</v>
      </c>
      <c r="Q3" s="329">
        <f>IFERROR(__xludf.DUMMYFUNCTION("""COMPUTED_VALUE"""),5.0)</f>
        <v>5</v>
      </c>
      <c r="R3" s="329">
        <f>IFERROR(__xludf.DUMMYFUNCTION("""COMPUTED_VALUE"""),2147.0)</f>
        <v>2147</v>
      </c>
      <c r="S3" s="329">
        <f>IFERROR(__xludf.DUMMYFUNCTION("""COMPUTED_VALUE"""),1.0)</f>
        <v>1</v>
      </c>
      <c r="T3" s="329">
        <f>IFERROR(__xludf.DUMMYFUNCTION("""COMPUTED_VALUE"""),343.0)</f>
        <v>343</v>
      </c>
      <c r="U3" s="329">
        <f>IFERROR(__xludf.DUMMYFUNCTION("""COMPUTED_VALUE"""),74.0)</f>
        <v>74</v>
      </c>
      <c r="V3" s="329">
        <f>IFERROR(__xludf.DUMMYFUNCTION("""COMPUTED_VALUE"""),74.0)</f>
        <v>74</v>
      </c>
      <c r="W3" s="329">
        <f>IFERROR(__xludf.DUMMYFUNCTION("""COMPUTED_VALUE"""),9.0)</f>
        <v>9</v>
      </c>
      <c r="X3" s="329">
        <f>IFERROR(__xludf.DUMMYFUNCTION("""COMPUTED_VALUE"""),3.0)</f>
        <v>3</v>
      </c>
      <c r="Y3" s="329">
        <f>IFERROR(__xludf.DUMMYFUNCTION("""COMPUTED_VALUE"""),1.0)</f>
        <v>1</v>
      </c>
      <c r="Z3" s="329">
        <f>IFERROR(__xludf.DUMMYFUNCTION("""COMPUTED_VALUE"""),1092.0)</f>
        <v>1092</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IFERROR(__xludf.DUMMYFUNCTION("""COMPUTED_VALUE"""),44084.0)</f>
        <v>44084</v>
      </c>
      <c r="B4" s="329">
        <f>IFERROR(__xludf.DUMMYFUNCTION("""COMPUTED_VALUE"""),164.0)</f>
        <v>164</v>
      </c>
      <c r="C4" s="329">
        <f>IFERROR(__xludf.DUMMYFUNCTION("""COMPUTED_VALUE"""),119.0)</f>
        <v>119</v>
      </c>
      <c r="D4" s="329">
        <f>IFERROR(__xludf.DUMMYFUNCTION("""COMPUTED_VALUE"""),32453.0)</f>
        <v>32453</v>
      </c>
      <c r="E4" s="329">
        <f>IFERROR(__xludf.DUMMYFUNCTION("""COMPUTED_VALUE"""),11334.0)</f>
        <v>11334</v>
      </c>
      <c r="F4" s="258">
        <f>IFERROR(__xludf.DUMMYFUNCTION("""COMPUTED_VALUE"""),582679.0)</f>
        <v>582679</v>
      </c>
      <c r="G4" s="258">
        <f>IFERROR(__xludf.DUMMYFUNCTION("""COMPUTED_VALUE"""),11498.0)</f>
        <v>11498</v>
      </c>
      <c r="H4" s="258">
        <f>IFERROR(__xludf.DUMMYFUNCTION("""COMPUTED_VALUE"""),615132.0)</f>
        <v>615132</v>
      </c>
      <c r="I4" s="329">
        <f>IFERROR(__xludf.DUMMYFUNCTION("""COMPUTED_VALUE"""),111.0)</f>
        <v>111</v>
      </c>
      <c r="J4" s="329">
        <f>IFERROR(__xludf.DUMMYFUNCTION("""COMPUTED_VALUE"""),93.0)</f>
        <v>93</v>
      </c>
      <c r="K4" s="329">
        <f>IFERROR(__xludf.DUMMYFUNCTION("""COMPUTED_VALUE"""),22694.0)</f>
        <v>22694</v>
      </c>
      <c r="L4" s="329">
        <f>IFERROR(__xludf.DUMMYFUNCTION("""COMPUTED_VALUE"""),2066.0)</f>
        <v>2066</v>
      </c>
      <c r="M4" s="329">
        <f>IFERROR(__xludf.DUMMYFUNCTION("""COMPUTED_VALUE"""),249790.0)</f>
        <v>249790</v>
      </c>
      <c r="N4" s="329">
        <f>IFERROR(__xludf.DUMMYFUNCTION("""COMPUTED_VALUE"""),272484.0)</f>
        <v>272484</v>
      </c>
      <c r="O4" s="329">
        <f>IFERROR(__xludf.DUMMYFUNCTION("""COMPUTED_VALUE"""),9.0)</f>
        <v>9</v>
      </c>
      <c r="P4" s="329">
        <f>IFERROR(__xludf.DUMMYFUNCTION("""COMPUTED_VALUE"""),2573.0)</f>
        <v>2573</v>
      </c>
      <c r="Q4" s="329">
        <f>IFERROR(__xludf.DUMMYFUNCTION("""COMPUTED_VALUE"""),8.0)</f>
        <v>8</v>
      </c>
      <c r="R4" s="329">
        <f>IFERROR(__xludf.DUMMYFUNCTION("""COMPUTED_VALUE"""),2155.0)</f>
        <v>2155</v>
      </c>
      <c r="S4" s="329">
        <f>IFERROR(__xludf.DUMMYFUNCTION("""COMPUTED_VALUE"""),0.0)</f>
        <v>0</v>
      </c>
      <c r="T4" s="329">
        <f>IFERROR(__xludf.DUMMYFUNCTION("""COMPUTED_VALUE"""),343.0)</f>
        <v>343</v>
      </c>
      <c r="U4" s="329">
        <f>IFERROR(__xludf.DUMMYFUNCTION("""COMPUTED_VALUE"""),75.0)</f>
        <v>75</v>
      </c>
      <c r="V4" s="329">
        <f>IFERROR(__xludf.DUMMYFUNCTION("""COMPUTED_VALUE"""),73.0)</f>
        <v>73</v>
      </c>
      <c r="W4" s="329">
        <f>IFERROR(__xludf.DUMMYFUNCTION("""COMPUTED_VALUE"""),10.0)</f>
        <v>10</v>
      </c>
      <c r="X4" s="329">
        <f>IFERROR(__xludf.DUMMYFUNCTION("""COMPUTED_VALUE"""),3.0)</f>
        <v>3</v>
      </c>
      <c r="Y4" s="329">
        <f>IFERROR(__xludf.DUMMYFUNCTION("""COMPUTED_VALUE"""),1.0)</f>
        <v>1</v>
      </c>
      <c r="Z4" s="329">
        <f>IFERROR(__xludf.DUMMYFUNCTION("""COMPUTED_VALUE"""),1093.0)</f>
        <v>1093</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IFERROR(__xludf.DUMMYFUNCTION("""COMPUTED_VALUE"""),44085.0)</f>
        <v>44085</v>
      </c>
      <c r="B5" s="329">
        <f>IFERROR(__xludf.DUMMYFUNCTION("""COMPUTED_VALUE"""),120.0)</f>
        <v>120</v>
      </c>
      <c r="C5" s="329">
        <f>IFERROR(__xludf.DUMMYFUNCTION("""COMPUTED_VALUE"""),134.0)</f>
        <v>134</v>
      </c>
      <c r="D5" s="329">
        <f>IFERROR(__xludf.DUMMYFUNCTION("""COMPUTED_VALUE"""),32573.0)</f>
        <v>32573</v>
      </c>
      <c r="E5" s="329">
        <f>IFERROR(__xludf.DUMMYFUNCTION("""COMPUTED_VALUE"""),9455.0)</f>
        <v>9455</v>
      </c>
      <c r="F5" s="258">
        <f>IFERROR(__xludf.DUMMYFUNCTION("""COMPUTED_VALUE"""),592134.0)</f>
        <v>592134</v>
      </c>
      <c r="G5" s="258">
        <f>IFERROR(__xludf.DUMMYFUNCTION("""COMPUTED_VALUE"""),9575.0)</f>
        <v>9575</v>
      </c>
      <c r="H5" s="258">
        <f>IFERROR(__xludf.DUMMYFUNCTION("""COMPUTED_VALUE"""),624707.0)</f>
        <v>624707</v>
      </c>
      <c r="I5" s="329">
        <f>IFERROR(__xludf.DUMMYFUNCTION("""COMPUTED_VALUE"""),95.0)</f>
        <v>95</v>
      </c>
      <c r="J5" s="329">
        <f>IFERROR(__xludf.DUMMYFUNCTION("""COMPUTED_VALUE"""),103.0)</f>
        <v>103</v>
      </c>
      <c r="K5" s="329">
        <f>IFERROR(__xludf.DUMMYFUNCTION("""COMPUTED_VALUE"""),22789.0)</f>
        <v>22789</v>
      </c>
      <c r="L5" s="329">
        <f>IFERROR(__xludf.DUMMYFUNCTION("""COMPUTED_VALUE"""),1795.0)</f>
        <v>1795</v>
      </c>
      <c r="M5" s="329">
        <f>IFERROR(__xludf.DUMMYFUNCTION("""COMPUTED_VALUE"""),251585.0)</f>
        <v>251585</v>
      </c>
      <c r="N5" s="329">
        <f>IFERROR(__xludf.DUMMYFUNCTION("""COMPUTED_VALUE"""),274374.0)</f>
        <v>274374</v>
      </c>
      <c r="O5" s="329">
        <f>IFERROR(__xludf.DUMMYFUNCTION("""COMPUTED_VALUE"""),10.0)</f>
        <v>10</v>
      </c>
      <c r="P5" s="329">
        <f>IFERROR(__xludf.DUMMYFUNCTION("""COMPUTED_VALUE"""),2583.0)</f>
        <v>2583</v>
      </c>
      <c r="Q5" s="329">
        <f>IFERROR(__xludf.DUMMYFUNCTION("""COMPUTED_VALUE"""),10.0)</f>
        <v>10</v>
      </c>
      <c r="R5" s="329">
        <f>IFERROR(__xludf.DUMMYFUNCTION("""COMPUTED_VALUE"""),2165.0)</f>
        <v>2165</v>
      </c>
      <c r="S5" s="329">
        <f>IFERROR(__xludf.DUMMYFUNCTION("""COMPUTED_VALUE"""),0.0)</f>
        <v>0</v>
      </c>
      <c r="T5" s="329">
        <f>IFERROR(__xludf.DUMMYFUNCTION("""COMPUTED_VALUE"""),343.0)</f>
        <v>343</v>
      </c>
      <c r="U5" s="329">
        <f>IFERROR(__xludf.DUMMYFUNCTION("""COMPUTED_VALUE"""),75.0)</f>
        <v>75</v>
      </c>
      <c r="V5" s="329">
        <f>IFERROR(__xludf.DUMMYFUNCTION("""COMPUTED_VALUE"""),75.0)</f>
        <v>75</v>
      </c>
      <c r="W5" s="329">
        <f>IFERROR(__xludf.DUMMYFUNCTION("""COMPUTED_VALUE"""),10.0)</f>
        <v>10</v>
      </c>
      <c r="X5" s="329">
        <f>IFERROR(__xludf.DUMMYFUNCTION("""COMPUTED_VALUE"""),5.0)</f>
        <v>5</v>
      </c>
      <c r="Y5" s="329">
        <f>IFERROR(__xludf.DUMMYFUNCTION("""COMPUTED_VALUE"""),0.0)</f>
        <v>0</v>
      </c>
      <c r="Z5" s="329">
        <f>IFERROR(__xludf.DUMMYFUNCTION("""COMPUTED_VALUE"""),1093.0)</f>
        <v>1093</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IFERROR(__xludf.DUMMYFUNCTION("""COMPUTED_VALUE"""),44086.0)</f>
        <v>44086</v>
      </c>
      <c r="B6" s="329">
        <f>IFERROR(__xludf.DUMMYFUNCTION("""COMPUTED_VALUE"""),110.0)</f>
        <v>110</v>
      </c>
      <c r="C6" s="329">
        <f>IFERROR(__xludf.DUMMYFUNCTION("""COMPUTED_VALUE"""),131.0)</f>
        <v>131</v>
      </c>
      <c r="D6" s="329">
        <f>IFERROR(__xludf.DUMMYFUNCTION("""COMPUTED_VALUE"""),32683.0)</f>
        <v>32683</v>
      </c>
      <c r="E6" s="329">
        <f>IFERROR(__xludf.DUMMYFUNCTION("""COMPUTED_VALUE"""),6158.0)</f>
        <v>6158</v>
      </c>
      <c r="F6" s="258">
        <f>IFERROR(__xludf.DUMMYFUNCTION("""COMPUTED_VALUE"""),598292.0)</f>
        <v>598292</v>
      </c>
      <c r="G6" s="258">
        <f>IFERROR(__xludf.DUMMYFUNCTION("""COMPUTED_VALUE"""),6268.0)</f>
        <v>6268</v>
      </c>
      <c r="H6" s="258">
        <f>IFERROR(__xludf.DUMMYFUNCTION("""COMPUTED_VALUE"""),630975.0)</f>
        <v>630975</v>
      </c>
      <c r="I6" s="329">
        <f>IFERROR(__xludf.DUMMYFUNCTION("""COMPUTED_VALUE"""),97.0)</f>
        <v>97</v>
      </c>
      <c r="J6" s="329">
        <f>IFERROR(__xludf.DUMMYFUNCTION("""COMPUTED_VALUE"""),101.0)</f>
        <v>101</v>
      </c>
      <c r="K6" s="329">
        <f>IFERROR(__xludf.DUMMYFUNCTION("""COMPUTED_VALUE"""),22886.0)</f>
        <v>22886</v>
      </c>
      <c r="L6" s="329">
        <f>IFERROR(__xludf.DUMMYFUNCTION("""COMPUTED_VALUE"""),1361.0)</f>
        <v>1361</v>
      </c>
      <c r="M6" s="329">
        <f>IFERROR(__xludf.DUMMYFUNCTION("""COMPUTED_VALUE"""),252946.0)</f>
        <v>252946</v>
      </c>
      <c r="N6" s="329">
        <f>IFERROR(__xludf.DUMMYFUNCTION("""COMPUTED_VALUE"""),275832.0)</f>
        <v>275832</v>
      </c>
      <c r="O6" s="329">
        <f>IFERROR(__xludf.DUMMYFUNCTION("""COMPUTED_VALUE"""),8.0)</f>
        <v>8</v>
      </c>
      <c r="P6" s="329">
        <f>IFERROR(__xludf.DUMMYFUNCTION("""COMPUTED_VALUE"""),2591.0)</f>
        <v>2591</v>
      </c>
      <c r="Q6" s="329">
        <f>IFERROR(__xludf.DUMMYFUNCTION("""COMPUTED_VALUE"""),5.0)</f>
        <v>5</v>
      </c>
      <c r="R6" s="329">
        <f>IFERROR(__xludf.DUMMYFUNCTION("""COMPUTED_VALUE"""),2170.0)</f>
        <v>2170</v>
      </c>
      <c r="S6" s="329">
        <f>IFERROR(__xludf.DUMMYFUNCTION("""COMPUTED_VALUE"""),2.0)</f>
        <v>2</v>
      </c>
      <c r="T6" s="329">
        <f>IFERROR(__xludf.DUMMYFUNCTION("""COMPUTED_VALUE"""),345.0)</f>
        <v>345</v>
      </c>
      <c r="U6" s="329">
        <f>IFERROR(__xludf.DUMMYFUNCTION("""COMPUTED_VALUE"""),76.0)</f>
        <v>76</v>
      </c>
      <c r="V6" s="329">
        <f>IFERROR(__xludf.DUMMYFUNCTION("""COMPUTED_VALUE"""),75.0)</f>
        <v>75</v>
      </c>
      <c r="W6" s="329">
        <f>IFERROR(__xludf.DUMMYFUNCTION("""COMPUTED_VALUE"""),9.0)</f>
        <v>9</v>
      </c>
      <c r="X6" s="329">
        <f>IFERROR(__xludf.DUMMYFUNCTION("""COMPUTED_VALUE"""),5.0)</f>
        <v>5</v>
      </c>
      <c r="Y6" s="329">
        <f>IFERROR(__xludf.DUMMYFUNCTION("""COMPUTED_VALUE"""),3.0)</f>
        <v>3</v>
      </c>
      <c r="Z6" s="329">
        <f>IFERROR(__xludf.DUMMYFUNCTION("""COMPUTED_VALUE"""),1096.0)</f>
        <v>1096</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IFERROR(__xludf.DUMMYFUNCTION("""COMPUTED_VALUE"""),44087.0)</f>
        <v>44087</v>
      </c>
      <c r="B7" s="329">
        <f>IFERROR(__xludf.DUMMYFUNCTION("""COMPUTED_VALUE"""),58.0)</f>
        <v>58</v>
      </c>
      <c r="C7" s="329">
        <f>IFERROR(__xludf.DUMMYFUNCTION("""COMPUTED_VALUE"""),96.0)</f>
        <v>96</v>
      </c>
      <c r="D7" s="329">
        <f>IFERROR(__xludf.DUMMYFUNCTION("""COMPUTED_VALUE"""),32741.0)</f>
        <v>32741</v>
      </c>
      <c r="E7" s="329">
        <f>IFERROR(__xludf.DUMMYFUNCTION("""COMPUTED_VALUE"""),2717.0)</f>
        <v>2717</v>
      </c>
      <c r="F7" s="258">
        <f>IFERROR(__xludf.DUMMYFUNCTION("""COMPUTED_VALUE"""),601009.0)</f>
        <v>601009</v>
      </c>
      <c r="G7" s="258">
        <f>IFERROR(__xludf.DUMMYFUNCTION("""COMPUTED_VALUE"""),2775.0)</f>
        <v>2775</v>
      </c>
      <c r="H7" s="258">
        <f>IFERROR(__xludf.DUMMYFUNCTION("""COMPUTED_VALUE"""),633750.0)</f>
        <v>633750</v>
      </c>
      <c r="I7" s="329">
        <f>IFERROR(__xludf.DUMMYFUNCTION("""COMPUTED_VALUE"""),53.0)</f>
        <v>53</v>
      </c>
      <c r="J7" s="329">
        <f>IFERROR(__xludf.DUMMYFUNCTION("""COMPUTED_VALUE"""),82.0)</f>
        <v>82</v>
      </c>
      <c r="K7" s="329">
        <f>IFERROR(__xludf.DUMMYFUNCTION("""COMPUTED_VALUE"""),22939.0)</f>
        <v>22939</v>
      </c>
      <c r="L7" s="329">
        <f>IFERROR(__xludf.DUMMYFUNCTION("""COMPUTED_VALUE"""),800.0)</f>
        <v>800</v>
      </c>
      <c r="M7" s="329">
        <f>IFERROR(__xludf.DUMMYFUNCTION("""COMPUTED_VALUE"""),253746.0)</f>
        <v>253746</v>
      </c>
      <c r="N7" s="329">
        <f>IFERROR(__xludf.DUMMYFUNCTION("""COMPUTED_VALUE"""),276685.0)</f>
        <v>276685</v>
      </c>
      <c r="O7" s="329">
        <f>IFERROR(__xludf.DUMMYFUNCTION("""COMPUTED_VALUE"""),4.0)</f>
        <v>4</v>
      </c>
      <c r="P7" s="329">
        <f>IFERROR(__xludf.DUMMYFUNCTION("""COMPUTED_VALUE"""),2595.0)</f>
        <v>2595</v>
      </c>
      <c r="Q7" s="329">
        <f>IFERROR(__xludf.DUMMYFUNCTION("""COMPUTED_VALUE"""),3.0)</f>
        <v>3</v>
      </c>
      <c r="R7" s="329">
        <f>IFERROR(__xludf.DUMMYFUNCTION("""COMPUTED_VALUE"""),2173.0)</f>
        <v>2173</v>
      </c>
      <c r="S7" s="329">
        <f>IFERROR(__xludf.DUMMYFUNCTION("""COMPUTED_VALUE"""),0.0)</f>
        <v>0</v>
      </c>
      <c r="T7" s="329">
        <f>IFERROR(__xludf.DUMMYFUNCTION("""COMPUTED_VALUE"""),345.0)</f>
        <v>345</v>
      </c>
      <c r="U7" s="329">
        <f>IFERROR(__xludf.DUMMYFUNCTION("""COMPUTED_VALUE"""),77.0)</f>
        <v>77</v>
      </c>
      <c r="V7" s="329">
        <f>IFERROR(__xludf.DUMMYFUNCTION("""COMPUTED_VALUE"""),76.0)</f>
        <v>76</v>
      </c>
      <c r="W7" s="329">
        <f>IFERROR(__xludf.DUMMYFUNCTION("""COMPUTED_VALUE"""),10.0)</f>
        <v>10</v>
      </c>
      <c r="X7" s="329">
        <f>IFERROR(__xludf.DUMMYFUNCTION("""COMPUTED_VALUE"""),5.0)</f>
        <v>5</v>
      </c>
      <c r="Y7" s="329">
        <f>IFERROR(__xludf.DUMMYFUNCTION("""COMPUTED_VALUE"""),0.0)</f>
        <v>0</v>
      </c>
      <c r="Z7" s="329">
        <f>IFERROR(__xludf.DUMMYFUNCTION("""COMPUTED_VALUE"""),1096.0)</f>
        <v>1096</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IFERROR(__xludf.DUMMYFUNCTION("""COMPUTED_VALUE"""),44088.0)</f>
        <v>44088</v>
      </c>
      <c r="B8" s="329">
        <f>IFERROR(__xludf.DUMMYFUNCTION("""COMPUTED_VALUE"""),104.0)</f>
        <v>104</v>
      </c>
      <c r="C8" s="329">
        <f>IFERROR(__xludf.DUMMYFUNCTION("""COMPUTED_VALUE"""),91.0)</f>
        <v>91</v>
      </c>
      <c r="D8" s="329">
        <f>IFERROR(__xludf.DUMMYFUNCTION("""COMPUTED_VALUE"""),32845.0)</f>
        <v>32845</v>
      </c>
      <c r="E8" s="329">
        <f>IFERROR(__xludf.DUMMYFUNCTION("""COMPUTED_VALUE"""),6434.0)</f>
        <v>6434</v>
      </c>
      <c r="F8" s="258">
        <f>IFERROR(__xludf.DUMMYFUNCTION("""COMPUTED_VALUE"""),607443.0)</f>
        <v>607443</v>
      </c>
      <c r="G8" s="258">
        <f>IFERROR(__xludf.DUMMYFUNCTION("""COMPUTED_VALUE"""),6538.0)</f>
        <v>6538</v>
      </c>
      <c r="H8" s="258">
        <f>IFERROR(__xludf.DUMMYFUNCTION("""COMPUTED_VALUE"""),640288.0)</f>
        <v>640288</v>
      </c>
      <c r="I8" s="329">
        <f>IFERROR(__xludf.DUMMYFUNCTION("""COMPUTED_VALUE"""),96.0)</f>
        <v>96</v>
      </c>
      <c r="J8" s="329">
        <f>IFERROR(__xludf.DUMMYFUNCTION("""COMPUTED_VALUE"""),82.0)</f>
        <v>82</v>
      </c>
      <c r="K8" s="329">
        <f>IFERROR(__xludf.DUMMYFUNCTION("""COMPUTED_VALUE"""),23035.0)</f>
        <v>23035</v>
      </c>
      <c r="L8" s="329">
        <f>IFERROR(__xludf.DUMMYFUNCTION("""COMPUTED_VALUE"""),1566.0)</f>
        <v>1566</v>
      </c>
      <c r="M8" s="329">
        <f>IFERROR(__xludf.DUMMYFUNCTION("""COMPUTED_VALUE"""),255312.0)</f>
        <v>255312</v>
      </c>
      <c r="N8" s="329">
        <f>IFERROR(__xludf.DUMMYFUNCTION("""COMPUTED_VALUE"""),278347.0)</f>
        <v>278347</v>
      </c>
      <c r="O8" s="329">
        <f>IFERROR(__xludf.DUMMYFUNCTION("""COMPUTED_VALUE"""),6.0)</f>
        <v>6</v>
      </c>
      <c r="P8" s="329">
        <f>IFERROR(__xludf.DUMMYFUNCTION("""COMPUTED_VALUE"""),2601.0)</f>
        <v>2601</v>
      </c>
      <c r="Q8" s="329">
        <f>IFERROR(__xludf.DUMMYFUNCTION("""COMPUTED_VALUE"""),3.0)</f>
        <v>3</v>
      </c>
      <c r="R8" s="329">
        <f>IFERROR(__xludf.DUMMYFUNCTION("""COMPUTED_VALUE"""),2176.0)</f>
        <v>2176</v>
      </c>
      <c r="S8" s="329">
        <f>IFERROR(__xludf.DUMMYFUNCTION("""COMPUTED_VALUE"""),2.0)</f>
        <v>2</v>
      </c>
      <c r="T8" s="329">
        <f>IFERROR(__xludf.DUMMYFUNCTION("""COMPUTED_VALUE"""),347.0)</f>
        <v>347</v>
      </c>
      <c r="U8" s="329">
        <f>IFERROR(__xludf.DUMMYFUNCTION("""COMPUTED_VALUE"""),78.0)</f>
        <v>78</v>
      </c>
      <c r="V8" s="329">
        <f>IFERROR(__xludf.DUMMYFUNCTION("""COMPUTED_VALUE"""),77.0)</f>
        <v>77</v>
      </c>
      <c r="W8" s="329">
        <f>IFERROR(__xludf.DUMMYFUNCTION("""COMPUTED_VALUE"""),10.0)</f>
        <v>10</v>
      </c>
      <c r="X8" s="329">
        <f>IFERROR(__xludf.DUMMYFUNCTION("""COMPUTED_VALUE"""),5.0)</f>
        <v>5</v>
      </c>
      <c r="Y8" s="329">
        <f>IFERROR(__xludf.DUMMYFUNCTION("""COMPUTED_VALUE"""),2.0)</f>
        <v>2</v>
      </c>
      <c r="Z8" s="329">
        <f>IFERROR(__xludf.DUMMYFUNCTION("""COMPUTED_VALUE"""),1098.0)</f>
        <v>1098</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IFERROR(__xludf.DUMMYFUNCTION("""COMPUTED_VALUE"""),44089.0)</f>
        <v>44089</v>
      </c>
      <c r="B9" s="329">
        <f>IFERROR(__xludf.DUMMYFUNCTION("""COMPUTED_VALUE"""),122.0)</f>
        <v>122</v>
      </c>
      <c r="C9" s="329">
        <f>IFERROR(__xludf.DUMMYFUNCTION("""COMPUTED_VALUE"""),95.0)</f>
        <v>95</v>
      </c>
      <c r="D9" s="329">
        <f>IFERROR(__xludf.DUMMYFUNCTION("""COMPUTED_VALUE"""),32967.0)</f>
        <v>32967</v>
      </c>
      <c r="E9" s="329">
        <f>IFERROR(__xludf.DUMMYFUNCTION("""COMPUTED_VALUE"""),8456.0)</f>
        <v>8456</v>
      </c>
      <c r="F9" s="258">
        <f>IFERROR(__xludf.DUMMYFUNCTION("""COMPUTED_VALUE"""),615899.0)</f>
        <v>615899</v>
      </c>
      <c r="G9" s="258">
        <f>IFERROR(__xludf.DUMMYFUNCTION("""COMPUTED_VALUE"""),8578.0)</f>
        <v>8578</v>
      </c>
      <c r="H9" s="258">
        <f>IFERROR(__xludf.DUMMYFUNCTION("""COMPUTED_VALUE"""),648866.0)</f>
        <v>648866</v>
      </c>
      <c r="I9" s="329">
        <f>IFERROR(__xludf.DUMMYFUNCTION("""COMPUTED_VALUE"""),123.0)</f>
        <v>123</v>
      </c>
      <c r="J9" s="329">
        <f>IFERROR(__xludf.DUMMYFUNCTION("""COMPUTED_VALUE"""),91.0)</f>
        <v>91</v>
      </c>
      <c r="K9" s="329">
        <f>IFERROR(__xludf.DUMMYFUNCTION("""COMPUTED_VALUE"""),23158.0)</f>
        <v>23158</v>
      </c>
      <c r="L9" s="329">
        <f>IFERROR(__xludf.DUMMYFUNCTION("""COMPUTED_VALUE"""),1996.0)</f>
        <v>1996</v>
      </c>
      <c r="M9" s="329">
        <f>IFERROR(__xludf.DUMMYFUNCTION("""COMPUTED_VALUE"""),257308.0)</f>
        <v>257308</v>
      </c>
      <c r="N9" s="329">
        <f>IFERROR(__xludf.DUMMYFUNCTION("""COMPUTED_VALUE"""),280466.0)</f>
        <v>280466</v>
      </c>
      <c r="O9" s="329">
        <f>IFERROR(__xludf.DUMMYFUNCTION("""COMPUTED_VALUE"""),7.0)</f>
        <v>7</v>
      </c>
      <c r="P9" s="329">
        <f>IFERROR(__xludf.DUMMYFUNCTION("""COMPUTED_VALUE"""),2608.0)</f>
        <v>2608</v>
      </c>
      <c r="Q9" s="329">
        <f>IFERROR(__xludf.DUMMYFUNCTION("""COMPUTED_VALUE"""),2.0)</f>
        <v>2</v>
      </c>
      <c r="R9" s="329">
        <f>IFERROR(__xludf.DUMMYFUNCTION("""COMPUTED_VALUE"""),2178.0)</f>
        <v>2178</v>
      </c>
      <c r="S9" s="329">
        <f>IFERROR(__xludf.DUMMYFUNCTION("""COMPUTED_VALUE"""),1.0)</f>
        <v>1</v>
      </c>
      <c r="T9" s="329">
        <f>IFERROR(__xludf.DUMMYFUNCTION("""COMPUTED_VALUE"""),348.0)</f>
        <v>348</v>
      </c>
      <c r="U9" s="329">
        <f>IFERROR(__xludf.DUMMYFUNCTION("""COMPUTED_VALUE"""),82.0)</f>
        <v>82</v>
      </c>
      <c r="V9" s="329">
        <f>IFERROR(__xludf.DUMMYFUNCTION("""COMPUTED_VALUE"""),79.0)</f>
        <v>79</v>
      </c>
      <c r="W9" s="329">
        <f>IFERROR(__xludf.DUMMYFUNCTION("""COMPUTED_VALUE"""),10.0)</f>
        <v>10</v>
      </c>
      <c r="X9" s="329">
        <f>IFERROR(__xludf.DUMMYFUNCTION("""COMPUTED_VALUE"""),5.0)</f>
        <v>5</v>
      </c>
      <c r="Y9" s="329">
        <f>IFERROR(__xludf.DUMMYFUNCTION("""COMPUTED_VALUE"""),2.0)</f>
        <v>2</v>
      </c>
      <c r="Z9" s="329">
        <f>IFERROR(__xludf.DUMMYFUNCTION("""COMPUTED_VALUE"""),1100.0)</f>
        <v>1100</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IFERROR(__xludf.DUMMYFUNCTION("""COMPUTED_VALUE"""),44090.0)</f>
        <v>44090</v>
      </c>
      <c r="B10" s="329">
        <f>IFERROR(__xludf.DUMMYFUNCTION("""COMPUTED_VALUE"""),137.0)</f>
        <v>137</v>
      </c>
      <c r="C10" s="329">
        <f>IFERROR(__xludf.DUMMYFUNCTION("""COMPUTED_VALUE"""),121.0)</f>
        <v>121</v>
      </c>
      <c r="D10" s="329">
        <f>IFERROR(__xludf.DUMMYFUNCTION("""COMPUTED_VALUE"""),33104.0)</f>
        <v>33104</v>
      </c>
      <c r="E10" s="329">
        <f>IFERROR(__xludf.DUMMYFUNCTION("""COMPUTED_VALUE"""),9707.0)</f>
        <v>9707</v>
      </c>
      <c r="F10" s="258">
        <f>IFERROR(__xludf.DUMMYFUNCTION("""COMPUTED_VALUE"""),625606.0)</f>
        <v>625606</v>
      </c>
      <c r="G10" s="258">
        <f>IFERROR(__xludf.DUMMYFUNCTION("""COMPUTED_VALUE"""),9844.0)</f>
        <v>9844</v>
      </c>
      <c r="H10" s="258">
        <f>IFERROR(__xludf.DUMMYFUNCTION("""COMPUTED_VALUE"""),658710.0)</f>
        <v>658710</v>
      </c>
      <c r="I10" s="329">
        <f>IFERROR(__xludf.DUMMYFUNCTION("""COMPUTED_VALUE"""),117.0)</f>
        <v>117</v>
      </c>
      <c r="J10" s="329">
        <f>IFERROR(__xludf.DUMMYFUNCTION("""COMPUTED_VALUE"""),112.0)</f>
        <v>112</v>
      </c>
      <c r="K10" s="329">
        <f>IFERROR(__xludf.DUMMYFUNCTION("""COMPUTED_VALUE"""),23275.0)</f>
        <v>23275</v>
      </c>
      <c r="L10" s="329">
        <f>IFERROR(__xludf.DUMMYFUNCTION("""COMPUTED_VALUE"""),1802.0)</f>
        <v>1802</v>
      </c>
      <c r="M10" s="329">
        <f>IFERROR(__xludf.DUMMYFUNCTION("""COMPUTED_VALUE"""),259110.0)</f>
        <v>259110</v>
      </c>
      <c r="N10" s="329">
        <f>IFERROR(__xludf.DUMMYFUNCTION("""COMPUTED_VALUE"""),282385.0)</f>
        <v>282385</v>
      </c>
      <c r="O10" s="329">
        <f>IFERROR(__xludf.DUMMYFUNCTION("""COMPUTED_VALUE"""),7.0)</f>
        <v>7</v>
      </c>
      <c r="P10" s="329">
        <f>IFERROR(__xludf.DUMMYFUNCTION("""COMPUTED_VALUE"""),2615.0)</f>
        <v>2615</v>
      </c>
      <c r="Q10" s="329">
        <f>IFERROR(__xludf.DUMMYFUNCTION("""COMPUTED_VALUE"""),7.0)</f>
        <v>7</v>
      </c>
      <c r="R10" s="329">
        <f>IFERROR(__xludf.DUMMYFUNCTION("""COMPUTED_VALUE"""),2185.0)</f>
        <v>2185</v>
      </c>
      <c r="S10" s="329">
        <f>IFERROR(__xludf.DUMMYFUNCTION("""COMPUTED_VALUE"""),2.0)</f>
        <v>2</v>
      </c>
      <c r="T10" s="329">
        <f>IFERROR(__xludf.DUMMYFUNCTION("""COMPUTED_VALUE"""),350.0)</f>
        <v>350</v>
      </c>
      <c r="U10" s="329">
        <f>IFERROR(__xludf.DUMMYFUNCTION("""COMPUTED_VALUE"""),80.0)</f>
        <v>80</v>
      </c>
      <c r="V10" s="329">
        <f>IFERROR(__xludf.DUMMYFUNCTION("""COMPUTED_VALUE"""),80.0)</f>
        <v>80</v>
      </c>
      <c r="W10" s="329">
        <f>IFERROR(__xludf.DUMMYFUNCTION("""COMPUTED_VALUE"""),9.0)</f>
        <v>9</v>
      </c>
      <c r="X10" s="329">
        <f>IFERROR(__xludf.DUMMYFUNCTION("""COMPUTED_VALUE"""),6.0)</f>
        <v>6</v>
      </c>
      <c r="Y10" s="329">
        <f>IFERROR(__xludf.DUMMYFUNCTION("""COMPUTED_VALUE"""),5.0)</f>
        <v>5</v>
      </c>
      <c r="Z10" s="329">
        <f>IFERROR(__xludf.DUMMYFUNCTION("""COMPUTED_VALUE"""),1105.0)</f>
        <v>1105</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IFERROR(__xludf.DUMMYFUNCTION("""COMPUTED_VALUE"""),44091.0)</f>
        <v>44091</v>
      </c>
      <c r="B11" s="329">
        <f>IFERROR(__xludf.DUMMYFUNCTION("""COMPUTED_VALUE"""),125.0)</f>
        <v>125</v>
      </c>
      <c r="C11" s="329">
        <f>IFERROR(__xludf.DUMMYFUNCTION("""COMPUTED_VALUE"""),128.0)</f>
        <v>128</v>
      </c>
      <c r="D11" s="329">
        <f>IFERROR(__xludf.DUMMYFUNCTION("""COMPUTED_VALUE"""),33229.0)</f>
        <v>33229</v>
      </c>
      <c r="E11" s="329">
        <f>IFERROR(__xludf.DUMMYFUNCTION("""COMPUTED_VALUE"""),9228.0)</f>
        <v>9228</v>
      </c>
      <c r="F11" s="258">
        <f>IFERROR(__xludf.DUMMYFUNCTION("""COMPUTED_VALUE"""),634834.0)</f>
        <v>634834</v>
      </c>
      <c r="G11" s="258">
        <f>IFERROR(__xludf.DUMMYFUNCTION("""COMPUTED_VALUE"""),9353.0)</f>
        <v>9353</v>
      </c>
      <c r="H11" s="258">
        <f>IFERROR(__xludf.DUMMYFUNCTION("""COMPUTED_VALUE"""),668063.0)</f>
        <v>668063</v>
      </c>
      <c r="I11" s="329">
        <f>IFERROR(__xludf.DUMMYFUNCTION("""COMPUTED_VALUE"""),153.0)</f>
        <v>153</v>
      </c>
      <c r="J11" s="329">
        <f>IFERROR(__xludf.DUMMYFUNCTION("""COMPUTED_VALUE"""),131.0)</f>
        <v>131</v>
      </c>
      <c r="K11" s="329">
        <f>IFERROR(__xludf.DUMMYFUNCTION("""COMPUTED_VALUE"""),23428.0)</f>
        <v>23428</v>
      </c>
      <c r="L11" s="329">
        <f>IFERROR(__xludf.DUMMYFUNCTION("""COMPUTED_VALUE"""),1766.0)</f>
        <v>1766</v>
      </c>
      <c r="M11" s="329">
        <f>IFERROR(__xludf.DUMMYFUNCTION("""COMPUTED_VALUE"""),260876.0)</f>
        <v>260876</v>
      </c>
      <c r="N11" s="329">
        <f>IFERROR(__xludf.DUMMYFUNCTION("""COMPUTED_VALUE"""),284304.0)</f>
        <v>284304</v>
      </c>
      <c r="O11" s="329">
        <f>IFERROR(__xludf.DUMMYFUNCTION("""COMPUTED_VALUE"""),7.0)</f>
        <v>7</v>
      </c>
      <c r="P11" s="329">
        <f>IFERROR(__xludf.DUMMYFUNCTION("""COMPUTED_VALUE"""),2622.0)</f>
        <v>2622</v>
      </c>
      <c r="Q11" s="329">
        <f>IFERROR(__xludf.DUMMYFUNCTION("""COMPUTED_VALUE"""),15.0)</f>
        <v>15</v>
      </c>
      <c r="R11" s="329">
        <f>IFERROR(__xludf.DUMMYFUNCTION("""COMPUTED_VALUE"""),2200.0)</f>
        <v>2200</v>
      </c>
      <c r="S11" s="329">
        <f>IFERROR(__xludf.DUMMYFUNCTION("""COMPUTED_VALUE"""),0.0)</f>
        <v>0</v>
      </c>
      <c r="T11" s="329">
        <f>IFERROR(__xludf.DUMMYFUNCTION("""COMPUTED_VALUE"""),350.0)</f>
        <v>350</v>
      </c>
      <c r="U11" s="329">
        <f>IFERROR(__xludf.DUMMYFUNCTION("""COMPUTED_VALUE"""),72.0)</f>
        <v>72</v>
      </c>
      <c r="V11" s="329">
        <f>IFERROR(__xludf.DUMMYFUNCTION("""COMPUTED_VALUE"""),78.0)</f>
        <v>78</v>
      </c>
      <c r="W11" s="329">
        <f>IFERROR(__xludf.DUMMYFUNCTION("""COMPUTED_VALUE"""),8.0)</f>
        <v>8</v>
      </c>
      <c r="X11" s="329">
        <f>IFERROR(__xludf.DUMMYFUNCTION("""COMPUTED_VALUE"""),4.0)</f>
        <v>4</v>
      </c>
      <c r="Y11" s="329">
        <f>IFERROR(__xludf.DUMMYFUNCTION("""COMPUTED_VALUE"""),0.0)</f>
        <v>0</v>
      </c>
      <c r="Z11" s="329">
        <f>IFERROR(__xludf.DUMMYFUNCTION("""COMPUTED_VALUE"""),1105.0)</f>
        <v>1105</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IFERROR(__xludf.DUMMYFUNCTION("""COMPUTED_VALUE"""),44092.0)</f>
        <v>44092</v>
      </c>
      <c r="B12" s="329">
        <f>IFERROR(__xludf.DUMMYFUNCTION("""COMPUTED_VALUE"""),132.0)</f>
        <v>132</v>
      </c>
      <c r="C12" s="329">
        <f>IFERROR(__xludf.DUMMYFUNCTION("""COMPUTED_VALUE"""),131.0)</f>
        <v>131</v>
      </c>
      <c r="D12" s="329">
        <f>IFERROR(__xludf.DUMMYFUNCTION("""COMPUTED_VALUE"""),33361.0)</f>
        <v>33361</v>
      </c>
      <c r="E12" s="329">
        <f>IFERROR(__xludf.DUMMYFUNCTION("""COMPUTED_VALUE"""),10027.0)</f>
        <v>10027</v>
      </c>
      <c r="F12" s="258">
        <f>IFERROR(__xludf.DUMMYFUNCTION("""COMPUTED_VALUE"""),644861.0)</f>
        <v>644861</v>
      </c>
      <c r="G12" s="258">
        <f>IFERROR(__xludf.DUMMYFUNCTION("""COMPUTED_VALUE"""),10159.0)</f>
        <v>10159</v>
      </c>
      <c r="H12" s="258">
        <f>IFERROR(__xludf.DUMMYFUNCTION("""COMPUTED_VALUE"""),678222.0)</f>
        <v>678222</v>
      </c>
      <c r="I12" s="329">
        <f>IFERROR(__xludf.DUMMYFUNCTION("""COMPUTED_VALUE"""),131.0)</f>
        <v>131</v>
      </c>
      <c r="J12" s="329">
        <f>IFERROR(__xludf.DUMMYFUNCTION("""COMPUTED_VALUE"""),134.0)</f>
        <v>134</v>
      </c>
      <c r="K12" s="329">
        <f>IFERROR(__xludf.DUMMYFUNCTION("""COMPUTED_VALUE"""),23559.0)</f>
        <v>23559</v>
      </c>
      <c r="L12" s="329">
        <f>IFERROR(__xludf.DUMMYFUNCTION("""COMPUTED_VALUE"""),1742.0)</f>
        <v>1742</v>
      </c>
      <c r="M12" s="329">
        <f>IFERROR(__xludf.DUMMYFUNCTION("""COMPUTED_VALUE"""),262618.0)</f>
        <v>262618</v>
      </c>
      <c r="N12" s="329">
        <f>IFERROR(__xludf.DUMMYFUNCTION("""COMPUTED_VALUE"""),286177.0)</f>
        <v>286177</v>
      </c>
      <c r="O12" s="329">
        <f>IFERROR(__xludf.DUMMYFUNCTION("""COMPUTED_VALUE"""),7.0)</f>
        <v>7</v>
      </c>
      <c r="P12" s="329">
        <f>IFERROR(__xludf.DUMMYFUNCTION("""COMPUTED_VALUE"""),2629.0)</f>
        <v>2629</v>
      </c>
      <c r="Q12" s="329">
        <f>IFERROR(__xludf.DUMMYFUNCTION("""COMPUTED_VALUE"""),7.0)</f>
        <v>7</v>
      </c>
      <c r="R12" s="329">
        <f>IFERROR(__xludf.DUMMYFUNCTION("""COMPUTED_VALUE"""),2207.0)</f>
        <v>2207</v>
      </c>
      <c r="S12" s="329">
        <f>IFERROR(__xludf.DUMMYFUNCTION("""COMPUTED_VALUE"""),1.0)</f>
        <v>1</v>
      </c>
      <c r="T12" s="329">
        <f>IFERROR(__xludf.DUMMYFUNCTION("""COMPUTED_VALUE"""),351.0)</f>
        <v>351</v>
      </c>
      <c r="U12" s="329">
        <f>IFERROR(__xludf.DUMMYFUNCTION("""COMPUTED_VALUE"""),71.0)</f>
        <v>71</v>
      </c>
      <c r="V12" s="329">
        <f>IFERROR(__xludf.DUMMYFUNCTION("""COMPUTED_VALUE"""),74.0)</f>
        <v>74</v>
      </c>
      <c r="W12" s="329">
        <f>IFERROR(__xludf.DUMMYFUNCTION("""COMPUTED_VALUE"""),11.0)</f>
        <v>11</v>
      </c>
      <c r="X12" s="329">
        <f>IFERROR(__xludf.DUMMYFUNCTION("""COMPUTED_VALUE"""),6.0)</f>
        <v>6</v>
      </c>
      <c r="Y12" s="329">
        <f>IFERROR(__xludf.DUMMYFUNCTION("""COMPUTED_VALUE"""),2.0)</f>
        <v>2</v>
      </c>
      <c r="Z12" s="329">
        <f>IFERROR(__xludf.DUMMYFUNCTION("""COMPUTED_VALUE"""),1107.0)</f>
        <v>1107</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IFERROR(__xludf.DUMMYFUNCTION("""COMPUTED_VALUE"""),44093.0)</f>
        <v>44093</v>
      </c>
      <c r="B13" s="329">
        <f>IFERROR(__xludf.DUMMYFUNCTION("""COMPUTED_VALUE"""),115.0)</f>
        <v>115</v>
      </c>
      <c r="C13" s="329">
        <f>IFERROR(__xludf.DUMMYFUNCTION("""COMPUTED_VALUE"""),124.0)</f>
        <v>124</v>
      </c>
      <c r="D13" s="329">
        <f>IFERROR(__xludf.DUMMYFUNCTION("""COMPUTED_VALUE"""),33476.0)</f>
        <v>33476</v>
      </c>
      <c r="E13" s="329">
        <f>IFERROR(__xludf.DUMMYFUNCTION("""COMPUTED_VALUE"""),8292.0)</f>
        <v>8292</v>
      </c>
      <c r="F13" s="258">
        <f>IFERROR(__xludf.DUMMYFUNCTION("""COMPUTED_VALUE"""),653153.0)</f>
        <v>653153</v>
      </c>
      <c r="G13" s="258">
        <f>IFERROR(__xludf.DUMMYFUNCTION("""COMPUTED_VALUE"""),8407.0)</f>
        <v>8407</v>
      </c>
      <c r="H13" s="258">
        <f>IFERROR(__xludf.DUMMYFUNCTION("""COMPUTED_VALUE"""),686629.0)</f>
        <v>686629</v>
      </c>
      <c r="I13" s="329">
        <f>IFERROR(__xludf.DUMMYFUNCTION("""COMPUTED_VALUE"""),111.0)</f>
        <v>111</v>
      </c>
      <c r="J13" s="329">
        <f>IFERROR(__xludf.DUMMYFUNCTION("""COMPUTED_VALUE"""),132.0)</f>
        <v>132</v>
      </c>
      <c r="K13" s="329">
        <f>IFERROR(__xludf.DUMMYFUNCTION("""COMPUTED_VALUE"""),23670.0)</f>
        <v>23670</v>
      </c>
      <c r="L13" s="329">
        <f>IFERROR(__xludf.DUMMYFUNCTION("""COMPUTED_VALUE"""),1559.0)</f>
        <v>1559</v>
      </c>
      <c r="M13" s="329">
        <f>IFERROR(__xludf.DUMMYFUNCTION("""COMPUTED_VALUE"""),264177.0)</f>
        <v>264177</v>
      </c>
      <c r="N13" s="329">
        <f>IFERROR(__xludf.DUMMYFUNCTION("""COMPUTED_VALUE"""),287847.0)</f>
        <v>287847</v>
      </c>
      <c r="O13" s="329">
        <f>IFERROR(__xludf.DUMMYFUNCTION("""COMPUTED_VALUE"""),7.0)</f>
        <v>7</v>
      </c>
      <c r="P13" s="329">
        <f>IFERROR(__xludf.DUMMYFUNCTION("""COMPUTED_VALUE"""),2636.0)</f>
        <v>2636</v>
      </c>
      <c r="Q13" s="329">
        <f>IFERROR(__xludf.DUMMYFUNCTION("""COMPUTED_VALUE"""),3.0)</f>
        <v>3</v>
      </c>
      <c r="R13" s="329">
        <f>IFERROR(__xludf.DUMMYFUNCTION("""COMPUTED_VALUE"""),2210.0)</f>
        <v>2210</v>
      </c>
      <c r="S13" s="329">
        <f>IFERROR(__xludf.DUMMYFUNCTION("""COMPUTED_VALUE"""),0.0)</f>
        <v>0</v>
      </c>
      <c r="T13" s="329">
        <f>IFERROR(__xludf.DUMMYFUNCTION("""COMPUTED_VALUE"""),351.0)</f>
        <v>351</v>
      </c>
      <c r="U13" s="329">
        <f>IFERROR(__xludf.DUMMYFUNCTION("""COMPUTED_VALUE"""),75.0)</f>
        <v>75</v>
      </c>
      <c r="V13" s="329">
        <f>IFERROR(__xludf.DUMMYFUNCTION("""COMPUTED_VALUE"""),73.0)</f>
        <v>73</v>
      </c>
      <c r="W13" s="329">
        <f>IFERROR(__xludf.DUMMYFUNCTION("""COMPUTED_VALUE"""),10.0)</f>
        <v>10</v>
      </c>
      <c r="X13" s="329">
        <f>IFERROR(__xludf.DUMMYFUNCTION("""COMPUTED_VALUE"""),6.0)</f>
        <v>6</v>
      </c>
      <c r="Y13" s="329">
        <f>IFERROR(__xludf.DUMMYFUNCTION("""COMPUTED_VALUE"""),4.0)</f>
        <v>4</v>
      </c>
      <c r="Z13" s="329">
        <f>IFERROR(__xludf.DUMMYFUNCTION("""COMPUTED_VALUE"""),1111.0)</f>
        <v>1111</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IFERROR(__xludf.DUMMYFUNCTION("""COMPUTED_VALUE"""),44094.0)</f>
        <v>44094</v>
      </c>
      <c r="B14" s="329">
        <f>IFERROR(__xludf.DUMMYFUNCTION("""COMPUTED_VALUE"""),60.0)</f>
        <v>60</v>
      </c>
      <c r="C14" s="329">
        <f>IFERROR(__xludf.DUMMYFUNCTION("""COMPUTED_VALUE"""),102.0)</f>
        <v>102</v>
      </c>
      <c r="D14" s="329">
        <f>IFERROR(__xludf.DUMMYFUNCTION("""COMPUTED_VALUE"""),33536.0)</f>
        <v>33536</v>
      </c>
      <c r="E14" s="329">
        <f>IFERROR(__xludf.DUMMYFUNCTION("""COMPUTED_VALUE"""),3676.0)</f>
        <v>3676</v>
      </c>
      <c r="F14" s="258">
        <f>IFERROR(__xludf.DUMMYFUNCTION("""COMPUTED_VALUE"""),656829.0)</f>
        <v>656829</v>
      </c>
      <c r="G14" s="258">
        <f>IFERROR(__xludf.DUMMYFUNCTION("""COMPUTED_VALUE"""),3736.0)</f>
        <v>3736</v>
      </c>
      <c r="H14" s="258">
        <f>IFERROR(__xludf.DUMMYFUNCTION("""COMPUTED_VALUE"""),690365.0)</f>
        <v>690365</v>
      </c>
      <c r="I14" s="329">
        <f>IFERROR(__xludf.DUMMYFUNCTION("""COMPUTED_VALUE"""),49.0)</f>
        <v>49</v>
      </c>
      <c r="J14" s="329">
        <f>IFERROR(__xludf.DUMMYFUNCTION("""COMPUTED_VALUE"""),97.0)</f>
        <v>97</v>
      </c>
      <c r="K14" s="329">
        <f>IFERROR(__xludf.DUMMYFUNCTION("""COMPUTED_VALUE"""),23719.0)</f>
        <v>23719</v>
      </c>
      <c r="L14" s="329">
        <f>IFERROR(__xludf.DUMMYFUNCTION("""COMPUTED_VALUE"""),1197.0)</f>
        <v>1197</v>
      </c>
      <c r="M14" s="329">
        <f>IFERROR(__xludf.DUMMYFUNCTION("""COMPUTED_VALUE"""),265374.0)</f>
        <v>265374</v>
      </c>
      <c r="N14" s="329">
        <f>IFERROR(__xludf.DUMMYFUNCTION("""COMPUTED_VALUE"""),289093.0)</f>
        <v>289093</v>
      </c>
      <c r="O14" s="329">
        <f>IFERROR(__xludf.DUMMYFUNCTION("""COMPUTED_VALUE"""),7.0)</f>
        <v>7</v>
      </c>
      <c r="P14" s="329">
        <f>IFERROR(__xludf.DUMMYFUNCTION("""COMPUTED_VALUE"""),2643.0)</f>
        <v>2643</v>
      </c>
      <c r="Q14" s="329">
        <f>IFERROR(__xludf.DUMMYFUNCTION("""COMPUTED_VALUE"""),6.0)</f>
        <v>6</v>
      </c>
      <c r="R14" s="329">
        <f>IFERROR(__xludf.DUMMYFUNCTION("""COMPUTED_VALUE"""),2216.0)</f>
        <v>2216</v>
      </c>
      <c r="S14" s="329">
        <f>IFERROR(__xludf.DUMMYFUNCTION("""COMPUTED_VALUE"""),2.0)</f>
        <v>2</v>
      </c>
      <c r="T14" s="329">
        <f>IFERROR(__xludf.DUMMYFUNCTION("""COMPUTED_VALUE"""),353.0)</f>
        <v>353</v>
      </c>
      <c r="U14" s="329">
        <f>IFERROR(__xludf.DUMMYFUNCTION("""COMPUTED_VALUE"""),74.0)</f>
        <v>74</v>
      </c>
      <c r="V14" s="329">
        <f>IFERROR(__xludf.DUMMYFUNCTION("""COMPUTED_VALUE"""),73.0)</f>
        <v>73</v>
      </c>
      <c r="W14" s="329">
        <f>IFERROR(__xludf.DUMMYFUNCTION("""COMPUTED_VALUE"""),9.0)</f>
        <v>9</v>
      </c>
      <c r="X14" s="329">
        <f>IFERROR(__xludf.DUMMYFUNCTION("""COMPUTED_VALUE"""),8.0)</f>
        <v>8</v>
      </c>
      <c r="Y14" s="329">
        <f>IFERROR(__xludf.DUMMYFUNCTION("""COMPUTED_VALUE"""),4.0)</f>
        <v>4</v>
      </c>
      <c r="Z14" s="329">
        <f>IFERROR(__xludf.DUMMYFUNCTION("""COMPUTED_VALUE"""),1115.0)</f>
        <v>1115</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IFERROR(__xludf.DUMMYFUNCTION("""COMPUTED_VALUE"""),44095.0)</f>
        <v>44095</v>
      </c>
      <c r="B15" s="329">
        <f>IFERROR(__xludf.DUMMYFUNCTION("""COMPUTED_VALUE"""),102.0)</f>
        <v>102</v>
      </c>
      <c r="C15" s="329">
        <f>IFERROR(__xludf.DUMMYFUNCTION("""COMPUTED_VALUE"""),92.0)</f>
        <v>92</v>
      </c>
      <c r="D15" s="329">
        <f>IFERROR(__xludf.DUMMYFUNCTION("""COMPUTED_VALUE"""),33638.0)</f>
        <v>33638</v>
      </c>
      <c r="E15" s="329">
        <f>IFERROR(__xludf.DUMMYFUNCTION("""COMPUTED_VALUE"""),7007.0)</f>
        <v>7007</v>
      </c>
      <c r="F15" s="258">
        <f>IFERROR(__xludf.DUMMYFUNCTION("""COMPUTED_VALUE"""),663836.0)</f>
        <v>663836</v>
      </c>
      <c r="G15" s="258">
        <f>IFERROR(__xludf.DUMMYFUNCTION("""COMPUTED_VALUE"""),7109.0)</f>
        <v>7109</v>
      </c>
      <c r="H15" s="258">
        <f>IFERROR(__xludf.DUMMYFUNCTION("""COMPUTED_VALUE"""),697474.0)</f>
        <v>697474</v>
      </c>
      <c r="I15" s="329">
        <f>IFERROR(__xludf.DUMMYFUNCTION("""COMPUTED_VALUE"""),95.0)</f>
        <v>95</v>
      </c>
      <c r="J15" s="329">
        <f>IFERROR(__xludf.DUMMYFUNCTION("""COMPUTED_VALUE"""),85.0)</f>
        <v>85</v>
      </c>
      <c r="K15" s="329">
        <f>IFERROR(__xludf.DUMMYFUNCTION("""COMPUTED_VALUE"""),23814.0)</f>
        <v>23814</v>
      </c>
      <c r="L15" s="329">
        <f>IFERROR(__xludf.DUMMYFUNCTION("""COMPUTED_VALUE"""),2256.0)</f>
        <v>2256</v>
      </c>
      <c r="M15" s="329">
        <f>IFERROR(__xludf.DUMMYFUNCTION("""COMPUTED_VALUE"""),267630.0)</f>
        <v>267630</v>
      </c>
      <c r="N15" s="329">
        <f>IFERROR(__xludf.DUMMYFUNCTION("""COMPUTED_VALUE"""),291444.0)</f>
        <v>291444</v>
      </c>
      <c r="O15" s="329">
        <f>IFERROR(__xludf.DUMMYFUNCTION("""COMPUTED_VALUE"""),12.0)</f>
        <v>12</v>
      </c>
      <c r="P15" s="329">
        <f>IFERROR(__xludf.DUMMYFUNCTION("""COMPUTED_VALUE"""),2655.0)</f>
        <v>2655</v>
      </c>
      <c r="Q15" s="329">
        <f>IFERROR(__xludf.DUMMYFUNCTION("""COMPUTED_VALUE"""),3.0)</f>
        <v>3</v>
      </c>
      <c r="R15" s="329">
        <f>IFERROR(__xludf.DUMMYFUNCTION("""COMPUTED_VALUE"""),2219.0)</f>
        <v>2219</v>
      </c>
      <c r="S15" s="329">
        <f>IFERROR(__xludf.DUMMYFUNCTION("""COMPUTED_VALUE"""),2.0)</f>
        <v>2</v>
      </c>
      <c r="T15" s="329">
        <f>IFERROR(__xludf.DUMMYFUNCTION("""COMPUTED_VALUE"""),355.0)</f>
        <v>355</v>
      </c>
      <c r="U15" s="329">
        <f>IFERROR(__xludf.DUMMYFUNCTION("""COMPUTED_VALUE"""),81.0)</f>
        <v>81</v>
      </c>
      <c r="V15" s="329">
        <f>IFERROR(__xludf.DUMMYFUNCTION("""COMPUTED_VALUE"""),77.0)</f>
        <v>77</v>
      </c>
      <c r="W15" s="329">
        <f>IFERROR(__xludf.DUMMYFUNCTION("""COMPUTED_VALUE"""),8.0)</f>
        <v>8</v>
      </c>
      <c r="X15" s="329">
        <f>IFERROR(__xludf.DUMMYFUNCTION("""COMPUTED_VALUE"""),6.0)</f>
        <v>6</v>
      </c>
      <c r="Y15" s="329">
        <f>IFERROR(__xludf.DUMMYFUNCTION("""COMPUTED_VALUE"""),2.0)</f>
        <v>2</v>
      </c>
      <c r="Z15" s="329">
        <f>IFERROR(__xludf.DUMMYFUNCTION("""COMPUTED_VALUE"""),1117.0)</f>
        <v>1117</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IFERROR(__xludf.DUMMYFUNCTION("""COMPUTED_VALUE"""),44096.0)</f>
        <v>44096</v>
      </c>
      <c r="B16" s="329">
        <f>IFERROR(__xludf.DUMMYFUNCTION("""COMPUTED_VALUE"""),154.0)</f>
        <v>154</v>
      </c>
      <c r="C16" s="329">
        <f>IFERROR(__xludf.DUMMYFUNCTION("""COMPUTED_VALUE"""),105.0)</f>
        <v>105</v>
      </c>
      <c r="D16" s="329">
        <f>IFERROR(__xludf.DUMMYFUNCTION("""COMPUTED_VALUE"""),33792.0)</f>
        <v>33792</v>
      </c>
      <c r="E16" s="329">
        <f>IFERROR(__xludf.DUMMYFUNCTION("""COMPUTED_VALUE"""),9275.0)</f>
        <v>9275</v>
      </c>
      <c r="F16" s="258">
        <f>IFERROR(__xludf.DUMMYFUNCTION("""COMPUTED_VALUE"""),673111.0)</f>
        <v>673111</v>
      </c>
      <c r="G16" s="258">
        <f>IFERROR(__xludf.DUMMYFUNCTION("""COMPUTED_VALUE"""),9429.0)</f>
        <v>9429</v>
      </c>
      <c r="H16" s="258">
        <f>IFERROR(__xludf.DUMMYFUNCTION("""COMPUTED_VALUE"""),706903.0)</f>
        <v>706903</v>
      </c>
      <c r="I16" s="329">
        <f>IFERROR(__xludf.DUMMYFUNCTION("""COMPUTED_VALUE"""),123.0)</f>
        <v>123</v>
      </c>
      <c r="J16" s="329">
        <f>IFERROR(__xludf.DUMMYFUNCTION("""COMPUTED_VALUE"""),89.0)</f>
        <v>89</v>
      </c>
      <c r="K16" s="329">
        <f>IFERROR(__xludf.DUMMYFUNCTION("""COMPUTED_VALUE"""),23937.0)</f>
        <v>23937</v>
      </c>
      <c r="L16" s="329">
        <f>IFERROR(__xludf.DUMMYFUNCTION("""COMPUTED_VALUE"""),1997.0)</f>
        <v>1997</v>
      </c>
      <c r="M16" s="329">
        <f>IFERROR(__xludf.DUMMYFUNCTION("""COMPUTED_VALUE"""),269627.0)</f>
        <v>269627</v>
      </c>
      <c r="N16" s="329">
        <f>IFERROR(__xludf.DUMMYFUNCTION("""COMPUTED_VALUE"""),293564.0)</f>
        <v>293564</v>
      </c>
      <c r="O16" s="329">
        <f>IFERROR(__xludf.DUMMYFUNCTION("""COMPUTED_VALUE"""),12.0)</f>
        <v>12</v>
      </c>
      <c r="P16" s="329">
        <f>IFERROR(__xludf.DUMMYFUNCTION("""COMPUTED_VALUE"""),2667.0)</f>
        <v>2667</v>
      </c>
      <c r="Q16" s="329">
        <f>IFERROR(__xludf.DUMMYFUNCTION("""COMPUTED_VALUE"""),3.0)</f>
        <v>3</v>
      </c>
      <c r="R16" s="329">
        <f>IFERROR(__xludf.DUMMYFUNCTION("""COMPUTED_VALUE"""),2222.0)</f>
        <v>2222</v>
      </c>
      <c r="S16" s="329">
        <f>IFERROR(__xludf.DUMMYFUNCTION("""COMPUTED_VALUE"""),1.0)</f>
        <v>1</v>
      </c>
      <c r="T16" s="329">
        <f>IFERROR(__xludf.DUMMYFUNCTION("""COMPUTED_VALUE"""),356.0)</f>
        <v>356</v>
      </c>
      <c r="U16" s="329">
        <f>IFERROR(__xludf.DUMMYFUNCTION("""COMPUTED_VALUE"""),89.0)</f>
        <v>89</v>
      </c>
      <c r="V16" s="329">
        <f>IFERROR(__xludf.DUMMYFUNCTION("""COMPUTED_VALUE"""),81.0)</f>
        <v>81</v>
      </c>
      <c r="W16" s="329">
        <f>IFERROR(__xludf.DUMMYFUNCTION("""COMPUTED_VALUE"""),7.0)</f>
        <v>7</v>
      </c>
      <c r="X16" s="329">
        <f>IFERROR(__xludf.DUMMYFUNCTION("""COMPUTED_VALUE"""),5.0)</f>
        <v>5</v>
      </c>
      <c r="Y16" s="329">
        <f>IFERROR(__xludf.DUMMYFUNCTION("""COMPUTED_VALUE"""),1.0)</f>
        <v>1</v>
      </c>
      <c r="Z16" s="329">
        <f>IFERROR(__xludf.DUMMYFUNCTION("""COMPUTED_VALUE"""),1118.0)</f>
        <v>1118</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IFERROR(__xludf.DUMMYFUNCTION("""COMPUTED_VALUE"""),44097.0)</f>
        <v>44097</v>
      </c>
      <c r="B17" s="329">
        <f>IFERROR(__xludf.DUMMYFUNCTION("""COMPUTED_VALUE"""),136.0)</f>
        <v>136</v>
      </c>
      <c r="C17" s="329">
        <f>IFERROR(__xludf.DUMMYFUNCTION("""COMPUTED_VALUE"""),131.0)</f>
        <v>131</v>
      </c>
      <c r="D17" s="329">
        <f>IFERROR(__xludf.DUMMYFUNCTION("""COMPUTED_VALUE"""),33928.0)</f>
        <v>33928</v>
      </c>
      <c r="E17" s="329">
        <f>IFERROR(__xludf.DUMMYFUNCTION("""COMPUTED_VALUE"""),10637.0)</f>
        <v>10637</v>
      </c>
      <c r="F17" s="258">
        <f>IFERROR(__xludf.DUMMYFUNCTION("""COMPUTED_VALUE"""),683748.0)</f>
        <v>683748</v>
      </c>
      <c r="G17" s="258">
        <f>IFERROR(__xludf.DUMMYFUNCTION("""COMPUTED_VALUE"""),10773.0)</f>
        <v>10773</v>
      </c>
      <c r="H17" s="258">
        <f>IFERROR(__xludf.DUMMYFUNCTION("""COMPUTED_VALUE"""),717676.0)</f>
        <v>717676</v>
      </c>
      <c r="I17" s="329">
        <f>IFERROR(__xludf.DUMMYFUNCTION("""COMPUTED_VALUE"""),128.0)</f>
        <v>128</v>
      </c>
      <c r="J17" s="329">
        <f>IFERROR(__xludf.DUMMYFUNCTION("""COMPUTED_VALUE"""),115.0)</f>
        <v>115</v>
      </c>
      <c r="K17" s="329">
        <f>IFERROR(__xludf.DUMMYFUNCTION("""COMPUTED_VALUE"""),24065.0)</f>
        <v>24065</v>
      </c>
      <c r="L17" s="329">
        <f>IFERROR(__xludf.DUMMYFUNCTION("""COMPUTED_VALUE"""),2026.0)</f>
        <v>2026</v>
      </c>
      <c r="M17" s="329">
        <f>IFERROR(__xludf.DUMMYFUNCTION("""COMPUTED_VALUE"""),271653.0)</f>
        <v>271653</v>
      </c>
      <c r="N17" s="329">
        <f>IFERROR(__xludf.DUMMYFUNCTION("""COMPUTED_VALUE"""),295718.0)</f>
        <v>295718</v>
      </c>
      <c r="O17" s="329">
        <f>IFERROR(__xludf.DUMMYFUNCTION("""COMPUTED_VALUE"""),13.0)</f>
        <v>13</v>
      </c>
      <c r="P17" s="329">
        <f>IFERROR(__xludf.DUMMYFUNCTION("""COMPUTED_VALUE"""),2680.0)</f>
        <v>2680</v>
      </c>
      <c r="Q17" s="329">
        <f>IFERROR(__xludf.DUMMYFUNCTION("""COMPUTED_VALUE"""),7.0)</f>
        <v>7</v>
      </c>
      <c r="R17" s="329">
        <f>IFERROR(__xludf.DUMMYFUNCTION("""COMPUTED_VALUE"""),2229.0)</f>
        <v>2229</v>
      </c>
      <c r="S17" s="329">
        <f>IFERROR(__xludf.DUMMYFUNCTION("""COMPUTED_VALUE"""),0.0)</f>
        <v>0</v>
      </c>
      <c r="T17" s="329">
        <f>IFERROR(__xludf.DUMMYFUNCTION("""COMPUTED_VALUE"""),356.0)</f>
        <v>356</v>
      </c>
      <c r="U17" s="329">
        <f>IFERROR(__xludf.DUMMYFUNCTION("""COMPUTED_VALUE"""),95.0)</f>
        <v>95</v>
      </c>
      <c r="V17" s="329">
        <f>IFERROR(__xludf.DUMMYFUNCTION("""COMPUTED_VALUE"""),88.0)</f>
        <v>88</v>
      </c>
      <c r="W17" s="329">
        <f>IFERROR(__xludf.DUMMYFUNCTION("""COMPUTED_VALUE"""),6.0)</f>
        <v>6</v>
      </c>
      <c r="X17" s="329">
        <f>IFERROR(__xludf.DUMMYFUNCTION("""COMPUTED_VALUE"""),5.0)</f>
        <v>5</v>
      </c>
      <c r="Y17" s="329">
        <f>IFERROR(__xludf.DUMMYFUNCTION("""COMPUTED_VALUE"""),0.0)</f>
        <v>0</v>
      </c>
      <c r="Z17" s="329">
        <f>IFERROR(__xludf.DUMMYFUNCTION("""COMPUTED_VALUE"""),1118.0)</f>
        <v>1118</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IFERROR(__xludf.DUMMYFUNCTION("""COMPUTED_VALUE"""),44098.0)</f>
        <v>44098</v>
      </c>
      <c r="B18" s="329">
        <f>IFERROR(__xludf.DUMMYFUNCTION("""COMPUTED_VALUE"""),120.0)</f>
        <v>120</v>
      </c>
      <c r="C18" s="329">
        <f>IFERROR(__xludf.DUMMYFUNCTION("""COMPUTED_VALUE"""),137.0)</f>
        <v>137</v>
      </c>
      <c r="D18" s="329">
        <f>IFERROR(__xludf.DUMMYFUNCTION("""COMPUTED_VALUE"""),34048.0)</f>
        <v>34048</v>
      </c>
      <c r="E18" s="329">
        <f>IFERROR(__xludf.DUMMYFUNCTION("""COMPUTED_VALUE"""),12468.0)</f>
        <v>12468</v>
      </c>
      <c r="F18" s="258">
        <f>IFERROR(__xludf.DUMMYFUNCTION("""COMPUTED_VALUE"""),696216.0)</f>
        <v>696216</v>
      </c>
      <c r="G18" s="258">
        <f>IFERROR(__xludf.DUMMYFUNCTION("""COMPUTED_VALUE"""),12588.0)</f>
        <v>12588</v>
      </c>
      <c r="H18" s="258">
        <f>IFERROR(__xludf.DUMMYFUNCTION("""COMPUTED_VALUE"""),730264.0)</f>
        <v>730264</v>
      </c>
      <c r="I18" s="329">
        <f>IFERROR(__xludf.DUMMYFUNCTION("""COMPUTED_VALUE"""),117.0)</f>
        <v>117</v>
      </c>
      <c r="J18" s="329">
        <f>IFERROR(__xludf.DUMMYFUNCTION("""COMPUTED_VALUE"""),123.0)</f>
        <v>123</v>
      </c>
      <c r="K18" s="329">
        <f>IFERROR(__xludf.DUMMYFUNCTION("""COMPUTED_VALUE"""),24182.0)</f>
        <v>24182</v>
      </c>
      <c r="L18" s="329">
        <f>IFERROR(__xludf.DUMMYFUNCTION("""COMPUTED_VALUE"""),2865.0)</f>
        <v>2865</v>
      </c>
      <c r="M18" s="329">
        <f>IFERROR(__xludf.DUMMYFUNCTION("""COMPUTED_VALUE"""),274518.0)</f>
        <v>274518</v>
      </c>
      <c r="N18" s="329">
        <f>IFERROR(__xludf.DUMMYFUNCTION("""COMPUTED_VALUE"""),298700.0)</f>
        <v>298700</v>
      </c>
      <c r="O18" s="329">
        <f>IFERROR(__xludf.DUMMYFUNCTION("""COMPUTED_VALUE"""),7.0)</f>
        <v>7</v>
      </c>
      <c r="P18" s="329">
        <f>IFERROR(__xludf.DUMMYFUNCTION("""COMPUTED_VALUE"""),2687.0)</f>
        <v>2687</v>
      </c>
      <c r="Q18" s="329">
        <f>IFERROR(__xludf.DUMMYFUNCTION("""COMPUTED_VALUE"""),8.0)</f>
        <v>8</v>
      </c>
      <c r="R18" s="329">
        <f>IFERROR(__xludf.DUMMYFUNCTION("""COMPUTED_VALUE"""),2237.0)</f>
        <v>2237</v>
      </c>
      <c r="S18" s="329">
        <f>IFERROR(__xludf.DUMMYFUNCTION("""COMPUTED_VALUE"""),1.0)</f>
        <v>1</v>
      </c>
      <c r="T18" s="329">
        <f>IFERROR(__xludf.DUMMYFUNCTION("""COMPUTED_VALUE"""),357.0)</f>
        <v>357</v>
      </c>
      <c r="U18" s="329">
        <f>IFERROR(__xludf.DUMMYFUNCTION("""COMPUTED_VALUE"""),93.0)</f>
        <v>93</v>
      </c>
      <c r="V18" s="329">
        <f>IFERROR(__xludf.DUMMYFUNCTION("""COMPUTED_VALUE"""),92.0)</f>
        <v>92</v>
      </c>
      <c r="W18" s="329">
        <f>IFERROR(__xludf.DUMMYFUNCTION("""COMPUTED_VALUE"""),7.0)</f>
        <v>7</v>
      </c>
      <c r="X18" s="329">
        <f>IFERROR(__xludf.DUMMYFUNCTION("""COMPUTED_VALUE"""),5.0)</f>
        <v>5</v>
      </c>
      <c r="Y18" s="329">
        <f>IFERROR(__xludf.DUMMYFUNCTION("""COMPUTED_VALUE"""),1.0)</f>
        <v>1</v>
      </c>
      <c r="Z18" s="329">
        <f>IFERROR(__xludf.DUMMYFUNCTION("""COMPUTED_VALUE"""),1119.0)</f>
        <v>1119</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IFERROR(__xludf.DUMMYFUNCTION("""COMPUTED_VALUE"""),44099.0)</f>
        <v>44099</v>
      </c>
      <c r="B19" s="329">
        <f>IFERROR(__xludf.DUMMYFUNCTION("""COMPUTED_VALUE"""),150.0)</f>
        <v>150</v>
      </c>
      <c r="C19" s="329">
        <f>IFERROR(__xludf.DUMMYFUNCTION("""COMPUTED_VALUE"""),135.0)</f>
        <v>135</v>
      </c>
      <c r="D19" s="329">
        <f>IFERROR(__xludf.DUMMYFUNCTION("""COMPUTED_VALUE"""),34198.0)</f>
        <v>34198</v>
      </c>
      <c r="E19" s="329">
        <f>IFERROR(__xludf.DUMMYFUNCTION("""COMPUTED_VALUE"""),10546.0)</f>
        <v>10546</v>
      </c>
      <c r="F19" s="258">
        <f>IFERROR(__xludf.DUMMYFUNCTION("""COMPUTED_VALUE"""),706762.0)</f>
        <v>706762</v>
      </c>
      <c r="G19" s="258">
        <f>IFERROR(__xludf.DUMMYFUNCTION("""COMPUTED_VALUE"""),10696.0)</f>
        <v>10696</v>
      </c>
      <c r="H19" s="258">
        <f>IFERROR(__xludf.DUMMYFUNCTION("""COMPUTED_VALUE"""),740960.0)</f>
        <v>740960</v>
      </c>
      <c r="I19" s="329">
        <f>IFERROR(__xludf.DUMMYFUNCTION("""COMPUTED_VALUE"""),143.0)</f>
        <v>143</v>
      </c>
      <c r="J19" s="329">
        <f>IFERROR(__xludf.DUMMYFUNCTION("""COMPUTED_VALUE"""),129.0)</f>
        <v>129</v>
      </c>
      <c r="K19" s="329">
        <f>IFERROR(__xludf.DUMMYFUNCTION("""COMPUTED_VALUE"""),24325.0)</f>
        <v>24325</v>
      </c>
      <c r="L19" s="329">
        <f>IFERROR(__xludf.DUMMYFUNCTION("""COMPUTED_VALUE"""),2725.0)</f>
        <v>2725</v>
      </c>
      <c r="M19" s="329">
        <f>IFERROR(__xludf.DUMMYFUNCTION("""COMPUTED_VALUE"""),277243.0)</f>
        <v>277243</v>
      </c>
      <c r="N19" s="329">
        <f>IFERROR(__xludf.DUMMYFUNCTION("""COMPUTED_VALUE"""),301568.0)</f>
        <v>301568</v>
      </c>
      <c r="O19" s="329">
        <f>IFERROR(__xludf.DUMMYFUNCTION("""COMPUTED_VALUE"""),9.0)</f>
        <v>9</v>
      </c>
      <c r="P19" s="329">
        <f>IFERROR(__xludf.DUMMYFUNCTION("""COMPUTED_VALUE"""),2696.0)</f>
        <v>2696</v>
      </c>
      <c r="Q19" s="329">
        <f>IFERROR(__xludf.DUMMYFUNCTION("""COMPUTED_VALUE"""),10.0)</f>
        <v>10</v>
      </c>
      <c r="R19" s="329">
        <f>IFERROR(__xludf.DUMMYFUNCTION("""COMPUTED_VALUE"""),2247.0)</f>
        <v>2247</v>
      </c>
      <c r="S19" s="329">
        <f>IFERROR(__xludf.DUMMYFUNCTION("""COMPUTED_VALUE"""),0.0)</f>
        <v>0</v>
      </c>
      <c r="T19" s="329">
        <f>IFERROR(__xludf.DUMMYFUNCTION("""COMPUTED_VALUE"""),357.0)</f>
        <v>357</v>
      </c>
      <c r="U19" s="329">
        <f>IFERROR(__xludf.DUMMYFUNCTION("""COMPUTED_VALUE"""),92.0)</f>
        <v>92</v>
      </c>
      <c r="V19" s="329">
        <f>IFERROR(__xludf.DUMMYFUNCTION("""COMPUTED_VALUE"""),93.0)</f>
        <v>93</v>
      </c>
      <c r="W19" s="329">
        <f>IFERROR(__xludf.DUMMYFUNCTION("""COMPUTED_VALUE"""),6.0)</f>
        <v>6</v>
      </c>
      <c r="X19" s="329">
        <f>IFERROR(__xludf.DUMMYFUNCTION("""COMPUTED_VALUE"""),5.0)</f>
        <v>5</v>
      </c>
      <c r="Y19" s="329">
        <f>IFERROR(__xludf.DUMMYFUNCTION("""COMPUTED_VALUE"""),1.0)</f>
        <v>1</v>
      </c>
      <c r="Z19" s="329">
        <f>IFERROR(__xludf.DUMMYFUNCTION("""COMPUTED_VALUE"""),1120.0)</f>
        <v>1120</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IFERROR(__xludf.DUMMYFUNCTION("""COMPUTED_VALUE"""),44100.0)</f>
        <v>44100</v>
      </c>
      <c r="B20" s="329">
        <f>IFERROR(__xludf.DUMMYFUNCTION("""COMPUTED_VALUE"""),147.0)</f>
        <v>147</v>
      </c>
      <c r="C20" s="329">
        <f>IFERROR(__xludf.DUMMYFUNCTION("""COMPUTED_VALUE"""),139.0)</f>
        <v>139</v>
      </c>
      <c r="D20" s="329">
        <f>IFERROR(__xludf.DUMMYFUNCTION("""COMPUTED_VALUE"""),34345.0)</f>
        <v>34345</v>
      </c>
      <c r="E20" s="329">
        <f>IFERROR(__xludf.DUMMYFUNCTION("""COMPUTED_VALUE"""),10556.0)</f>
        <v>10556</v>
      </c>
      <c r="F20" s="258">
        <f>IFERROR(__xludf.DUMMYFUNCTION("""COMPUTED_VALUE"""),717318.0)</f>
        <v>717318</v>
      </c>
      <c r="G20" s="258">
        <f>IFERROR(__xludf.DUMMYFUNCTION("""COMPUTED_VALUE"""),10703.0)</f>
        <v>10703</v>
      </c>
      <c r="H20" s="258">
        <f>IFERROR(__xludf.DUMMYFUNCTION("""COMPUTED_VALUE"""),751663.0)</f>
        <v>751663</v>
      </c>
      <c r="I20" s="329">
        <f>IFERROR(__xludf.DUMMYFUNCTION("""COMPUTED_VALUE"""),120.0)</f>
        <v>120</v>
      </c>
      <c r="J20" s="329">
        <f>IFERROR(__xludf.DUMMYFUNCTION("""COMPUTED_VALUE"""),127.0)</f>
        <v>127</v>
      </c>
      <c r="K20" s="329">
        <f>IFERROR(__xludf.DUMMYFUNCTION("""COMPUTED_VALUE"""),24445.0)</f>
        <v>24445</v>
      </c>
      <c r="L20" s="329">
        <f>IFERROR(__xludf.DUMMYFUNCTION("""COMPUTED_VALUE"""),2272.0)</f>
        <v>2272</v>
      </c>
      <c r="M20" s="329">
        <f>IFERROR(__xludf.DUMMYFUNCTION("""COMPUTED_VALUE"""),279515.0)</f>
        <v>279515</v>
      </c>
      <c r="N20" s="329">
        <f>IFERROR(__xludf.DUMMYFUNCTION("""COMPUTED_VALUE"""),303960.0)</f>
        <v>303960</v>
      </c>
      <c r="O20" s="329">
        <f>IFERROR(__xludf.DUMMYFUNCTION("""COMPUTED_VALUE"""),12.0)</f>
        <v>12</v>
      </c>
      <c r="P20" s="329">
        <f>IFERROR(__xludf.DUMMYFUNCTION("""COMPUTED_VALUE"""),2708.0)</f>
        <v>2708</v>
      </c>
      <c r="Q20" s="329">
        <f>IFERROR(__xludf.DUMMYFUNCTION("""COMPUTED_VALUE"""),8.0)</f>
        <v>8</v>
      </c>
      <c r="R20" s="329">
        <f>IFERROR(__xludf.DUMMYFUNCTION("""COMPUTED_VALUE"""),2255.0)</f>
        <v>2255</v>
      </c>
      <c r="S20" s="329">
        <f>IFERROR(__xludf.DUMMYFUNCTION("""COMPUTED_VALUE"""),1.0)</f>
        <v>1</v>
      </c>
      <c r="T20" s="329">
        <f>IFERROR(__xludf.DUMMYFUNCTION("""COMPUTED_VALUE"""),358.0)</f>
        <v>358</v>
      </c>
      <c r="U20" s="329">
        <f>IFERROR(__xludf.DUMMYFUNCTION("""COMPUTED_VALUE"""),95.0)</f>
        <v>95</v>
      </c>
      <c r="V20" s="329">
        <f>IFERROR(__xludf.DUMMYFUNCTION("""COMPUTED_VALUE"""),93.0)</f>
        <v>93</v>
      </c>
      <c r="W20" s="329">
        <f>IFERROR(__xludf.DUMMYFUNCTION("""COMPUTED_VALUE"""),6.0)</f>
        <v>6</v>
      </c>
      <c r="X20" s="329">
        <f>IFERROR(__xludf.DUMMYFUNCTION("""COMPUTED_VALUE"""),5.0)</f>
        <v>5</v>
      </c>
      <c r="Y20" s="329">
        <f>IFERROR(__xludf.DUMMYFUNCTION("""COMPUTED_VALUE"""),1.0)</f>
        <v>1</v>
      </c>
      <c r="Z20" s="329">
        <f>IFERROR(__xludf.DUMMYFUNCTION("""COMPUTED_VALUE"""),1121.0)</f>
        <v>1121</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IFERROR(__xludf.DUMMYFUNCTION("""COMPUTED_VALUE"""),44101.0)</f>
        <v>44101</v>
      </c>
      <c r="B21" s="329">
        <f>IFERROR(__xludf.DUMMYFUNCTION("""COMPUTED_VALUE"""),43.0)</f>
        <v>43</v>
      </c>
      <c r="C21" s="329">
        <f>IFERROR(__xludf.DUMMYFUNCTION("""COMPUTED_VALUE"""),113.0)</f>
        <v>113</v>
      </c>
      <c r="D21" s="329">
        <f>IFERROR(__xludf.DUMMYFUNCTION("""COMPUTED_VALUE"""),34388.0)</f>
        <v>34388</v>
      </c>
      <c r="E21" s="329">
        <f>IFERROR(__xludf.DUMMYFUNCTION("""COMPUTED_VALUE"""),2764.0)</f>
        <v>2764</v>
      </c>
      <c r="F21" s="258">
        <f>IFERROR(__xludf.DUMMYFUNCTION("""COMPUTED_VALUE"""),720082.0)</f>
        <v>720082</v>
      </c>
      <c r="G21" s="258">
        <f>IFERROR(__xludf.DUMMYFUNCTION("""COMPUTED_VALUE"""),2807.0)</f>
        <v>2807</v>
      </c>
      <c r="H21" s="258">
        <f>IFERROR(__xludf.DUMMYFUNCTION("""COMPUTED_VALUE"""),754470.0)</f>
        <v>754470</v>
      </c>
      <c r="I21" s="329">
        <f>IFERROR(__xludf.DUMMYFUNCTION("""COMPUTED_VALUE"""),34.0)</f>
        <v>34</v>
      </c>
      <c r="J21" s="329">
        <f>IFERROR(__xludf.DUMMYFUNCTION("""COMPUTED_VALUE"""),99.0)</f>
        <v>99</v>
      </c>
      <c r="K21" s="329">
        <f>IFERROR(__xludf.DUMMYFUNCTION("""COMPUTED_VALUE"""),24479.0)</f>
        <v>24479</v>
      </c>
      <c r="L21" s="329">
        <f>IFERROR(__xludf.DUMMYFUNCTION("""COMPUTED_VALUE"""),784.0)</f>
        <v>784</v>
      </c>
      <c r="M21" s="329">
        <f>IFERROR(__xludf.DUMMYFUNCTION("""COMPUTED_VALUE"""),280299.0)</f>
        <v>280299</v>
      </c>
      <c r="N21" s="329">
        <f>IFERROR(__xludf.DUMMYFUNCTION("""COMPUTED_VALUE"""),304778.0)</f>
        <v>304778</v>
      </c>
      <c r="O21" s="329">
        <f>IFERROR(__xludf.DUMMYFUNCTION("""COMPUTED_VALUE"""),7.0)</f>
        <v>7</v>
      </c>
      <c r="P21" s="329">
        <f>IFERROR(__xludf.DUMMYFUNCTION("""COMPUTED_VALUE"""),2715.0)</f>
        <v>2715</v>
      </c>
      <c r="Q21" s="329">
        <f>IFERROR(__xludf.DUMMYFUNCTION("""COMPUTED_VALUE"""),5.0)</f>
        <v>5</v>
      </c>
      <c r="R21" s="329">
        <f>IFERROR(__xludf.DUMMYFUNCTION("""COMPUTED_VALUE"""),2260.0)</f>
        <v>2260</v>
      </c>
      <c r="S21" s="329">
        <f>IFERROR(__xludf.DUMMYFUNCTION("""COMPUTED_VALUE"""),0.0)</f>
        <v>0</v>
      </c>
      <c r="T21" s="329">
        <f>IFERROR(__xludf.DUMMYFUNCTION("""COMPUTED_VALUE"""),358.0)</f>
        <v>358</v>
      </c>
      <c r="U21" s="329">
        <f>IFERROR(__xludf.DUMMYFUNCTION("""COMPUTED_VALUE"""),97.0)</f>
        <v>97</v>
      </c>
      <c r="V21" s="329">
        <f>IFERROR(__xludf.DUMMYFUNCTION("""COMPUTED_VALUE"""),95.0)</f>
        <v>95</v>
      </c>
      <c r="W21" s="329">
        <f>IFERROR(__xludf.DUMMYFUNCTION("""COMPUTED_VALUE"""),9.0)</f>
        <v>9</v>
      </c>
      <c r="X21" s="329">
        <f>IFERROR(__xludf.DUMMYFUNCTION("""COMPUTED_VALUE"""),5.0)</f>
        <v>5</v>
      </c>
      <c r="Y21" s="329">
        <f>IFERROR(__xludf.DUMMYFUNCTION("""COMPUTED_VALUE"""),0.0)</f>
        <v>0</v>
      </c>
      <c r="Z21" s="329">
        <f>IFERROR(__xludf.DUMMYFUNCTION("""COMPUTED_VALUE"""),1121.0)</f>
        <v>1121</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IFERROR(__xludf.DUMMYFUNCTION("""COMPUTED_VALUE"""),44102.0)</f>
        <v>44102</v>
      </c>
      <c r="B22" s="329">
        <f>IFERROR(__xludf.DUMMYFUNCTION("""COMPUTED_VALUE"""),156.0)</f>
        <v>156</v>
      </c>
      <c r="C22" s="329">
        <f>IFERROR(__xludf.DUMMYFUNCTION("""COMPUTED_VALUE"""),115.0)</f>
        <v>115</v>
      </c>
      <c r="D22" s="329">
        <f>IFERROR(__xludf.DUMMYFUNCTION("""COMPUTED_VALUE"""),34544.0)</f>
        <v>34544</v>
      </c>
      <c r="E22" s="329">
        <f>IFERROR(__xludf.DUMMYFUNCTION("""COMPUTED_VALUE"""),7294.0)</f>
        <v>7294</v>
      </c>
      <c r="F22" s="258">
        <f>IFERROR(__xludf.DUMMYFUNCTION("""COMPUTED_VALUE"""),727376.0)</f>
        <v>727376</v>
      </c>
      <c r="G22" s="258">
        <f>IFERROR(__xludf.DUMMYFUNCTION("""COMPUTED_VALUE"""),7450.0)</f>
        <v>7450</v>
      </c>
      <c r="H22" s="258">
        <f>IFERROR(__xludf.DUMMYFUNCTION("""COMPUTED_VALUE"""),761920.0)</f>
        <v>761920</v>
      </c>
      <c r="I22" s="329">
        <f>IFERROR(__xludf.DUMMYFUNCTION("""COMPUTED_VALUE"""),137.0)</f>
        <v>137</v>
      </c>
      <c r="J22" s="329">
        <f>IFERROR(__xludf.DUMMYFUNCTION("""COMPUTED_VALUE"""),97.0)</f>
        <v>97</v>
      </c>
      <c r="K22" s="329">
        <f>IFERROR(__xludf.DUMMYFUNCTION("""COMPUTED_VALUE"""),24616.0)</f>
        <v>24616</v>
      </c>
      <c r="L22" s="329">
        <f>IFERROR(__xludf.DUMMYFUNCTION("""COMPUTED_VALUE"""),2096.0)</f>
        <v>2096</v>
      </c>
      <c r="M22" s="329">
        <f>IFERROR(__xludf.DUMMYFUNCTION("""COMPUTED_VALUE"""),282395.0)</f>
        <v>282395</v>
      </c>
      <c r="N22" s="329">
        <f>IFERROR(__xludf.DUMMYFUNCTION("""COMPUTED_VALUE"""),307011.0)</f>
        <v>307011</v>
      </c>
      <c r="O22" s="329">
        <f>IFERROR(__xludf.DUMMYFUNCTION("""COMPUTED_VALUE"""),7.0)</f>
        <v>7</v>
      </c>
      <c r="P22" s="329">
        <f>IFERROR(__xludf.DUMMYFUNCTION("""COMPUTED_VALUE"""),2722.0)</f>
        <v>2722</v>
      </c>
      <c r="Q22" s="329">
        <f>IFERROR(__xludf.DUMMYFUNCTION("""COMPUTED_VALUE"""),7.0)</f>
        <v>7</v>
      </c>
      <c r="R22" s="329">
        <f>IFERROR(__xludf.DUMMYFUNCTION("""COMPUTED_VALUE"""),2267.0)</f>
        <v>2267</v>
      </c>
      <c r="S22" s="329">
        <f>IFERROR(__xludf.DUMMYFUNCTION("""COMPUTED_VALUE"""),2.0)</f>
        <v>2</v>
      </c>
      <c r="T22" s="329">
        <f>IFERROR(__xludf.DUMMYFUNCTION("""COMPUTED_VALUE"""),360.0)</f>
        <v>360</v>
      </c>
      <c r="U22" s="329">
        <f>IFERROR(__xludf.DUMMYFUNCTION("""COMPUTED_VALUE"""),95.0)</f>
        <v>95</v>
      </c>
      <c r="V22" s="329">
        <f>IFERROR(__xludf.DUMMYFUNCTION("""COMPUTED_VALUE"""),96.0)</f>
        <v>96</v>
      </c>
      <c r="W22" s="329">
        <f>IFERROR(__xludf.DUMMYFUNCTION("""COMPUTED_VALUE"""),7.0)</f>
        <v>7</v>
      </c>
      <c r="X22" s="329">
        <f>IFERROR(__xludf.DUMMYFUNCTION("""COMPUTED_VALUE"""),5.0)</f>
        <v>5</v>
      </c>
      <c r="Y22" s="329">
        <f>IFERROR(__xludf.DUMMYFUNCTION("""COMPUTED_VALUE"""),2.0)</f>
        <v>2</v>
      </c>
      <c r="Z22" s="329">
        <f>IFERROR(__xludf.DUMMYFUNCTION("""COMPUTED_VALUE"""),1123.0)</f>
        <v>1123</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IFERROR(__xludf.DUMMYFUNCTION("""COMPUTED_VALUE"""),44103.0)</f>
        <v>44103</v>
      </c>
      <c r="B23" s="329">
        <f>IFERROR(__xludf.DUMMYFUNCTION("""COMPUTED_VALUE"""),203.0)</f>
        <v>203</v>
      </c>
      <c r="C23" s="329">
        <f>IFERROR(__xludf.DUMMYFUNCTION("""COMPUTED_VALUE"""),134.0)</f>
        <v>134</v>
      </c>
      <c r="D23" s="329">
        <f>IFERROR(__xludf.DUMMYFUNCTION("""COMPUTED_VALUE"""),34747.0)</f>
        <v>34747</v>
      </c>
      <c r="E23" s="329">
        <f>IFERROR(__xludf.DUMMYFUNCTION("""COMPUTED_VALUE"""),11034.0)</f>
        <v>11034</v>
      </c>
      <c r="F23" s="258">
        <f>IFERROR(__xludf.DUMMYFUNCTION("""COMPUTED_VALUE"""),738410.0)</f>
        <v>738410</v>
      </c>
      <c r="G23" s="258">
        <f>IFERROR(__xludf.DUMMYFUNCTION("""COMPUTED_VALUE"""),11237.0)</f>
        <v>11237</v>
      </c>
      <c r="H23" s="258">
        <f>IFERROR(__xludf.DUMMYFUNCTION("""COMPUTED_VALUE"""),773157.0)</f>
        <v>773157</v>
      </c>
      <c r="I23" s="329">
        <f>IFERROR(__xludf.DUMMYFUNCTION("""COMPUTED_VALUE"""),185.0)</f>
        <v>185</v>
      </c>
      <c r="J23" s="329">
        <f>IFERROR(__xludf.DUMMYFUNCTION("""COMPUTED_VALUE"""),119.0)</f>
        <v>119</v>
      </c>
      <c r="K23" s="329">
        <f>IFERROR(__xludf.DUMMYFUNCTION("""COMPUTED_VALUE"""),24801.0)</f>
        <v>24801</v>
      </c>
      <c r="L23" s="329">
        <f>IFERROR(__xludf.DUMMYFUNCTION("""COMPUTED_VALUE"""),2557.0)</f>
        <v>2557</v>
      </c>
      <c r="M23" s="329">
        <f>IFERROR(__xludf.DUMMYFUNCTION("""COMPUTED_VALUE"""),284952.0)</f>
        <v>284952</v>
      </c>
      <c r="N23" s="329">
        <f>IFERROR(__xludf.DUMMYFUNCTION("""COMPUTED_VALUE"""),309753.0)</f>
        <v>309753</v>
      </c>
      <c r="O23" s="329">
        <f>IFERROR(__xludf.DUMMYFUNCTION("""COMPUTED_VALUE"""),12.0)</f>
        <v>12</v>
      </c>
      <c r="P23" s="329">
        <f>IFERROR(__xludf.DUMMYFUNCTION("""COMPUTED_VALUE"""),2734.0)</f>
        <v>2734</v>
      </c>
      <c r="Q23" s="329">
        <f>IFERROR(__xludf.DUMMYFUNCTION("""COMPUTED_VALUE"""),18.0)</f>
        <v>18</v>
      </c>
      <c r="R23" s="329">
        <f>IFERROR(__xludf.DUMMYFUNCTION("""COMPUTED_VALUE"""),2285.0)</f>
        <v>2285</v>
      </c>
      <c r="S23" s="329">
        <f>IFERROR(__xludf.DUMMYFUNCTION("""COMPUTED_VALUE"""),1.0)</f>
        <v>1</v>
      </c>
      <c r="T23" s="329">
        <f>IFERROR(__xludf.DUMMYFUNCTION("""COMPUTED_VALUE"""),361.0)</f>
        <v>361</v>
      </c>
      <c r="U23" s="329">
        <f>IFERROR(__xludf.DUMMYFUNCTION("""COMPUTED_VALUE"""),88.0)</f>
        <v>88</v>
      </c>
      <c r="V23" s="329">
        <f>IFERROR(__xludf.DUMMYFUNCTION("""COMPUTED_VALUE"""),93.0)</f>
        <v>93</v>
      </c>
      <c r="W23" s="329">
        <f>IFERROR(__xludf.DUMMYFUNCTION("""COMPUTED_VALUE"""),6.0)</f>
        <v>6</v>
      </c>
      <c r="X23" s="329">
        <f>IFERROR(__xludf.DUMMYFUNCTION("""COMPUTED_VALUE"""),6.0)</f>
        <v>6</v>
      </c>
      <c r="Y23" s="329">
        <f>IFERROR(__xludf.DUMMYFUNCTION("""COMPUTED_VALUE"""),1.0)</f>
        <v>1</v>
      </c>
      <c r="Z23" s="329">
        <f>IFERROR(__xludf.DUMMYFUNCTION("""COMPUTED_VALUE"""),1124.0)</f>
        <v>1124</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IFERROR(__xludf.DUMMYFUNCTION("""COMPUTED_VALUE"""),44104.0)</f>
        <v>44104</v>
      </c>
      <c r="B24" s="329">
        <f>IFERROR(__xludf.DUMMYFUNCTION("""COMPUTED_VALUE"""),223.0)</f>
        <v>223</v>
      </c>
      <c r="C24" s="329">
        <f>IFERROR(__xludf.DUMMYFUNCTION("""COMPUTED_VALUE"""),194.0)</f>
        <v>194</v>
      </c>
      <c r="D24" s="329">
        <f>IFERROR(__xludf.DUMMYFUNCTION("""COMPUTED_VALUE"""),34970.0)</f>
        <v>34970</v>
      </c>
      <c r="E24" s="329">
        <f>IFERROR(__xludf.DUMMYFUNCTION("""COMPUTED_VALUE"""),12218.0)</f>
        <v>12218</v>
      </c>
      <c r="F24" s="258">
        <f>IFERROR(__xludf.DUMMYFUNCTION("""COMPUTED_VALUE"""),750628.0)</f>
        <v>750628</v>
      </c>
      <c r="G24" s="258">
        <f>IFERROR(__xludf.DUMMYFUNCTION("""COMPUTED_VALUE"""),12441.0)</f>
        <v>12441</v>
      </c>
      <c r="H24" s="258">
        <f>IFERROR(__xludf.DUMMYFUNCTION("""COMPUTED_VALUE"""),785598.0)</f>
        <v>785598</v>
      </c>
      <c r="I24" s="329">
        <f>IFERROR(__xludf.DUMMYFUNCTION("""COMPUTED_VALUE"""),189.0)</f>
        <v>189</v>
      </c>
      <c r="J24" s="329">
        <f>IFERROR(__xludf.DUMMYFUNCTION("""COMPUTED_VALUE"""),170.0)</f>
        <v>170</v>
      </c>
      <c r="K24" s="329">
        <f>IFERROR(__xludf.DUMMYFUNCTION("""COMPUTED_VALUE"""),24990.0)</f>
        <v>24990</v>
      </c>
      <c r="L24" s="329">
        <f>IFERROR(__xludf.DUMMYFUNCTION("""COMPUTED_VALUE"""),2360.0)</f>
        <v>2360</v>
      </c>
      <c r="M24" s="329">
        <f>IFERROR(__xludf.DUMMYFUNCTION("""COMPUTED_VALUE"""),287312.0)</f>
        <v>287312</v>
      </c>
      <c r="N24" s="329">
        <f>IFERROR(__xludf.DUMMYFUNCTION("""COMPUTED_VALUE"""),312302.0)</f>
        <v>312302</v>
      </c>
      <c r="O24" s="329">
        <f>IFERROR(__xludf.DUMMYFUNCTION("""COMPUTED_VALUE"""),6.0)</f>
        <v>6</v>
      </c>
      <c r="P24" s="329">
        <f>IFERROR(__xludf.DUMMYFUNCTION("""COMPUTED_VALUE"""),2740.0)</f>
        <v>2740</v>
      </c>
      <c r="Q24" s="329">
        <f>IFERROR(__xludf.DUMMYFUNCTION("""COMPUTED_VALUE"""),6.0)</f>
        <v>6</v>
      </c>
      <c r="R24" s="329">
        <f>IFERROR(__xludf.DUMMYFUNCTION("""COMPUTED_VALUE"""),2291.0)</f>
        <v>2291</v>
      </c>
      <c r="S24" s="329">
        <f>IFERROR(__xludf.DUMMYFUNCTION("""COMPUTED_VALUE"""),0.0)</f>
        <v>0</v>
      </c>
      <c r="T24" s="329">
        <f>IFERROR(__xludf.DUMMYFUNCTION("""COMPUTED_VALUE"""),361.0)</f>
        <v>361</v>
      </c>
      <c r="U24" s="329">
        <f>IFERROR(__xludf.DUMMYFUNCTION("""COMPUTED_VALUE"""),88.0)</f>
        <v>88</v>
      </c>
      <c r="V24" s="329">
        <f>IFERROR(__xludf.DUMMYFUNCTION("""COMPUTED_VALUE"""),90.0)</f>
        <v>90</v>
      </c>
      <c r="W24" s="329">
        <f>IFERROR(__xludf.DUMMYFUNCTION("""COMPUTED_VALUE"""),6.0)</f>
        <v>6</v>
      </c>
      <c r="X24" s="329">
        <f>IFERROR(__xludf.DUMMYFUNCTION("""COMPUTED_VALUE"""),6.0)</f>
        <v>6</v>
      </c>
      <c r="Y24" s="329">
        <f>IFERROR(__xludf.DUMMYFUNCTION("""COMPUTED_VALUE"""),1.0)</f>
        <v>1</v>
      </c>
      <c r="Z24" s="329">
        <f>IFERROR(__xludf.DUMMYFUNCTION("""COMPUTED_VALUE"""),1125.0)</f>
        <v>1125</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IFERROR(__xludf.DUMMYFUNCTION("""COMPUTED_VALUE"""),44105.0)</f>
        <v>44105</v>
      </c>
      <c r="B25" s="329">
        <f>IFERROR(__xludf.DUMMYFUNCTION("""COMPUTED_VALUE"""),184.0)</f>
        <v>184</v>
      </c>
      <c r="C25" s="329">
        <f>IFERROR(__xludf.DUMMYFUNCTION("""COMPUTED_VALUE"""),203.0)</f>
        <v>203</v>
      </c>
      <c r="D25" s="329">
        <f>IFERROR(__xludf.DUMMYFUNCTION("""COMPUTED_VALUE"""),35154.0)</f>
        <v>35154</v>
      </c>
      <c r="E25" s="329">
        <f>IFERROR(__xludf.DUMMYFUNCTION("""COMPUTED_VALUE"""),12492.0)</f>
        <v>12492</v>
      </c>
      <c r="F25" s="258">
        <f>IFERROR(__xludf.DUMMYFUNCTION("""COMPUTED_VALUE"""),763120.0)</f>
        <v>763120</v>
      </c>
      <c r="G25" s="258">
        <f>IFERROR(__xludf.DUMMYFUNCTION("""COMPUTED_VALUE"""),12676.0)</f>
        <v>12676</v>
      </c>
      <c r="H25" s="258">
        <f>IFERROR(__xludf.DUMMYFUNCTION("""COMPUTED_VALUE"""),798274.0)</f>
        <v>798274</v>
      </c>
      <c r="I25" s="329">
        <f>IFERROR(__xludf.DUMMYFUNCTION("""COMPUTED_VALUE"""),166.0)</f>
        <v>166</v>
      </c>
      <c r="J25" s="329">
        <f>IFERROR(__xludf.DUMMYFUNCTION("""COMPUTED_VALUE"""),180.0)</f>
        <v>180</v>
      </c>
      <c r="K25" s="329">
        <f>IFERROR(__xludf.DUMMYFUNCTION("""COMPUTED_VALUE"""),25156.0)</f>
        <v>25156</v>
      </c>
      <c r="L25" s="329">
        <f>IFERROR(__xludf.DUMMYFUNCTION("""COMPUTED_VALUE"""),2182.0)</f>
        <v>2182</v>
      </c>
      <c r="M25" s="329">
        <f>IFERROR(__xludf.DUMMYFUNCTION("""COMPUTED_VALUE"""),289494.0)</f>
        <v>289494</v>
      </c>
      <c r="N25" s="329">
        <f>IFERROR(__xludf.DUMMYFUNCTION("""COMPUTED_VALUE"""),314650.0)</f>
        <v>314650</v>
      </c>
      <c r="O25" s="329">
        <f>IFERROR(__xludf.DUMMYFUNCTION("""COMPUTED_VALUE"""),17.0)</f>
        <v>17</v>
      </c>
      <c r="P25" s="329">
        <f>IFERROR(__xludf.DUMMYFUNCTION("""COMPUTED_VALUE"""),2757.0)</f>
        <v>2757</v>
      </c>
      <c r="Q25" s="329">
        <f>IFERROR(__xludf.DUMMYFUNCTION("""COMPUTED_VALUE"""),13.0)</f>
        <v>13</v>
      </c>
      <c r="R25" s="329">
        <f>IFERROR(__xludf.DUMMYFUNCTION("""COMPUTED_VALUE"""),2304.0)</f>
        <v>2304</v>
      </c>
      <c r="S25" s="329">
        <f>IFERROR(__xludf.DUMMYFUNCTION("""COMPUTED_VALUE"""),1.0)</f>
        <v>1</v>
      </c>
      <c r="T25" s="329">
        <f>IFERROR(__xludf.DUMMYFUNCTION("""COMPUTED_VALUE"""),362.0)</f>
        <v>362</v>
      </c>
      <c r="U25" s="329">
        <f>IFERROR(__xludf.DUMMYFUNCTION("""COMPUTED_VALUE"""),91.0)</f>
        <v>91</v>
      </c>
      <c r="V25" s="329">
        <f>IFERROR(__xludf.DUMMYFUNCTION("""COMPUTED_VALUE"""),89.0)</f>
        <v>89</v>
      </c>
      <c r="W25" s="329">
        <f>IFERROR(__xludf.DUMMYFUNCTION("""COMPUTED_VALUE"""),6.0)</f>
        <v>6</v>
      </c>
      <c r="X25" s="329">
        <f>IFERROR(__xludf.DUMMYFUNCTION("""COMPUTED_VALUE"""),4.0)</f>
        <v>4</v>
      </c>
      <c r="Y25" s="329">
        <f>IFERROR(__xludf.DUMMYFUNCTION("""COMPUTED_VALUE"""),2.0)</f>
        <v>2</v>
      </c>
      <c r="Z25" s="329">
        <f>IFERROR(__xludf.DUMMYFUNCTION("""COMPUTED_VALUE"""),1127.0)</f>
        <v>1127</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IFERROR(__xludf.DUMMYFUNCTION("""COMPUTED_VALUE"""),44106.0)</f>
        <v>44106</v>
      </c>
      <c r="B26" s="329">
        <f>IFERROR(__xludf.DUMMYFUNCTION("""COMPUTED_VALUE"""),209.0)</f>
        <v>209</v>
      </c>
      <c r="C26" s="329">
        <f>IFERROR(__xludf.DUMMYFUNCTION("""COMPUTED_VALUE"""),205.0)</f>
        <v>205</v>
      </c>
      <c r="D26" s="329">
        <f>IFERROR(__xludf.DUMMYFUNCTION("""COMPUTED_VALUE"""),35363.0)</f>
        <v>35363</v>
      </c>
      <c r="E26" s="329">
        <f>IFERROR(__xludf.DUMMYFUNCTION("""COMPUTED_VALUE"""),12149.0)</f>
        <v>12149</v>
      </c>
      <c r="F26" s="258">
        <f>IFERROR(__xludf.DUMMYFUNCTION("""COMPUTED_VALUE"""),775269.0)</f>
        <v>775269</v>
      </c>
      <c r="G26" s="258">
        <f>IFERROR(__xludf.DUMMYFUNCTION("""COMPUTED_VALUE"""),12358.0)</f>
        <v>12358</v>
      </c>
      <c r="H26" s="258">
        <f>IFERROR(__xludf.DUMMYFUNCTION("""COMPUTED_VALUE"""),810632.0)</f>
        <v>810632</v>
      </c>
      <c r="I26" s="329">
        <f>IFERROR(__xludf.DUMMYFUNCTION("""COMPUTED_VALUE"""),183.0)</f>
        <v>183</v>
      </c>
      <c r="J26" s="329">
        <f>IFERROR(__xludf.DUMMYFUNCTION("""COMPUTED_VALUE"""),179.0)</f>
        <v>179</v>
      </c>
      <c r="K26" s="329">
        <f>IFERROR(__xludf.DUMMYFUNCTION("""COMPUTED_VALUE"""),25339.0)</f>
        <v>25339</v>
      </c>
      <c r="L26" s="329">
        <f>IFERROR(__xludf.DUMMYFUNCTION("""COMPUTED_VALUE"""),2273.0)</f>
        <v>2273</v>
      </c>
      <c r="M26" s="329">
        <f>IFERROR(__xludf.DUMMYFUNCTION("""COMPUTED_VALUE"""),291767.0)</f>
        <v>291767</v>
      </c>
      <c r="N26" s="329">
        <f>IFERROR(__xludf.DUMMYFUNCTION("""COMPUTED_VALUE"""),317106.0)</f>
        <v>317106</v>
      </c>
      <c r="O26" s="329">
        <f>IFERROR(__xludf.DUMMYFUNCTION("""COMPUTED_VALUE"""),14.0)</f>
        <v>14</v>
      </c>
      <c r="P26" s="329">
        <f>IFERROR(__xludf.DUMMYFUNCTION("""COMPUTED_VALUE"""),2771.0)</f>
        <v>2771</v>
      </c>
      <c r="Q26" s="329">
        <f>IFERROR(__xludf.DUMMYFUNCTION("""COMPUTED_VALUE"""),13.0)</f>
        <v>13</v>
      </c>
      <c r="R26" s="329">
        <f>IFERROR(__xludf.DUMMYFUNCTION("""COMPUTED_VALUE"""),2317.0)</f>
        <v>2317</v>
      </c>
      <c r="S26" s="329">
        <f>IFERROR(__xludf.DUMMYFUNCTION("""COMPUTED_VALUE"""),1.0)</f>
        <v>1</v>
      </c>
      <c r="T26" s="329">
        <f>IFERROR(__xludf.DUMMYFUNCTION("""COMPUTED_VALUE"""),363.0)</f>
        <v>363</v>
      </c>
      <c r="U26" s="329">
        <f>IFERROR(__xludf.DUMMYFUNCTION("""COMPUTED_VALUE"""),91.0)</f>
        <v>91</v>
      </c>
      <c r="V26" s="329">
        <f>IFERROR(__xludf.DUMMYFUNCTION("""COMPUTED_VALUE"""),90.0)</f>
        <v>90</v>
      </c>
      <c r="W26" s="329">
        <f>IFERROR(__xludf.DUMMYFUNCTION("""COMPUTED_VALUE"""),8.0)</f>
        <v>8</v>
      </c>
      <c r="X26" s="329">
        <f>IFERROR(__xludf.DUMMYFUNCTION("""COMPUTED_VALUE"""),5.0)</f>
        <v>5</v>
      </c>
      <c r="Y26" s="329">
        <f>IFERROR(__xludf.DUMMYFUNCTION("""COMPUTED_VALUE"""),2.0)</f>
        <v>2</v>
      </c>
      <c r="Z26" s="329">
        <f>IFERROR(__xludf.DUMMYFUNCTION("""COMPUTED_VALUE"""),1129.0)</f>
        <v>1129</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IFERROR(__xludf.DUMMYFUNCTION("""COMPUTED_VALUE"""),44107.0)</f>
        <v>44107</v>
      </c>
      <c r="B27" s="329">
        <f>IFERROR(__xludf.DUMMYFUNCTION("""COMPUTED_VALUE"""),157.0)</f>
        <v>157</v>
      </c>
      <c r="C27" s="329">
        <f>IFERROR(__xludf.DUMMYFUNCTION("""COMPUTED_VALUE"""),183.0)</f>
        <v>183</v>
      </c>
      <c r="D27" s="329">
        <f>IFERROR(__xludf.DUMMYFUNCTION("""COMPUTED_VALUE"""),35520.0)</f>
        <v>35520</v>
      </c>
      <c r="E27" s="329">
        <f>IFERROR(__xludf.DUMMYFUNCTION("""COMPUTED_VALUE"""),9304.0)</f>
        <v>9304</v>
      </c>
      <c r="F27" s="258">
        <f>IFERROR(__xludf.DUMMYFUNCTION("""COMPUTED_VALUE"""),784573.0)</f>
        <v>784573</v>
      </c>
      <c r="G27" s="258">
        <f>IFERROR(__xludf.DUMMYFUNCTION("""COMPUTED_VALUE"""),9461.0)</f>
        <v>9461</v>
      </c>
      <c r="H27" s="258">
        <f>IFERROR(__xludf.DUMMYFUNCTION("""COMPUTED_VALUE"""),820093.0)</f>
        <v>820093</v>
      </c>
      <c r="I27" s="329">
        <f>IFERROR(__xludf.DUMMYFUNCTION("""COMPUTED_VALUE"""),131.0)</f>
        <v>131</v>
      </c>
      <c r="J27" s="329">
        <f>IFERROR(__xludf.DUMMYFUNCTION("""COMPUTED_VALUE"""),160.0)</f>
        <v>160</v>
      </c>
      <c r="K27" s="329">
        <f>IFERROR(__xludf.DUMMYFUNCTION("""COMPUTED_VALUE"""),25470.0)</f>
        <v>25470</v>
      </c>
      <c r="L27" s="329">
        <f>IFERROR(__xludf.DUMMYFUNCTION("""COMPUTED_VALUE"""),1858.0)</f>
        <v>1858</v>
      </c>
      <c r="M27" s="329">
        <f>IFERROR(__xludf.DUMMYFUNCTION("""COMPUTED_VALUE"""),293625.0)</f>
        <v>293625</v>
      </c>
      <c r="N27" s="329">
        <f>IFERROR(__xludf.DUMMYFUNCTION("""COMPUTED_VALUE"""),319095.0)</f>
        <v>319095</v>
      </c>
      <c r="O27" s="329">
        <f>IFERROR(__xludf.DUMMYFUNCTION("""COMPUTED_VALUE"""),8.0)</f>
        <v>8</v>
      </c>
      <c r="P27" s="329">
        <f>IFERROR(__xludf.DUMMYFUNCTION("""COMPUTED_VALUE"""),2779.0)</f>
        <v>2779</v>
      </c>
      <c r="Q27" s="329">
        <f>IFERROR(__xludf.DUMMYFUNCTION("""COMPUTED_VALUE"""),8.0)</f>
        <v>8</v>
      </c>
      <c r="R27" s="329">
        <f>IFERROR(__xludf.DUMMYFUNCTION("""COMPUTED_VALUE"""),2325.0)</f>
        <v>2325</v>
      </c>
      <c r="S27" s="329">
        <f>IFERROR(__xludf.DUMMYFUNCTION("""COMPUTED_VALUE"""),2.0)</f>
        <v>2</v>
      </c>
      <c r="T27" s="329">
        <f>IFERROR(__xludf.DUMMYFUNCTION("""COMPUTED_VALUE"""),365.0)</f>
        <v>365</v>
      </c>
      <c r="U27" s="329">
        <f>IFERROR(__xludf.DUMMYFUNCTION("""COMPUTED_VALUE"""),89.0)</f>
        <v>89</v>
      </c>
      <c r="V27" s="329">
        <f>IFERROR(__xludf.DUMMYFUNCTION("""COMPUTED_VALUE"""),90.0)</f>
        <v>90</v>
      </c>
      <c r="W27" s="329">
        <f>IFERROR(__xludf.DUMMYFUNCTION("""COMPUTED_VALUE"""),9.0)</f>
        <v>9</v>
      </c>
      <c r="X27" s="329">
        <f>IFERROR(__xludf.DUMMYFUNCTION("""COMPUTED_VALUE"""),4.0)</f>
        <v>4</v>
      </c>
      <c r="Y27" s="329">
        <f>IFERROR(__xludf.DUMMYFUNCTION("""COMPUTED_VALUE"""),2.0)</f>
        <v>2</v>
      </c>
      <c r="Z27" s="329">
        <f>IFERROR(__xludf.DUMMYFUNCTION("""COMPUTED_VALUE"""),1131.0)</f>
        <v>1131</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IFERROR(__xludf.DUMMYFUNCTION("""COMPUTED_VALUE"""),44108.0)</f>
        <v>44108</v>
      </c>
      <c r="B28" s="329">
        <f>IFERROR(__xludf.DUMMYFUNCTION("""COMPUTED_VALUE"""),81.0)</f>
        <v>81</v>
      </c>
      <c r="C28" s="329">
        <f>IFERROR(__xludf.DUMMYFUNCTION("""COMPUTED_VALUE"""),149.0)</f>
        <v>149</v>
      </c>
      <c r="D28" s="329">
        <f>IFERROR(__xludf.DUMMYFUNCTION("""COMPUTED_VALUE"""),35601.0)</f>
        <v>35601</v>
      </c>
      <c r="E28" s="329">
        <f>IFERROR(__xludf.DUMMYFUNCTION("""COMPUTED_VALUE"""),2369.0)</f>
        <v>2369</v>
      </c>
      <c r="F28" s="258">
        <f>IFERROR(__xludf.DUMMYFUNCTION("""COMPUTED_VALUE"""),786942.0)</f>
        <v>786942</v>
      </c>
      <c r="G28" s="258">
        <f>IFERROR(__xludf.DUMMYFUNCTION("""COMPUTED_VALUE"""),2450.0)</f>
        <v>2450</v>
      </c>
      <c r="H28" s="258">
        <f>IFERROR(__xludf.DUMMYFUNCTION("""COMPUTED_VALUE"""),822543.0)</f>
        <v>822543</v>
      </c>
      <c r="I28" s="329">
        <f>IFERROR(__xludf.DUMMYFUNCTION("""COMPUTED_VALUE"""),77.0)</f>
        <v>77</v>
      </c>
      <c r="J28" s="329">
        <f>IFERROR(__xludf.DUMMYFUNCTION("""COMPUTED_VALUE"""),130.0)</f>
        <v>130</v>
      </c>
      <c r="K28" s="329">
        <f>IFERROR(__xludf.DUMMYFUNCTION("""COMPUTED_VALUE"""),25547.0)</f>
        <v>25547</v>
      </c>
      <c r="L28" s="329">
        <f>IFERROR(__xludf.DUMMYFUNCTION("""COMPUTED_VALUE"""),869.0)</f>
        <v>869</v>
      </c>
      <c r="M28" s="329">
        <f>IFERROR(__xludf.DUMMYFUNCTION("""COMPUTED_VALUE"""),294494.0)</f>
        <v>294494</v>
      </c>
      <c r="N28" s="329">
        <f>IFERROR(__xludf.DUMMYFUNCTION("""COMPUTED_VALUE"""),320041.0)</f>
        <v>320041</v>
      </c>
      <c r="O28" s="329">
        <f>IFERROR(__xludf.DUMMYFUNCTION("""COMPUTED_VALUE"""),11.0)</f>
        <v>11</v>
      </c>
      <c r="P28" s="329">
        <f>IFERROR(__xludf.DUMMYFUNCTION("""COMPUTED_VALUE"""),2790.0)</f>
        <v>2790</v>
      </c>
      <c r="Q28" s="329">
        <f>IFERROR(__xludf.DUMMYFUNCTION("""COMPUTED_VALUE"""),9.0)</f>
        <v>9</v>
      </c>
      <c r="R28" s="329">
        <f>IFERROR(__xludf.DUMMYFUNCTION("""COMPUTED_VALUE"""),2334.0)</f>
        <v>2334</v>
      </c>
      <c r="S28" s="329">
        <f>IFERROR(__xludf.DUMMYFUNCTION("""COMPUTED_VALUE"""),1.0)</f>
        <v>1</v>
      </c>
      <c r="T28" s="329">
        <f>IFERROR(__xludf.DUMMYFUNCTION("""COMPUTED_VALUE"""),366.0)</f>
        <v>366</v>
      </c>
      <c r="U28" s="329">
        <f>IFERROR(__xludf.DUMMYFUNCTION("""COMPUTED_VALUE"""),90.0)</f>
        <v>90</v>
      </c>
      <c r="V28" s="329">
        <f>IFERROR(__xludf.DUMMYFUNCTION("""COMPUTED_VALUE"""),90.0)</f>
        <v>90</v>
      </c>
      <c r="W28" s="329">
        <f>IFERROR(__xludf.DUMMYFUNCTION("""COMPUTED_VALUE"""),8.0)</f>
        <v>8</v>
      </c>
      <c r="X28" s="329">
        <f>IFERROR(__xludf.DUMMYFUNCTION("""COMPUTED_VALUE"""),5.0)</f>
        <v>5</v>
      </c>
      <c r="Y28" s="329">
        <f>IFERROR(__xludf.DUMMYFUNCTION("""COMPUTED_VALUE"""),2.0)</f>
        <v>2</v>
      </c>
      <c r="Z28" s="329">
        <f>IFERROR(__xludf.DUMMYFUNCTION("""COMPUTED_VALUE"""),1133.0)</f>
        <v>1133</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IFERROR(__xludf.DUMMYFUNCTION("""COMPUTED_VALUE"""),44109.0)</f>
        <v>44109</v>
      </c>
      <c r="B29" s="329">
        <f>IFERROR(__xludf.DUMMYFUNCTION("""COMPUTED_VALUE"""),175.0)</f>
        <v>175</v>
      </c>
      <c r="C29" s="329">
        <f>IFERROR(__xludf.DUMMYFUNCTION("""COMPUTED_VALUE"""),138.0)</f>
        <v>138</v>
      </c>
      <c r="D29" s="329">
        <f>IFERROR(__xludf.DUMMYFUNCTION("""COMPUTED_VALUE"""),35776.0)</f>
        <v>35776</v>
      </c>
      <c r="E29" s="329">
        <f>IFERROR(__xludf.DUMMYFUNCTION("""COMPUTED_VALUE"""),8963.0)</f>
        <v>8963</v>
      </c>
      <c r="F29" s="258">
        <f>IFERROR(__xludf.DUMMYFUNCTION("""COMPUTED_VALUE"""),795905.0)</f>
        <v>795905</v>
      </c>
      <c r="G29" s="258">
        <f>IFERROR(__xludf.DUMMYFUNCTION("""COMPUTED_VALUE"""),9138.0)</f>
        <v>9138</v>
      </c>
      <c r="H29" s="258">
        <f>IFERROR(__xludf.DUMMYFUNCTION("""COMPUTED_VALUE"""),831681.0)</f>
        <v>831681</v>
      </c>
      <c r="I29" s="329">
        <f>IFERROR(__xludf.DUMMYFUNCTION("""COMPUTED_VALUE"""),160.0)</f>
        <v>160</v>
      </c>
      <c r="J29" s="329">
        <f>IFERROR(__xludf.DUMMYFUNCTION("""COMPUTED_VALUE"""),123.0)</f>
        <v>123</v>
      </c>
      <c r="K29" s="329">
        <f>IFERROR(__xludf.DUMMYFUNCTION("""COMPUTED_VALUE"""),25707.0)</f>
        <v>25707</v>
      </c>
      <c r="L29" s="329">
        <f>IFERROR(__xludf.DUMMYFUNCTION("""COMPUTED_VALUE"""),2792.0)</f>
        <v>2792</v>
      </c>
      <c r="M29" s="329">
        <f>IFERROR(__xludf.DUMMYFUNCTION("""COMPUTED_VALUE"""),297286.0)</f>
        <v>297286</v>
      </c>
      <c r="N29" s="329">
        <f>IFERROR(__xludf.DUMMYFUNCTION("""COMPUTED_VALUE"""),322993.0)</f>
        <v>322993</v>
      </c>
      <c r="O29" s="329">
        <f>IFERROR(__xludf.DUMMYFUNCTION("""COMPUTED_VALUE"""),29.0)</f>
        <v>29</v>
      </c>
      <c r="P29" s="329">
        <f>IFERROR(__xludf.DUMMYFUNCTION("""COMPUTED_VALUE"""),2819.0)</f>
        <v>2819</v>
      </c>
      <c r="Q29" s="329">
        <f>IFERROR(__xludf.DUMMYFUNCTION("""COMPUTED_VALUE"""),9.0)</f>
        <v>9</v>
      </c>
      <c r="R29" s="329">
        <f>IFERROR(__xludf.DUMMYFUNCTION("""COMPUTED_VALUE"""),2343.0)</f>
        <v>2343</v>
      </c>
      <c r="S29" s="329">
        <f>IFERROR(__xludf.DUMMYFUNCTION("""COMPUTED_VALUE"""),2.0)</f>
        <v>2</v>
      </c>
      <c r="T29" s="329">
        <f>IFERROR(__xludf.DUMMYFUNCTION("""COMPUTED_VALUE"""),368.0)</f>
        <v>368</v>
      </c>
      <c r="U29" s="329">
        <f>IFERROR(__xludf.DUMMYFUNCTION("""COMPUTED_VALUE"""),108.0)</f>
        <v>108</v>
      </c>
      <c r="V29" s="329">
        <f>IFERROR(__xludf.DUMMYFUNCTION("""COMPUTED_VALUE"""),96.0)</f>
        <v>96</v>
      </c>
      <c r="W29" s="329">
        <f>IFERROR(__xludf.DUMMYFUNCTION("""COMPUTED_VALUE"""),9.0)</f>
        <v>9</v>
      </c>
      <c r="X29" s="329">
        <f>IFERROR(__xludf.DUMMYFUNCTION("""COMPUTED_VALUE"""),6.0)</f>
        <v>6</v>
      </c>
      <c r="Y29" s="329">
        <f>IFERROR(__xludf.DUMMYFUNCTION("""COMPUTED_VALUE"""),4.0)</f>
        <v>4</v>
      </c>
      <c r="Z29" s="329">
        <f>IFERROR(__xludf.DUMMYFUNCTION("""COMPUTED_VALUE"""),1137.0)</f>
        <v>1137</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IFERROR(__xludf.DUMMYFUNCTION("""COMPUTED_VALUE"""),44110.0)</f>
        <v>44110</v>
      </c>
      <c r="B30" s="329">
        <f>IFERROR(__xludf.DUMMYFUNCTION("""COMPUTED_VALUE"""),189.0)</f>
        <v>189</v>
      </c>
      <c r="C30" s="329">
        <f>IFERROR(__xludf.DUMMYFUNCTION("""COMPUTED_VALUE"""),148.0)</f>
        <v>148</v>
      </c>
      <c r="D30" s="329">
        <f>IFERROR(__xludf.DUMMYFUNCTION("""COMPUTED_VALUE"""),35965.0)</f>
        <v>35965</v>
      </c>
      <c r="E30" s="329">
        <f>IFERROR(__xludf.DUMMYFUNCTION("""COMPUTED_VALUE"""),11190.0)</f>
        <v>11190</v>
      </c>
      <c r="F30" s="258">
        <f>IFERROR(__xludf.DUMMYFUNCTION("""COMPUTED_VALUE"""),807095.0)</f>
        <v>807095</v>
      </c>
      <c r="G30" s="258">
        <f>IFERROR(__xludf.DUMMYFUNCTION("""COMPUTED_VALUE"""),11379.0)</f>
        <v>11379</v>
      </c>
      <c r="H30" s="258">
        <f>IFERROR(__xludf.DUMMYFUNCTION("""COMPUTED_VALUE"""),843060.0)</f>
        <v>843060</v>
      </c>
      <c r="I30" s="329">
        <f>IFERROR(__xludf.DUMMYFUNCTION("""COMPUTED_VALUE"""),187.0)</f>
        <v>187</v>
      </c>
      <c r="J30" s="329">
        <f>IFERROR(__xludf.DUMMYFUNCTION("""COMPUTED_VALUE"""),141.0)</f>
        <v>141</v>
      </c>
      <c r="K30" s="329">
        <f>IFERROR(__xludf.DUMMYFUNCTION("""COMPUTED_VALUE"""),25894.0)</f>
        <v>25894</v>
      </c>
      <c r="L30" s="329">
        <f>IFERROR(__xludf.DUMMYFUNCTION("""COMPUTED_VALUE"""),2644.0)</f>
        <v>2644</v>
      </c>
      <c r="M30" s="329">
        <f>IFERROR(__xludf.DUMMYFUNCTION("""COMPUTED_VALUE"""),299930.0)</f>
        <v>299930</v>
      </c>
      <c r="N30" s="329">
        <f>IFERROR(__xludf.DUMMYFUNCTION("""COMPUTED_VALUE"""),325824.0)</f>
        <v>325824</v>
      </c>
      <c r="O30" s="329">
        <f>IFERROR(__xludf.DUMMYFUNCTION("""COMPUTED_VALUE"""),11.0)</f>
        <v>11</v>
      </c>
      <c r="P30" s="329">
        <f>IFERROR(__xludf.DUMMYFUNCTION("""COMPUTED_VALUE"""),2830.0)</f>
        <v>2830</v>
      </c>
      <c r="Q30" s="329">
        <f>IFERROR(__xludf.DUMMYFUNCTION("""COMPUTED_VALUE"""),4.0)</f>
        <v>4</v>
      </c>
      <c r="R30" s="329">
        <f>IFERROR(__xludf.DUMMYFUNCTION("""COMPUTED_VALUE"""),2347.0)</f>
        <v>2347</v>
      </c>
      <c r="S30" s="329">
        <f>IFERROR(__xludf.DUMMYFUNCTION("""COMPUTED_VALUE"""),0.0)</f>
        <v>0</v>
      </c>
      <c r="T30" s="329">
        <f>IFERROR(__xludf.DUMMYFUNCTION("""COMPUTED_VALUE"""),368.0)</f>
        <v>368</v>
      </c>
      <c r="U30" s="329">
        <f>IFERROR(__xludf.DUMMYFUNCTION("""COMPUTED_VALUE"""),115.0)</f>
        <v>115</v>
      </c>
      <c r="V30" s="329">
        <f>IFERROR(__xludf.DUMMYFUNCTION("""COMPUTED_VALUE"""),104.0)</f>
        <v>104</v>
      </c>
      <c r="W30" s="329">
        <f>IFERROR(__xludf.DUMMYFUNCTION("""COMPUTED_VALUE"""),11.0)</f>
        <v>11</v>
      </c>
      <c r="X30" s="329">
        <f>IFERROR(__xludf.DUMMYFUNCTION("""COMPUTED_VALUE"""),7.0)</f>
        <v>7</v>
      </c>
      <c r="Y30" s="329">
        <f>IFERROR(__xludf.DUMMYFUNCTION("""COMPUTED_VALUE"""),0.0)</f>
        <v>0</v>
      </c>
      <c r="Z30" s="329">
        <f>IFERROR(__xludf.DUMMYFUNCTION("""COMPUTED_VALUE"""),1137.0)</f>
        <v>1137</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IFERROR(__xludf.DUMMYFUNCTION("""COMPUTED_VALUE"""),44111.0)</f>
        <v>44111</v>
      </c>
      <c r="B31" s="329">
        <f>IFERROR(__xludf.DUMMYFUNCTION("""COMPUTED_VALUE"""),244.0)</f>
        <v>244</v>
      </c>
      <c r="C31" s="329">
        <f>IFERROR(__xludf.DUMMYFUNCTION("""COMPUTED_VALUE"""),203.0)</f>
        <v>203</v>
      </c>
      <c r="D31" s="329">
        <f>IFERROR(__xludf.DUMMYFUNCTION("""COMPUTED_VALUE"""),36209.0)</f>
        <v>36209</v>
      </c>
      <c r="E31" s="329">
        <f>IFERROR(__xludf.DUMMYFUNCTION("""COMPUTED_VALUE"""),12443.0)</f>
        <v>12443</v>
      </c>
      <c r="F31" s="258">
        <f>IFERROR(__xludf.DUMMYFUNCTION("""COMPUTED_VALUE"""),819538.0)</f>
        <v>819538</v>
      </c>
      <c r="G31" s="258">
        <f>IFERROR(__xludf.DUMMYFUNCTION("""COMPUTED_VALUE"""),12687.0)</f>
        <v>12687</v>
      </c>
      <c r="H31" s="258">
        <f>IFERROR(__xludf.DUMMYFUNCTION("""COMPUTED_VALUE"""),855747.0)</f>
        <v>855747</v>
      </c>
      <c r="I31" s="329">
        <f>IFERROR(__xludf.DUMMYFUNCTION("""COMPUTED_VALUE"""),243.0)</f>
        <v>243</v>
      </c>
      <c r="J31" s="329">
        <f>IFERROR(__xludf.DUMMYFUNCTION("""COMPUTED_VALUE"""),197.0)</f>
        <v>197</v>
      </c>
      <c r="K31" s="329">
        <f>IFERROR(__xludf.DUMMYFUNCTION("""COMPUTED_VALUE"""),26137.0)</f>
        <v>26137</v>
      </c>
      <c r="L31" s="329">
        <f>IFERROR(__xludf.DUMMYFUNCTION("""COMPUTED_VALUE"""),3223.0)</f>
        <v>3223</v>
      </c>
      <c r="M31" s="329">
        <f>IFERROR(__xludf.DUMMYFUNCTION("""COMPUTED_VALUE"""),303153.0)</f>
        <v>303153</v>
      </c>
      <c r="N31" s="329">
        <f>IFERROR(__xludf.DUMMYFUNCTION("""COMPUTED_VALUE"""),329290.0)</f>
        <v>329290</v>
      </c>
      <c r="O31" s="329">
        <f>IFERROR(__xludf.DUMMYFUNCTION("""COMPUTED_VALUE"""),13.0)</f>
        <v>13</v>
      </c>
      <c r="P31" s="329">
        <f>IFERROR(__xludf.DUMMYFUNCTION("""COMPUTED_VALUE"""),2843.0)</f>
        <v>2843</v>
      </c>
      <c r="Q31" s="329">
        <f>IFERROR(__xludf.DUMMYFUNCTION("""COMPUTED_VALUE"""),14.0)</f>
        <v>14</v>
      </c>
      <c r="R31" s="329">
        <f>IFERROR(__xludf.DUMMYFUNCTION("""COMPUTED_VALUE"""),2361.0)</f>
        <v>2361</v>
      </c>
      <c r="S31" s="329">
        <f>IFERROR(__xludf.DUMMYFUNCTION("""COMPUTED_VALUE"""),2.0)</f>
        <v>2</v>
      </c>
      <c r="T31" s="329">
        <f>IFERROR(__xludf.DUMMYFUNCTION("""COMPUTED_VALUE"""),370.0)</f>
        <v>370</v>
      </c>
      <c r="U31" s="329">
        <f>IFERROR(__xludf.DUMMYFUNCTION("""COMPUTED_VALUE"""),112.0)</f>
        <v>112</v>
      </c>
      <c r="V31" s="329">
        <f>IFERROR(__xludf.DUMMYFUNCTION("""COMPUTED_VALUE"""),112.0)</f>
        <v>112</v>
      </c>
      <c r="W31" s="329">
        <f>IFERROR(__xludf.DUMMYFUNCTION("""COMPUTED_VALUE"""),9.0)</f>
        <v>9</v>
      </c>
      <c r="X31" s="329">
        <f>IFERROR(__xludf.DUMMYFUNCTION("""COMPUTED_VALUE"""),7.0)</f>
        <v>7</v>
      </c>
      <c r="Y31" s="329">
        <f>IFERROR(__xludf.DUMMYFUNCTION("""COMPUTED_VALUE"""),2.0)</f>
        <v>2</v>
      </c>
      <c r="Z31" s="329">
        <f>IFERROR(__xludf.DUMMYFUNCTION("""COMPUTED_VALUE"""),1139.0)</f>
        <v>1139</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IFERROR(__xludf.DUMMYFUNCTION("""COMPUTED_VALUE"""),44112.0)</f>
        <v>44112</v>
      </c>
      <c r="B32" s="329">
        <f>IFERROR(__xludf.DUMMYFUNCTION("""COMPUTED_VALUE"""),283.0)</f>
        <v>283</v>
      </c>
      <c r="C32" s="329">
        <f>IFERROR(__xludf.DUMMYFUNCTION("""COMPUTED_VALUE"""),239.0)</f>
        <v>239</v>
      </c>
      <c r="D32" s="329">
        <f>IFERROR(__xludf.DUMMYFUNCTION("""COMPUTED_VALUE"""),36492.0)</f>
        <v>36492</v>
      </c>
      <c r="E32" s="329">
        <f>IFERROR(__xludf.DUMMYFUNCTION("""COMPUTED_VALUE"""),15222.0)</f>
        <v>15222</v>
      </c>
      <c r="F32" s="258">
        <f>IFERROR(__xludf.DUMMYFUNCTION("""COMPUTED_VALUE"""),834760.0)</f>
        <v>834760</v>
      </c>
      <c r="G32" s="258">
        <f>IFERROR(__xludf.DUMMYFUNCTION("""COMPUTED_VALUE"""),15505.0)</f>
        <v>15505</v>
      </c>
      <c r="H32" s="258">
        <f>IFERROR(__xludf.DUMMYFUNCTION("""COMPUTED_VALUE"""),871252.0)</f>
        <v>871252</v>
      </c>
      <c r="I32" s="329">
        <f>IFERROR(__xludf.DUMMYFUNCTION("""COMPUTED_VALUE"""),275.0)</f>
        <v>275</v>
      </c>
      <c r="J32" s="329">
        <f>IFERROR(__xludf.DUMMYFUNCTION("""COMPUTED_VALUE"""),235.0)</f>
        <v>235</v>
      </c>
      <c r="K32" s="329">
        <f>IFERROR(__xludf.DUMMYFUNCTION("""COMPUTED_VALUE"""),26412.0)</f>
        <v>26412</v>
      </c>
      <c r="L32" s="329">
        <f>IFERROR(__xludf.DUMMYFUNCTION("""COMPUTED_VALUE"""),3820.0)</f>
        <v>3820</v>
      </c>
      <c r="M32" s="329">
        <f>IFERROR(__xludf.DUMMYFUNCTION("""COMPUTED_VALUE"""),306973.0)</f>
        <v>306973</v>
      </c>
      <c r="N32" s="329">
        <f>IFERROR(__xludf.DUMMYFUNCTION("""COMPUTED_VALUE"""),333385.0)</f>
        <v>333385</v>
      </c>
      <c r="O32" s="329">
        <f>IFERROR(__xludf.DUMMYFUNCTION("""COMPUTED_VALUE"""),17.0)</f>
        <v>17</v>
      </c>
      <c r="P32" s="329">
        <f>IFERROR(__xludf.DUMMYFUNCTION("""COMPUTED_VALUE"""),2860.0)</f>
        <v>2860</v>
      </c>
      <c r="Q32" s="329">
        <f>IFERROR(__xludf.DUMMYFUNCTION("""COMPUTED_VALUE"""),13.0)</f>
        <v>13</v>
      </c>
      <c r="R32" s="329">
        <f>IFERROR(__xludf.DUMMYFUNCTION("""COMPUTED_VALUE"""),2374.0)</f>
        <v>2374</v>
      </c>
      <c r="S32" s="329">
        <f>IFERROR(__xludf.DUMMYFUNCTION("""COMPUTED_VALUE"""),2.0)</f>
        <v>2</v>
      </c>
      <c r="T32" s="329">
        <f>IFERROR(__xludf.DUMMYFUNCTION("""COMPUTED_VALUE"""),372.0)</f>
        <v>372</v>
      </c>
      <c r="U32" s="329">
        <f>IFERROR(__xludf.DUMMYFUNCTION("""COMPUTED_VALUE"""),114.0)</f>
        <v>114</v>
      </c>
      <c r="V32" s="329">
        <f>IFERROR(__xludf.DUMMYFUNCTION("""COMPUTED_VALUE"""),114.0)</f>
        <v>114</v>
      </c>
      <c r="W32" s="329">
        <f>IFERROR(__xludf.DUMMYFUNCTION("""COMPUTED_VALUE"""),7.0)</f>
        <v>7</v>
      </c>
      <c r="X32" s="329">
        <f>IFERROR(__xludf.DUMMYFUNCTION("""COMPUTED_VALUE"""),5.0)</f>
        <v>5</v>
      </c>
      <c r="Y32" s="329">
        <f>IFERROR(__xludf.DUMMYFUNCTION("""COMPUTED_VALUE"""),4.0)</f>
        <v>4</v>
      </c>
      <c r="Z32" s="329">
        <f>IFERROR(__xludf.DUMMYFUNCTION("""COMPUTED_VALUE"""),1143.0)</f>
        <v>1143</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IFERROR(__xludf.DUMMYFUNCTION("""COMPUTED_VALUE"""),44113.0)</f>
        <v>44113</v>
      </c>
      <c r="B33" s="329">
        <f>IFERROR(__xludf.DUMMYFUNCTION("""COMPUTED_VALUE"""),231.0)</f>
        <v>231</v>
      </c>
      <c r="C33" s="329">
        <f>IFERROR(__xludf.DUMMYFUNCTION("""COMPUTED_VALUE"""),253.0)</f>
        <v>253</v>
      </c>
      <c r="D33" s="329">
        <f>IFERROR(__xludf.DUMMYFUNCTION("""COMPUTED_VALUE"""),36723.0)</f>
        <v>36723</v>
      </c>
      <c r="E33" s="329">
        <f>IFERROR(__xludf.DUMMYFUNCTION("""COMPUTED_VALUE"""),13729.0)</f>
        <v>13729</v>
      </c>
      <c r="F33" s="258">
        <f>IFERROR(__xludf.DUMMYFUNCTION("""COMPUTED_VALUE"""),848489.0)</f>
        <v>848489</v>
      </c>
      <c r="G33" s="258">
        <f>IFERROR(__xludf.DUMMYFUNCTION("""COMPUTED_VALUE"""),13960.0)</f>
        <v>13960</v>
      </c>
      <c r="H33" s="258">
        <f>IFERROR(__xludf.DUMMYFUNCTION("""COMPUTED_VALUE"""),885212.0)</f>
        <v>885212</v>
      </c>
      <c r="I33" s="329">
        <f>IFERROR(__xludf.DUMMYFUNCTION("""COMPUTED_VALUE"""),200.0)</f>
        <v>200</v>
      </c>
      <c r="J33" s="329">
        <f>IFERROR(__xludf.DUMMYFUNCTION("""COMPUTED_VALUE"""),239.0)</f>
        <v>239</v>
      </c>
      <c r="K33" s="329">
        <f>IFERROR(__xludf.DUMMYFUNCTION("""COMPUTED_VALUE"""),26612.0)</f>
        <v>26612</v>
      </c>
      <c r="L33" s="329">
        <f>IFERROR(__xludf.DUMMYFUNCTION("""COMPUTED_VALUE"""),3827.0)</f>
        <v>3827</v>
      </c>
      <c r="M33" s="329">
        <f>IFERROR(__xludf.DUMMYFUNCTION("""COMPUTED_VALUE"""),310800.0)</f>
        <v>310800</v>
      </c>
      <c r="N33" s="329">
        <f>IFERROR(__xludf.DUMMYFUNCTION("""COMPUTED_VALUE"""),337412.0)</f>
        <v>337412</v>
      </c>
      <c r="O33" s="329">
        <f>IFERROR(__xludf.DUMMYFUNCTION("""COMPUTED_VALUE"""),21.0)</f>
        <v>21</v>
      </c>
      <c r="P33" s="329">
        <f>IFERROR(__xludf.DUMMYFUNCTION("""COMPUTED_VALUE"""),2881.0)</f>
        <v>2881</v>
      </c>
      <c r="Q33" s="329">
        <f>IFERROR(__xludf.DUMMYFUNCTION("""COMPUTED_VALUE"""),12.0)</f>
        <v>12</v>
      </c>
      <c r="R33" s="329">
        <f>IFERROR(__xludf.DUMMYFUNCTION("""COMPUTED_VALUE"""),2386.0)</f>
        <v>2386</v>
      </c>
      <c r="S33" s="329">
        <f>IFERROR(__xludf.DUMMYFUNCTION("""COMPUTED_VALUE"""),0.0)</f>
        <v>0</v>
      </c>
      <c r="T33" s="329">
        <f>IFERROR(__xludf.DUMMYFUNCTION("""COMPUTED_VALUE"""),372.0)</f>
        <v>372</v>
      </c>
      <c r="U33" s="329">
        <f>IFERROR(__xludf.DUMMYFUNCTION("""COMPUTED_VALUE"""),123.0)</f>
        <v>123</v>
      </c>
      <c r="V33" s="329">
        <f>IFERROR(__xludf.DUMMYFUNCTION("""COMPUTED_VALUE"""),116.0)</f>
        <v>116</v>
      </c>
      <c r="W33" s="329">
        <f>IFERROR(__xludf.DUMMYFUNCTION("""COMPUTED_VALUE"""),10.0)</f>
        <v>10</v>
      </c>
      <c r="X33" s="329">
        <f>IFERROR(__xludf.DUMMYFUNCTION("""COMPUTED_VALUE"""),7.0)</f>
        <v>7</v>
      </c>
      <c r="Y33" s="329">
        <f>IFERROR(__xludf.DUMMYFUNCTION("""COMPUTED_VALUE"""),3.0)</f>
        <v>3</v>
      </c>
      <c r="Z33" s="329">
        <f>IFERROR(__xludf.DUMMYFUNCTION("""COMPUTED_VALUE"""),1146.0)</f>
        <v>1146</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IFERROR(__xludf.DUMMYFUNCTION("""COMPUTED_VALUE"""),44114.0)</f>
        <v>44114</v>
      </c>
      <c r="B34" s="329">
        <f>IFERROR(__xludf.DUMMYFUNCTION("""COMPUTED_VALUE"""),232.0)</f>
        <v>232</v>
      </c>
      <c r="C34" s="329">
        <f>IFERROR(__xludf.DUMMYFUNCTION("""COMPUTED_VALUE"""),249.0)</f>
        <v>249</v>
      </c>
      <c r="D34" s="329">
        <f>IFERROR(__xludf.DUMMYFUNCTION("""COMPUTED_VALUE"""),36955.0)</f>
        <v>36955</v>
      </c>
      <c r="E34" s="329">
        <f>IFERROR(__xludf.DUMMYFUNCTION("""COMPUTED_VALUE"""),13829.0)</f>
        <v>13829</v>
      </c>
      <c r="F34" s="258">
        <f>IFERROR(__xludf.DUMMYFUNCTION("""COMPUTED_VALUE"""),862318.0)</f>
        <v>862318</v>
      </c>
      <c r="G34" s="258">
        <f>IFERROR(__xludf.DUMMYFUNCTION("""COMPUTED_VALUE"""),14061.0)</f>
        <v>14061</v>
      </c>
      <c r="H34" s="258">
        <f>IFERROR(__xludf.DUMMYFUNCTION("""COMPUTED_VALUE"""),899273.0)</f>
        <v>899273</v>
      </c>
      <c r="I34" s="329">
        <f>IFERROR(__xludf.DUMMYFUNCTION("""COMPUTED_VALUE"""),192.0)</f>
        <v>192</v>
      </c>
      <c r="J34" s="329">
        <f>IFERROR(__xludf.DUMMYFUNCTION("""COMPUTED_VALUE"""),222.0)</f>
        <v>222</v>
      </c>
      <c r="K34" s="329">
        <f>IFERROR(__xludf.DUMMYFUNCTION("""COMPUTED_VALUE"""),26804.0)</f>
        <v>26804</v>
      </c>
      <c r="L34" s="329">
        <f>IFERROR(__xludf.DUMMYFUNCTION("""COMPUTED_VALUE"""),3445.0)</f>
        <v>3445</v>
      </c>
      <c r="M34" s="329">
        <f>IFERROR(__xludf.DUMMYFUNCTION("""COMPUTED_VALUE"""),314245.0)</f>
        <v>314245</v>
      </c>
      <c r="N34" s="329">
        <f>IFERROR(__xludf.DUMMYFUNCTION("""COMPUTED_VALUE"""),341049.0)</f>
        <v>341049</v>
      </c>
      <c r="O34" s="329">
        <f>IFERROR(__xludf.DUMMYFUNCTION("""COMPUTED_VALUE"""),18.0)</f>
        <v>18</v>
      </c>
      <c r="P34" s="329">
        <f>IFERROR(__xludf.DUMMYFUNCTION("""COMPUTED_VALUE"""),2899.0)</f>
        <v>2899</v>
      </c>
      <c r="Q34" s="329">
        <f>IFERROR(__xludf.DUMMYFUNCTION("""COMPUTED_VALUE"""),9.0)</f>
        <v>9</v>
      </c>
      <c r="R34" s="329">
        <f>IFERROR(__xludf.DUMMYFUNCTION("""COMPUTED_VALUE"""),2395.0)</f>
        <v>2395</v>
      </c>
      <c r="S34" s="329">
        <f>IFERROR(__xludf.DUMMYFUNCTION("""COMPUTED_VALUE"""),1.0)</f>
        <v>1</v>
      </c>
      <c r="T34" s="329">
        <f>IFERROR(__xludf.DUMMYFUNCTION("""COMPUTED_VALUE"""),373.0)</f>
        <v>373</v>
      </c>
      <c r="U34" s="329">
        <f>IFERROR(__xludf.DUMMYFUNCTION("""COMPUTED_VALUE"""),131.0)</f>
        <v>131</v>
      </c>
      <c r="V34" s="329">
        <f>IFERROR(__xludf.DUMMYFUNCTION("""COMPUTED_VALUE"""),123.0)</f>
        <v>123</v>
      </c>
      <c r="W34" s="329">
        <f>IFERROR(__xludf.DUMMYFUNCTION("""COMPUTED_VALUE"""),13.0)</f>
        <v>13</v>
      </c>
      <c r="X34" s="329">
        <f>IFERROR(__xludf.DUMMYFUNCTION("""COMPUTED_VALUE"""),7.0)</f>
        <v>7</v>
      </c>
      <c r="Y34" s="329">
        <f>IFERROR(__xludf.DUMMYFUNCTION("""COMPUTED_VALUE"""),2.0)</f>
        <v>2</v>
      </c>
      <c r="Z34" s="329">
        <f>IFERROR(__xludf.DUMMYFUNCTION("""COMPUTED_VALUE"""),1148.0)</f>
        <v>1148</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IFERROR(__xludf.DUMMYFUNCTION("""COMPUTED_VALUE"""),44115.0)</f>
        <v>44115</v>
      </c>
      <c r="B35" s="329">
        <f>IFERROR(__xludf.DUMMYFUNCTION("""COMPUTED_VALUE"""),100.0)</f>
        <v>100</v>
      </c>
      <c r="C35" s="329">
        <f>IFERROR(__xludf.DUMMYFUNCTION("""COMPUTED_VALUE"""),188.0)</f>
        <v>188</v>
      </c>
      <c r="D35" s="329">
        <f>IFERROR(__xludf.DUMMYFUNCTION("""COMPUTED_VALUE"""),37055.0)</f>
        <v>37055</v>
      </c>
      <c r="E35" s="329">
        <f>IFERROR(__xludf.DUMMYFUNCTION("""COMPUTED_VALUE"""),3264.0)</f>
        <v>3264</v>
      </c>
      <c r="F35" s="258">
        <f>IFERROR(__xludf.DUMMYFUNCTION("""COMPUTED_VALUE"""),865582.0)</f>
        <v>865582</v>
      </c>
      <c r="G35" s="258">
        <f>IFERROR(__xludf.DUMMYFUNCTION("""COMPUTED_VALUE"""),3364.0)</f>
        <v>3364</v>
      </c>
      <c r="H35" s="258">
        <f>IFERROR(__xludf.DUMMYFUNCTION("""COMPUTED_VALUE"""),902637.0)</f>
        <v>902637</v>
      </c>
      <c r="I35" s="329">
        <f>IFERROR(__xludf.DUMMYFUNCTION("""COMPUTED_VALUE"""),88.0)</f>
        <v>88</v>
      </c>
      <c r="J35" s="329">
        <f>IFERROR(__xludf.DUMMYFUNCTION("""COMPUTED_VALUE"""),160.0)</f>
        <v>160</v>
      </c>
      <c r="K35" s="329">
        <f>IFERROR(__xludf.DUMMYFUNCTION("""COMPUTED_VALUE"""),26892.0)</f>
        <v>26892</v>
      </c>
      <c r="L35" s="329">
        <f>IFERROR(__xludf.DUMMYFUNCTION("""COMPUTED_VALUE"""),1074.0)</f>
        <v>1074</v>
      </c>
      <c r="M35" s="329">
        <f>IFERROR(__xludf.DUMMYFUNCTION("""COMPUTED_VALUE"""),315319.0)</f>
        <v>315319</v>
      </c>
      <c r="N35" s="329">
        <f>IFERROR(__xludf.DUMMYFUNCTION("""COMPUTED_VALUE"""),342211.0)</f>
        <v>342211</v>
      </c>
      <c r="O35" s="329">
        <f>IFERROR(__xludf.DUMMYFUNCTION("""COMPUTED_VALUE"""),11.0)</f>
        <v>11</v>
      </c>
      <c r="P35" s="329">
        <f>IFERROR(__xludf.DUMMYFUNCTION("""COMPUTED_VALUE"""),2910.0)</f>
        <v>2910</v>
      </c>
      <c r="Q35" s="329">
        <f>IFERROR(__xludf.DUMMYFUNCTION("""COMPUTED_VALUE"""),8.0)</f>
        <v>8</v>
      </c>
      <c r="R35" s="329">
        <f>IFERROR(__xludf.DUMMYFUNCTION("""COMPUTED_VALUE"""),2403.0)</f>
        <v>2403</v>
      </c>
      <c r="S35" s="329">
        <f>IFERROR(__xludf.DUMMYFUNCTION("""COMPUTED_VALUE"""),1.0)</f>
        <v>1</v>
      </c>
      <c r="T35" s="329">
        <f>IFERROR(__xludf.DUMMYFUNCTION("""COMPUTED_VALUE"""),374.0)</f>
        <v>374</v>
      </c>
      <c r="U35" s="329">
        <f>IFERROR(__xludf.DUMMYFUNCTION("""COMPUTED_VALUE"""),133.0)</f>
        <v>133</v>
      </c>
      <c r="V35" s="329">
        <f>IFERROR(__xludf.DUMMYFUNCTION("""COMPUTED_VALUE"""),129.0)</f>
        <v>129</v>
      </c>
      <c r="W35" s="329">
        <f>IFERROR(__xludf.DUMMYFUNCTION("""COMPUTED_VALUE"""),14.0)</f>
        <v>14</v>
      </c>
      <c r="X35" s="329">
        <f>IFERROR(__xludf.DUMMYFUNCTION("""COMPUTED_VALUE"""),5.0)</f>
        <v>5</v>
      </c>
      <c r="Y35" s="329">
        <f>IFERROR(__xludf.DUMMYFUNCTION("""COMPUTED_VALUE"""),6.0)</f>
        <v>6</v>
      </c>
      <c r="Z35" s="329">
        <f>IFERROR(__xludf.DUMMYFUNCTION("""COMPUTED_VALUE"""),1154.0)</f>
        <v>1154</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IFERROR(__xludf.DUMMYFUNCTION("""COMPUTED_VALUE"""),44116.0)</f>
        <v>44116</v>
      </c>
      <c r="B36" s="329">
        <f>IFERROR(__xludf.DUMMYFUNCTION("""COMPUTED_VALUE"""),170.0)</f>
        <v>170</v>
      </c>
      <c r="C36" s="329">
        <f>IFERROR(__xludf.DUMMYFUNCTION("""COMPUTED_VALUE"""),167.0)</f>
        <v>167</v>
      </c>
      <c r="D36" s="329">
        <f>IFERROR(__xludf.DUMMYFUNCTION("""COMPUTED_VALUE"""),37225.0)</f>
        <v>37225</v>
      </c>
      <c r="E36" s="329">
        <f>IFERROR(__xludf.DUMMYFUNCTION("""COMPUTED_VALUE"""),6420.0)</f>
        <v>6420</v>
      </c>
      <c r="F36" s="258">
        <f>IFERROR(__xludf.DUMMYFUNCTION("""COMPUTED_VALUE"""),872002.0)</f>
        <v>872002</v>
      </c>
      <c r="G36" s="258">
        <f>IFERROR(__xludf.DUMMYFUNCTION("""COMPUTED_VALUE"""),6590.0)</f>
        <v>6590</v>
      </c>
      <c r="H36" s="258">
        <f>IFERROR(__xludf.DUMMYFUNCTION("""COMPUTED_VALUE"""),909227.0)</f>
        <v>909227</v>
      </c>
      <c r="I36" s="329">
        <f>IFERROR(__xludf.DUMMYFUNCTION("""COMPUTED_VALUE"""),157.0)</f>
        <v>157</v>
      </c>
      <c r="J36" s="329">
        <f>IFERROR(__xludf.DUMMYFUNCTION("""COMPUTED_VALUE"""),146.0)</f>
        <v>146</v>
      </c>
      <c r="K36" s="329">
        <f>IFERROR(__xludf.DUMMYFUNCTION("""COMPUTED_VALUE"""),27049.0)</f>
        <v>27049</v>
      </c>
      <c r="L36" s="329">
        <f>IFERROR(__xludf.DUMMYFUNCTION("""COMPUTED_VALUE"""),1587.0)</f>
        <v>1587</v>
      </c>
      <c r="M36" s="329">
        <f>IFERROR(__xludf.DUMMYFUNCTION("""COMPUTED_VALUE"""),316906.0)</f>
        <v>316906</v>
      </c>
      <c r="N36" s="329">
        <f>IFERROR(__xludf.DUMMYFUNCTION("""COMPUTED_VALUE"""),343955.0)</f>
        <v>343955</v>
      </c>
      <c r="O36" s="329">
        <f>IFERROR(__xludf.DUMMYFUNCTION("""COMPUTED_VALUE"""),19.0)</f>
        <v>19</v>
      </c>
      <c r="P36" s="329">
        <f>IFERROR(__xludf.DUMMYFUNCTION("""COMPUTED_VALUE"""),2929.0)</f>
        <v>2929</v>
      </c>
      <c r="Q36" s="329">
        <f>IFERROR(__xludf.DUMMYFUNCTION("""COMPUTED_VALUE"""),15.0)</f>
        <v>15</v>
      </c>
      <c r="R36" s="329">
        <f>IFERROR(__xludf.DUMMYFUNCTION("""COMPUTED_VALUE"""),2418.0)</f>
        <v>2418</v>
      </c>
      <c r="S36" s="329">
        <f>IFERROR(__xludf.DUMMYFUNCTION("""COMPUTED_VALUE"""),2.0)</f>
        <v>2</v>
      </c>
      <c r="T36" s="329">
        <f>IFERROR(__xludf.DUMMYFUNCTION("""COMPUTED_VALUE"""),376.0)</f>
        <v>376</v>
      </c>
      <c r="U36" s="329">
        <f>IFERROR(__xludf.DUMMYFUNCTION("""COMPUTED_VALUE"""),135.0)</f>
        <v>135</v>
      </c>
      <c r="V36" s="329">
        <f>IFERROR(__xludf.DUMMYFUNCTION("""COMPUTED_VALUE"""),133.0)</f>
        <v>133</v>
      </c>
      <c r="W36" s="329">
        <f>IFERROR(__xludf.DUMMYFUNCTION("""COMPUTED_VALUE"""),14.0)</f>
        <v>14</v>
      </c>
      <c r="X36" s="329">
        <f>IFERROR(__xludf.DUMMYFUNCTION("""COMPUTED_VALUE"""),5.0)</f>
        <v>5</v>
      </c>
      <c r="Y36" s="329">
        <f>IFERROR(__xludf.DUMMYFUNCTION("""COMPUTED_VALUE"""),5.0)</f>
        <v>5</v>
      </c>
      <c r="Z36" s="329">
        <f>IFERROR(__xludf.DUMMYFUNCTION("""COMPUTED_VALUE"""),1159.0)</f>
        <v>1159</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IFERROR(__xludf.DUMMYFUNCTION("""COMPUTED_VALUE"""),44117.0)</f>
        <v>44117</v>
      </c>
      <c r="B37" s="329">
        <f>IFERROR(__xludf.DUMMYFUNCTION("""COMPUTED_VALUE"""),230.0)</f>
        <v>230</v>
      </c>
      <c r="C37" s="329">
        <f>IFERROR(__xludf.DUMMYFUNCTION("""COMPUTED_VALUE"""),167.0)</f>
        <v>167</v>
      </c>
      <c r="D37" s="329">
        <f>IFERROR(__xludf.DUMMYFUNCTION("""COMPUTED_VALUE"""),37455.0)</f>
        <v>37455</v>
      </c>
      <c r="E37" s="329">
        <f>IFERROR(__xludf.DUMMYFUNCTION("""COMPUTED_VALUE"""),8518.0)</f>
        <v>8518</v>
      </c>
      <c r="F37" s="258">
        <f>IFERROR(__xludf.DUMMYFUNCTION("""COMPUTED_VALUE"""),880520.0)</f>
        <v>880520</v>
      </c>
      <c r="G37" s="258">
        <f>IFERROR(__xludf.DUMMYFUNCTION("""COMPUTED_VALUE"""),8748.0)</f>
        <v>8748</v>
      </c>
      <c r="H37" s="258">
        <f>IFERROR(__xludf.DUMMYFUNCTION("""COMPUTED_VALUE"""),917975.0)</f>
        <v>917975</v>
      </c>
      <c r="I37" s="329">
        <f>IFERROR(__xludf.DUMMYFUNCTION("""COMPUTED_VALUE"""),213.0)</f>
        <v>213</v>
      </c>
      <c r="J37" s="329">
        <f>IFERROR(__xludf.DUMMYFUNCTION("""COMPUTED_VALUE"""),153.0)</f>
        <v>153</v>
      </c>
      <c r="K37" s="329">
        <f>IFERROR(__xludf.DUMMYFUNCTION("""COMPUTED_VALUE"""),27262.0)</f>
        <v>27262</v>
      </c>
      <c r="L37" s="329">
        <f>IFERROR(__xludf.DUMMYFUNCTION("""COMPUTED_VALUE"""),2141.0)</f>
        <v>2141</v>
      </c>
      <c r="M37" s="329">
        <f>IFERROR(__xludf.DUMMYFUNCTION("""COMPUTED_VALUE"""),319047.0)</f>
        <v>319047</v>
      </c>
      <c r="N37" s="329">
        <f>IFERROR(__xludf.DUMMYFUNCTION("""COMPUTED_VALUE"""),346309.0)</f>
        <v>346309</v>
      </c>
      <c r="O37" s="329">
        <f>IFERROR(__xludf.DUMMYFUNCTION("""COMPUTED_VALUE"""),16.0)</f>
        <v>16</v>
      </c>
      <c r="P37" s="329">
        <f>IFERROR(__xludf.DUMMYFUNCTION("""COMPUTED_VALUE"""),2945.0)</f>
        <v>2945</v>
      </c>
      <c r="Q37" s="329">
        <f>IFERROR(__xludf.DUMMYFUNCTION("""COMPUTED_VALUE"""),13.0)</f>
        <v>13</v>
      </c>
      <c r="R37" s="329">
        <f>IFERROR(__xludf.DUMMYFUNCTION("""COMPUTED_VALUE"""),2431.0)</f>
        <v>2431</v>
      </c>
      <c r="S37" s="329">
        <f>IFERROR(__xludf.DUMMYFUNCTION("""COMPUTED_VALUE"""),4.0)</f>
        <v>4</v>
      </c>
      <c r="T37" s="329">
        <f>IFERROR(__xludf.DUMMYFUNCTION("""COMPUTED_VALUE"""),380.0)</f>
        <v>380</v>
      </c>
      <c r="U37" s="329">
        <f>IFERROR(__xludf.DUMMYFUNCTION("""COMPUTED_VALUE"""),134.0)</f>
        <v>134</v>
      </c>
      <c r="V37" s="329">
        <f>IFERROR(__xludf.DUMMYFUNCTION("""COMPUTED_VALUE"""),134.0)</f>
        <v>134</v>
      </c>
      <c r="W37" s="329">
        <f>IFERROR(__xludf.DUMMYFUNCTION("""COMPUTED_VALUE"""),13.0)</f>
        <v>13</v>
      </c>
      <c r="X37" s="329">
        <f>IFERROR(__xludf.DUMMYFUNCTION("""COMPUTED_VALUE"""),5.0)</f>
        <v>5</v>
      </c>
      <c r="Y37" s="329">
        <f>IFERROR(__xludf.DUMMYFUNCTION("""COMPUTED_VALUE"""),7.0)</f>
        <v>7</v>
      </c>
      <c r="Z37" s="329">
        <f>IFERROR(__xludf.DUMMYFUNCTION("""COMPUTED_VALUE"""),1166.0)</f>
        <v>1166</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IFERROR(__xludf.DUMMYFUNCTION("""COMPUTED_VALUE"""),44118.0)</f>
        <v>44118</v>
      </c>
      <c r="B38" s="329">
        <f>IFERROR(__xludf.DUMMYFUNCTION("""COMPUTED_VALUE"""),351.0)</f>
        <v>351</v>
      </c>
      <c r="C38" s="329">
        <f>IFERROR(__xludf.DUMMYFUNCTION("""COMPUTED_VALUE"""),250.0)</f>
        <v>250</v>
      </c>
      <c r="D38" s="329">
        <f>IFERROR(__xludf.DUMMYFUNCTION("""COMPUTED_VALUE"""),37806.0)</f>
        <v>37806</v>
      </c>
      <c r="E38" s="329">
        <f>IFERROR(__xludf.DUMMYFUNCTION("""COMPUTED_VALUE"""),15033.0)</f>
        <v>15033</v>
      </c>
      <c r="F38" s="258">
        <f>IFERROR(__xludf.DUMMYFUNCTION("""COMPUTED_VALUE"""),895553.0)</f>
        <v>895553</v>
      </c>
      <c r="G38" s="258">
        <f>IFERROR(__xludf.DUMMYFUNCTION("""COMPUTED_VALUE"""),15384.0)</f>
        <v>15384</v>
      </c>
      <c r="H38" s="258">
        <f>IFERROR(__xludf.DUMMYFUNCTION("""COMPUTED_VALUE"""),933359.0)</f>
        <v>933359</v>
      </c>
      <c r="I38" s="329">
        <f>IFERROR(__xludf.DUMMYFUNCTION("""COMPUTED_VALUE"""),305.0)</f>
        <v>305</v>
      </c>
      <c r="J38" s="329">
        <f>IFERROR(__xludf.DUMMYFUNCTION("""COMPUTED_VALUE"""),225.0)</f>
        <v>225</v>
      </c>
      <c r="K38" s="329">
        <f>IFERROR(__xludf.DUMMYFUNCTION("""COMPUTED_VALUE"""),27567.0)</f>
        <v>27567</v>
      </c>
      <c r="L38" s="329">
        <f>IFERROR(__xludf.DUMMYFUNCTION("""COMPUTED_VALUE"""),3683.0)</f>
        <v>3683</v>
      </c>
      <c r="M38" s="329">
        <f>IFERROR(__xludf.DUMMYFUNCTION("""COMPUTED_VALUE"""),322730.0)</f>
        <v>322730</v>
      </c>
      <c r="N38" s="329">
        <f>IFERROR(__xludf.DUMMYFUNCTION("""COMPUTED_VALUE"""),350297.0)</f>
        <v>350297</v>
      </c>
      <c r="O38" s="329">
        <f>IFERROR(__xludf.DUMMYFUNCTION("""COMPUTED_VALUE"""),17.0)</f>
        <v>17</v>
      </c>
      <c r="P38" s="329">
        <f>IFERROR(__xludf.DUMMYFUNCTION("""COMPUTED_VALUE"""),2962.0)</f>
        <v>2962</v>
      </c>
      <c r="Q38" s="329">
        <f>IFERROR(__xludf.DUMMYFUNCTION("""COMPUTED_VALUE"""),7.0)</f>
        <v>7</v>
      </c>
      <c r="R38" s="329">
        <f>IFERROR(__xludf.DUMMYFUNCTION("""COMPUTED_VALUE"""),2438.0)</f>
        <v>2438</v>
      </c>
      <c r="S38" s="329">
        <f>IFERROR(__xludf.DUMMYFUNCTION("""COMPUTED_VALUE"""),0.0)</f>
        <v>0</v>
      </c>
      <c r="T38" s="329">
        <f>IFERROR(__xludf.DUMMYFUNCTION("""COMPUTED_VALUE"""),380.0)</f>
        <v>380</v>
      </c>
      <c r="U38" s="329">
        <f>IFERROR(__xludf.DUMMYFUNCTION("""COMPUTED_VALUE"""),144.0)</f>
        <v>144</v>
      </c>
      <c r="V38" s="329">
        <f>IFERROR(__xludf.DUMMYFUNCTION("""COMPUTED_VALUE"""),138.0)</f>
        <v>138</v>
      </c>
      <c r="W38" s="329">
        <f>IFERROR(__xludf.DUMMYFUNCTION("""COMPUTED_VALUE"""),15.0)</f>
        <v>15</v>
      </c>
      <c r="X38" s="329">
        <f>IFERROR(__xludf.DUMMYFUNCTION("""COMPUTED_VALUE"""),5.0)</f>
        <v>5</v>
      </c>
      <c r="Y38" s="329">
        <f>IFERROR(__xludf.DUMMYFUNCTION("""COMPUTED_VALUE"""),2.0)</f>
        <v>2</v>
      </c>
      <c r="Z38" s="329">
        <f>IFERROR(__xludf.DUMMYFUNCTION("""COMPUTED_VALUE"""),1168.0)</f>
        <v>1168</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IFERROR(__xludf.DUMMYFUNCTION("""COMPUTED_VALUE"""),44119.0)</f>
        <v>44119</v>
      </c>
      <c r="B39" s="329">
        <f>IFERROR(__xludf.DUMMYFUNCTION("""COMPUTED_VALUE"""),276.0)</f>
        <v>276</v>
      </c>
      <c r="C39" s="329">
        <f>IFERROR(__xludf.DUMMYFUNCTION("""COMPUTED_VALUE"""),286.0)</f>
        <v>286</v>
      </c>
      <c r="D39" s="329">
        <f>IFERROR(__xludf.DUMMYFUNCTION("""COMPUTED_VALUE"""),38082.0)</f>
        <v>38082</v>
      </c>
      <c r="E39" s="329">
        <f>IFERROR(__xludf.DUMMYFUNCTION("""COMPUTED_VALUE"""),14627.0)</f>
        <v>14627</v>
      </c>
      <c r="F39" s="258">
        <f>IFERROR(__xludf.DUMMYFUNCTION("""COMPUTED_VALUE"""),910180.0)</f>
        <v>910180</v>
      </c>
      <c r="G39" s="258">
        <f>IFERROR(__xludf.DUMMYFUNCTION("""COMPUTED_VALUE"""),14903.0)</f>
        <v>14903</v>
      </c>
      <c r="H39" s="258">
        <f>IFERROR(__xludf.DUMMYFUNCTION("""COMPUTED_VALUE"""),948262.0)</f>
        <v>948262</v>
      </c>
      <c r="I39" s="329">
        <f>IFERROR(__xludf.DUMMYFUNCTION("""COMPUTED_VALUE"""),252.0)</f>
        <v>252</v>
      </c>
      <c r="J39" s="329">
        <f>IFERROR(__xludf.DUMMYFUNCTION("""COMPUTED_VALUE"""),257.0)</f>
        <v>257</v>
      </c>
      <c r="K39" s="329">
        <f>IFERROR(__xludf.DUMMYFUNCTION("""COMPUTED_VALUE"""),27819.0)</f>
        <v>27819</v>
      </c>
      <c r="L39" s="329">
        <f>IFERROR(__xludf.DUMMYFUNCTION("""COMPUTED_VALUE"""),3270.0)</f>
        <v>3270</v>
      </c>
      <c r="M39" s="329">
        <f>IFERROR(__xludf.DUMMYFUNCTION("""COMPUTED_VALUE"""),326000.0)</f>
        <v>326000</v>
      </c>
      <c r="N39" s="329">
        <f>IFERROR(__xludf.DUMMYFUNCTION("""COMPUTED_VALUE"""),353819.0)</f>
        <v>353819</v>
      </c>
      <c r="O39" s="329">
        <f>IFERROR(__xludf.DUMMYFUNCTION("""COMPUTED_VALUE"""),11.0)</f>
        <v>11</v>
      </c>
      <c r="P39" s="329">
        <f>IFERROR(__xludf.DUMMYFUNCTION("""COMPUTED_VALUE"""),2973.0)</f>
        <v>2973</v>
      </c>
      <c r="Q39" s="329">
        <f>IFERROR(__xludf.DUMMYFUNCTION("""COMPUTED_VALUE"""),15.0)</f>
        <v>15</v>
      </c>
      <c r="R39" s="329">
        <f>IFERROR(__xludf.DUMMYFUNCTION("""COMPUTED_VALUE"""),2453.0)</f>
        <v>2453</v>
      </c>
      <c r="S39" s="329">
        <f>IFERROR(__xludf.DUMMYFUNCTION("""COMPUTED_VALUE"""),1.0)</f>
        <v>1</v>
      </c>
      <c r="T39" s="329">
        <f>IFERROR(__xludf.DUMMYFUNCTION("""COMPUTED_VALUE"""),381.0)</f>
        <v>381</v>
      </c>
      <c r="U39" s="329">
        <f>IFERROR(__xludf.DUMMYFUNCTION("""COMPUTED_VALUE"""),139.0)</f>
        <v>139</v>
      </c>
      <c r="V39" s="329">
        <f>IFERROR(__xludf.DUMMYFUNCTION("""COMPUTED_VALUE"""),139.0)</f>
        <v>139</v>
      </c>
      <c r="W39" s="329">
        <f>IFERROR(__xludf.DUMMYFUNCTION("""COMPUTED_VALUE"""),13.0)</f>
        <v>13</v>
      </c>
      <c r="X39" s="329">
        <f>IFERROR(__xludf.DUMMYFUNCTION("""COMPUTED_VALUE"""),5.0)</f>
        <v>5</v>
      </c>
      <c r="Y39" s="329">
        <f>IFERROR(__xludf.DUMMYFUNCTION("""COMPUTED_VALUE"""),2.0)</f>
        <v>2</v>
      </c>
      <c r="Z39" s="329">
        <f>IFERROR(__xludf.DUMMYFUNCTION("""COMPUTED_VALUE"""),1170.0)</f>
        <v>1170</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IFERROR(__xludf.DUMMYFUNCTION("""COMPUTED_VALUE"""),44120.0)</f>
        <v>44120</v>
      </c>
      <c r="B40" s="329">
        <f>IFERROR(__xludf.DUMMYFUNCTION("""COMPUTED_VALUE"""),291.0)</f>
        <v>291</v>
      </c>
      <c r="C40" s="329">
        <f>IFERROR(__xludf.DUMMYFUNCTION("""COMPUTED_VALUE"""),306.0)</f>
        <v>306</v>
      </c>
      <c r="D40" s="329">
        <f>IFERROR(__xludf.DUMMYFUNCTION("""COMPUTED_VALUE"""),38373.0)</f>
        <v>38373</v>
      </c>
      <c r="E40" s="329">
        <f>IFERROR(__xludf.DUMMYFUNCTION("""COMPUTED_VALUE"""),15008.0)</f>
        <v>15008</v>
      </c>
      <c r="F40" s="258">
        <f>IFERROR(__xludf.DUMMYFUNCTION("""COMPUTED_VALUE"""),925188.0)</f>
        <v>925188</v>
      </c>
      <c r="G40" s="258">
        <f>IFERROR(__xludf.DUMMYFUNCTION("""COMPUTED_VALUE"""),15299.0)</f>
        <v>15299</v>
      </c>
      <c r="H40" s="258">
        <f>IFERROR(__xludf.DUMMYFUNCTION("""COMPUTED_VALUE"""),963561.0)</f>
        <v>963561</v>
      </c>
      <c r="I40" s="329">
        <f>IFERROR(__xludf.DUMMYFUNCTION("""COMPUTED_VALUE"""),276.0)</f>
        <v>276</v>
      </c>
      <c r="J40" s="329">
        <f>IFERROR(__xludf.DUMMYFUNCTION("""COMPUTED_VALUE"""),278.0)</f>
        <v>278</v>
      </c>
      <c r="K40" s="329">
        <f>IFERROR(__xludf.DUMMYFUNCTION("""COMPUTED_VALUE"""),28095.0)</f>
        <v>28095</v>
      </c>
      <c r="L40" s="329">
        <f>IFERROR(__xludf.DUMMYFUNCTION("""COMPUTED_VALUE"""),3077.0)</f>
        <v>3077</v>
      </c>
      <c r="M40" s="329">
        <f>IFERROR(__xludf.DUMMYFUNCTION("""COMPUTED_VALUE"""),329077.0)</f>
        <v>329077</v>
      </c>
      <c r="N40" s="329">
        <f>IFERROR(__xludf.DUMMYFUNCTION("""COMPUTED_VALUE"""),357172.0)</f>
        <v>357172</v>
      </c>
      <c r="O40" s="329">
        <f>IFERROR(__xludf.DUMMYFUNCTION("""COMPUTED_VALUE"""),13.0)</f>
        <v>13</v>
      </c>
      <c r="P40" s="329">
        <f>IFERROR(__xludf.DUMMYFUNCTION("""COMPUTED_VALUE"""),2986.0)</f>
        <v>2986</v>
      </c>
      <c r="Q40" s="329">
        <f>IFERROR(__xludf.DUMMYFUNCTION("""COMPUTED_VALUE"""),18.0)</f>
        <v>18</v>
      </c>
      <c r="R40" s="329">
        <f>IFERROR(__xludf.DUMMYFUNCTION("""COMPUTED_VALUE"""),2471.0)</f>
        <v>2471</v>
      </c>
      <c r="S40" s="329">
        <f>IFERROR(__xludf.DUMMYFUNCTION("""COMPUTED_VALUE"""),1.0)</f>
        <v>1</v>
      </c>
      <c r="T40" s="329">
        <f>IFERROR(__xludf.DUMMYFUNCTION("""COMPUTED_VALUE"""),382.0)</f>
        <v>382</v>
      </c>
      <c r="U40" s="329">
        <f>IFERROR(__xludf.DUMMYFUNCTION("""COMPUTED_VALUE"""),133.0)</f>
        <v>133</v>
      </c>
      <c r="V40" s="329">
        <f>IFERROR(__xludf.DUMMYFUNCTION("""COMPUTED_VALUE"""),139.0)</f>
        <v>139</v>
      </c>
      <c r="W40" s="329">
        <f>IFERROR(__xludf.DUMMYFUNCTION("""COMPUTED_VALUE"""),13.0)</f>
        <v>13</v>
      </c>
      <c r="X40" s="329">
        <f>IFERROR(__xludf.DUMMYFUNCTION("""COMPUTED_VALUE"""),4.0)</f>
        <v>4</v>
      </c>
      <c r="Y40" s="329">
        <f>IFERROR(__xludf.DUMMYFUNCTION("""COMPUTED_VALUE"""),2.0)</f>
        <v>2</v>
      </c>
      <c r="Z40" s="329">
        <f>IFERROR(__xludf.DUMMYFUNCTION("""COMPUTED_VALUE"""),1172.0)</f>
        <v>1172</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IFERROR(__xludf.DUMMYFUNCTION("""COMPUTED_VALUE"""),44121.0)</f>
        <v>44121</v>
      </c>
      <c r="B41" s="329">
        <f>IFERROR(__xludf.DUMMYFUNCTION("""COMPUTED_VALUE"""),363.0)</f>
        <v>363</v>
      </c>
      <c r="C41" s="329">
        <f>IFERROR(__xludf.DUMMYFUNCTION("""COMPUTED_VALUE"""),310.0)</f>
        <v>310</v>
      </c>
      <c r="D41" s="329">
        <f>IFERROR(__xludf.DUMMYFUNCTION("""COMPUTED_VALUE"""),38736.0)</f>
        <v>38736</v>
      </c>
      <c r="E41" s="329">
        <f>IFERROR(__xludf.DUMMYFUNCTION("""COMPUTED_VALUE"""),14062.0)</f>
        <v>14062</v>
      </c>
      <c r="F41" s="258">
        <f>IFERROR(__xludf.DUMMYFUNCTION("""COMPUTED_VALUE"""),939250.0)</f>
        <v>939250</v>
      </c>
      <c r="G41" s="258">
        <f>IFERROR(__xludf.DUMMYFUNCTION("""COMPUTED_VALUE"""),14425.0)</f>
        <v>14425</v>
      </c>
      <c r="H41" s="258">
        <f>IFERROR(__xludf.DUMMYFUNCTION("""COMPUTED_VALUE"""),977986.0)</f>
        <v>977986</v>
      </c>
      <c r="I41" s="329">
        <f>IFERROR(__xludf.DUMMYFUNCTION("""COMPUTED_VALUE"""),308.0)</f>
        <v>308</v>
      </c>
      <c r="J41" s="329">
        <f>IFERROR(__xludf.DUMMYFUNCTION("""COMPUTED_VALUE"""),279.0)</f>
        <v>279</v>
      </c>
      <c r="K41" s="329">
        <f>IFERROR(__xludf.DUMMYFUNCTION("""COMPUTED_VALUE"""),28403.0)</f>
        <v>28403</v>
      </c>
      <c r="L41" s="329">
        <f>IFERROR(__xludf.DUMMYFUNCTION("""COMPUTED_VALUE"""),2965.0)</f>
        <v>2965</v>
      </c>
      <c r="M41" s="329">
        <f>IFERROR(__xludf.DUMMYFUNCTION("""COMPUTED_VALUE"""),332042.0)</f>
        <v>332042</v>
      </c>
      <c r="N41" s="329">
        <f>IFERROR(__xludf.DUMMYFUNCTION("""COMPUTED_VALUE"""),360445.0)</f>
        <v>360445</v>
      </c>
      <c r="O41" s="329">
        <f>IFERROR(__xludf.DUMMYFUNCTION("""COMPUTED_VALUE"""),19.0)</f>
        <v>19</v>
      </c>
      <c r="P41" s="329">
        <f>IFERROR(__xludf.DUMMYFUNCTION("""COMPUTED_VALUE"""),3005.0)</f>
        <v>3005</v>
      </c>
      <c r="Q41" s="329">
        <f>IFERROR(__xludf.DUMMYFUNCTION("""COMPUTED_VALUE"""),11.0)</f>
        <v>11</v>
      </c>
      <c r="R41" s="329">
        <f>IFERROR(__xludf.DUMMYFUNCTION("""COMPUTED_VALUE"""),2482.0)</f>
        <v>2482</v>
      </c>
      <c r="S41" s="329">
        <f>IFERROR(__xludf.DUMMYFUNCTION("""COMPUTED_VALUE"""),1.0)</f>
        <v>1</v>
      </c>
      <c r="T41" s="329">
        <f>IFERROR(__xludf.DUMMYFUNCTION("""COMPUTED_VALUE"""),383.0)</f>
        <v>383</v>
      </c>
      <c r="U41" s="329">
        <f>IFERROR(__xludf.DUMMYFUNCTION("""COMPUTED_VALUE"""),140.0)</f>
        <v>140</v>
      </c>
      <c r="V41" s="329">
        <f>IFERROR(__xludf.DUMMYFUNCTION("""COMPUTED_VALUE"""),137.0)</f>
        <v>137</v>
      </c>
      <c r="W41" s="329">
        <f>IFERROR(__xludf.DUMMYFUNCTION("""COMPUTED_VALUE"""),17.0)</f>
        <v>17</v>
      </c>
      <c r="X41" s="329">
        <f>IFERROR(__xludf.DUMMYFUNCTION("""COMPUTED_VALUE"""),4.0)</f>
        <v>4</v>
      </c>
      <c r="Y41" s="329">
        <f>IFERROR(__xludf.DUMMYFUNCTION("""COMPUTED_VALUE"""),2.0)</f>
        <v>2</v>
      </c>
      <c r="Z41" s="329">
        <f>IFERROR(__xludf.DUMMYFUNCTION("""COMPUTED_VALUE"""),1174.0)</f>
        <v>1174</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IFERROR(__xludf.DUMMYFUNCTION("""COMPUTED_VALUE"""),44122.0)</f>
        <v>44122</v>
      </c>
      <c r="B42" s="329">
        <f>IFERROR(__xludf.DUMMYFUNCTION("""COMPUTED_VALUE"""),155.0)</f>
        <v>155</v>
      </c>
      <c r="C42" s="329">
        <f>IFERROR(__xludf.DUMMYFUNCTION("""COMPUTED_VALUE"""),270.0)</f>
        <v>270</v>
      </c>
      <c r="D42" s="329">
        <f>IFERROR(__xludf.DUMMYFUNCTION("""COMPUTED_VALUE"""),38891.0)</f>
        <v>38891</v>
      </c>
      <c r="E42" s="329">
        <f>IFERROR(__xludf.DUMMYFUNCTION("""COMPUTED_VALUE"""),4039.0)</f>
        <v>4039</v>
      </c>
      <c r="F42" s="258">
        <f>IFERROR(__xludf.DUMMYFUNCTION("""COMPUTED_VALUE"""),943289.0)</f>
        <v>943289</v>
      </c>
      <c r="G42" s="258">
        <f>IFERROR(__xludf.DUMMYFUNCTION("""COMPUTED_VALUE"""),4194.0)</f>
        <v>4194</v>
      </c>
      <c r="H42" s="258">
        <f>IFERROR(__xludf.DUMMYFUNCTION("""COMPUTED_VALUE"""),982180.0)</f>
        <v>982180</v>
      </c>
      <c r="I42" s="329">
        <f>IFERROR(__xludf.DUMMYFUNCTION("""COMPUTED_VALUE"""),125.0)</f>
        <v>125</v>
      </c>
      <c r="J42" s="329">
        <f>IFERROR(__xludf.DUMMYFUNCTION("""COMPUTED_VALUE"""),236.0)</f>
        <v>236</v>
      </c>
      <c r="K42" s="329">
        <f>IFERROR(__xludf.DUMMYFUNCTION("""COMPUTED_VALUE"""),28528.0)</f>
        <v>28528</v>
      </c>
      <c r="L42" s="329">
        <f>IFERROR(__xludf.DUMMYFUNCTION("""COMPUTED_VALUE"""),1197.0)</f>
        <v>1197</v>
      </c>
      <c r="M42" s="329">
        <f>IFERROR(__xludf.DUMMYFUNCTION("""COMPUTED_VALUE"""),333239.0)</f>
        <v>333239</v>
      </c>
      <c r="N42" s="329">
        <f>IFERROR(__xludf.DUMMYFUNCTION("""COMPUTED_VALUE"""),361767.0)</f>
        <v>361767</v>
      </c>
      <c r="O42" s="329">
        <f>IFERROR(__xludf.DUMMYFUNCTION("""COMPUTED_VALUE"""),18.0)</f>
        <v>18</v>
      </c>
      <c r="P42" s="329">
        <f>IFERROR(__xludf.DUMMYFUNCTION("""COMPUTED_VALUE"""),3023.0)</f>
        <v>3023</v>
      </c>
      <c r="Q42" s="329">
        <f>IFERROR(__xludf.DUMMYFUNCTION("""COMPUTED_VALUE"""),11.0)</f>
        <v>11</v>
      </c>
      <c r="R42" s="329">
        <f>IFERROR(__xludf.DUMMYFUNCTION("""COMPUTED_VALUE"""),2493.0)</f>
        <v>2493</v>
      </c>
      <c r="S42" s="329">
        <f>IFERROR(__xludf.DUMMYFUNCTION("""COMPUTED_VALUE"""),0.0)</f>
        <v>0</v>
      </c>
      <c r="T42" s="329">
        <f>IFERROR(__xludf.DUMMYFUNCTION("""COMPUTED_VALUE"""),383.0)</f>
        <v>383</v>
      </c>
      <c r="U42" s="329">
        <f>IFERROR(__xludf.DUMMYFUNCTION("""COMPUTED_VALUE"""),147.0)</f>
        <v>147</v>
      </c>
      <c r="V42" s="329">
        <f>IFERROR(__xludf.DUMMYFUNCTION("""COMPUTED_VALUE"""),140.0)</f>
        <v>140</v>
      </c>
      <c r="W42" s="329">
        <f>IFERROR(__xludf.DUMMYFUNCTION("""COMPUTED_VALUE"""),17.0)</f>
        <v>17</v>
      </c>
      <c r="X42" s="329">
        <f>IFERROR(__xludf.DUMMYFUNCTION("""COMPUTED_VALUE"""),6.0)</f>
        <v>6</v>
      </c>
      <c r="Y42" s="329">
        <f>IFERROR(__xludf.DUMMYFUNCTION("""COMPUTED_VALUE"""),2.0)</f>
        <v>2</v>
      </c>
      <c r="Z42" s="329">
        <f>IFERROR(__xludf.DUMMYFUNCTION("""COMPUTED_VALUE"""),1176.0)</f>
        <v>1176</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IFERROR(__xludf.DUMMYFUNCTION("""COMPUTED_VALUE"""),44123.0)</f>
        <v>44123</v>
      </c>
      <c r="B43" s="329">
        <f>IFERROR(__xludf.DUMMYFUNCTION("""COMPUTED_VALUE"""),388.0)</f>
        <v>388</v>
      </c>
      <c r="C43" s="329">
        <f>IFERROR(__xludf.DUMMYFUNCTION("""COMPUTED_VALUE"""),302.0)</f>
        <v>302</v>
      </c>
      <c r="D43" s="329">
        <f>IFERROR(__xludf.DUMMYFUNCTION("""COMPUTED_VALUE"""),39279.0)</f>
        <v>39279</v>
      </c>
      <c r="E43" s="329">
        <f>IFERROR(__xludf.DUMMYFUNCTION("""COMPUTED_VALUE"""),8493.0)</f>
        <v>8493</v>
      </c>
      <c r="F43" s="258">
        <f>IFERROR(__xludf.DUMMYFUNCTION("""COMPUTED_VALUE"""),951782.0)</f>
        <v>951782</v>
      </c>
      <c r="G43" s="258">
        <f>IFERROR(__xludf.DUMMYFUNCTION("""COMPUTED_VALUE"""),8881.0)</f>
        <v>8881</v>
      </c>
      <c r="H43" s="258">
        <f>IFERROR(__xludf.DUMMYFUNCTION("""COMPUTED_VALUE"""),991061.0)</f>
        <v>991061</v>
      </c>
      <c r="I43" s="329">
        <f>IFERROR(__xludf.DUMMYFUNCTION("""COMPUTED_VALUE"""),318.0)</f>
        <v>318</v>
      </c>
      <c r="J43" s="329">
        <f>IFERROR(__xludf.DUMMYFUNCTION("""COMPUTED_VALUE"""),250.0)</f>
        <v>250</v>
      </c>
      <c r="K43" s="329">
        <f>IFERROR(__xludf.DUMMYFUNCTION("""COMPUTED_VALUE"""),28846.0)</f>
        <v>28846</v>
      </c>
      <c r="L43" s="329">
        <f>IFERROR(__xludf.DUMMYFUNCTION("""COMPUTED_VALUE"""),2378.0)</f>
        <v>2378</v>
      </c>
      <c r="M43" s="329">
        <f>IFERROR(__xludf.DUMMYFUNCTION("""COMPUTED_VALUE"""),335617.0)</f>
        <v>335617</v>
      </c>
      <c r="N43" s="329">
        <f>IFERROR(__xludf.DUMMYFUNCTION("""COMPUTED_VALUE"""),364463.0)</f>
        <v>364463</v>
      </c>
      <c r="O43" s="329">
        <f>IFERROR(__xludf.DUMMYFUNCTION("""COMPUTED_VALUE"""),20.0)</f>
        <v>20</v>
      </c>
      <c r="P43" s="329">
        <f>IFERROR(__xludf.DUMMYFUNCTION("""COMPUTED_VALUE"""),3043.0)</f>
        <v>3043</v>
      </c>
      <c r="Q43" s="329">
        <f>IFERROR(__xludf.DUMMYFUNCTION("""COMPUTED_VALUE"""),21.0)</f>
        <v>21</v>
      </c>
      <c r="R43" s="329">
        <f>IFERROR(__xludf.DUMMYFUNCTION("""COMPUTED_VALUE"""),2514.0)</f>
        <v>2514</v>
      </c>
      <c r="S43" s="329">
        <f>IFERROR(__xludf.DUMMYFUNCTION("""COMPUTED_VALUE"""),2.0)</f>
        <v>2</v>
      </c>
      <c r="T43" s="329">
        <f>IFERROR(__xludf.DUMMYFUNCTION("""COMPUTED_VALUE"""),385.0)</f>
        <v>385</v>
      </c>
      <c r="U43" s="329">
        <f>IFERROR(__xludf.DUMMYFUNCTION("""COMPUTED_VALUE"""),144.0)</f>
        <v>144</v>
      </c>
      <c r="V43" s="329">
        <f>IFERROR(__xludf.DUMMYFUNCTION("""COMPUTED_VALUE"""),144.0)</f>
        <v>144</v>
      </c>
      <c r="W43" s="329">
        <f>IFERROR(__xludf.DUMMYFUNCTION("""COMPUTED_VALUE"""),15.0)</f>
        <v>15</v>
      </c>
      <c r="X43" s="329">
        <f>IFERROR(__xludf.DUMMYFUNCTION("""COMPUTED_VALUE"""),6.0)</f>
        <v>6</v>
      </c>
      <c r="Y43" s="329">
        <f>IFERROR(__xludf.DUMMYFUNCTION("""COMPUTED_VALUE"""),1.0)</f>
        <v>1</v>
      </c>
      <c r="Z43" s="329">
        <f>IFERROR(__xludf.DUMMYFUNCTION("""COMPUTED_VALUE"""),1177.0)</f>
        <v>1177</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IFERROR(__xludf.DUMMYFUNCTION("""COMPUTED_VALUE"""),44124.0)</f>
        <v>44124</v>
      </c>
      <c r="B44" s="329">
        <f>IFERROR(__xludf.DUMMYFUNCTION("""COMPUTED_VALUE"""),440.0)</f>
        <v>440</v>
      </c>
      <c r="C44" s="329">
        <f>IFERROR(__xludf.DUMMYFUNCTION("""COMPUTED_VALUE"""),328.0)</f>
        <v>328</v>
      </c>
      <c r="D44" s="329">
        <f>IFERROR(__xludf.DUMMYFUNCTION("""COMPUTED_VALUE"""),39719.0)</f>
        <v>39719</v>
      </c>
      <c r="E44" s="329">
        <f>IFERROR(__xludf.DUMMYFUNCTION("""COMPUTED_VALUE"""),13246.0)</f>
        <v>13246</v>
      </c>
      <c r="F44" s="258">
        <f>IFERROR(__xludf.DUMMYFUNCTION("""COMPUTED_VALUE"""),965028.0)</f>
        <v>965028</v>
      </c>
      <c r="G44" s="258">
        <f>IFERROR(__xludf.DUMMYFUNCTION("""COMPUTED_VALUE"""),13686.0)</f>
        <v>13686</v>
      </c>
      <c r="H44" s="258">
        <f>IFERROR(__xludf.DUMMYFUNCTION("""COMPUTED_VALUE"""),1004747.0)</f>
        <v>1004747</v>
      </c>
      <c r="I44" s="329">
        <f>IFERROR(__xludf.DUMMYFUNCTION("""COMPUTED_VALUE"""),383.0)</f>
        <v>383</v>
      </c>
      <c r="J44" s="329">
        <f>IFERROR(__xludf.DUMMYFUNCTION("""COMPUTED_VALUE"""),275.0)</f>
        <v>275</v>
      </c>
      <c r="K44" s="329">
        <f>IFERROR(__xludf.DUMMYFUNCTION("""COMPUTED_VALUE"""),29229.0)</f>
        <v>29229</v>
      </c>
      <c r="L44" s="329">
        <f>IFERROR(__xludf.DUMMYFUNCTION("""COMPUTED_VALUE"""),2770.0)</f>
        <v>2770</v>
      </c>
      <c r="M44" s="329">
        <f>IFERROR(__xludf.DUMMYFUNCTION("""COMPUTED_VALUE"""),338387.0)</f>
        <v>338387</v>
      </c>
      <c r="N44" s="329">
        <f>IFERROR(__xludf.DUMMYFUNCTION("""COMPUTED_VALUE"""),367616.0)</f>
        <v>367616</v>
      </c>
      <c r="O44" s="329">
        <f>IFERROR(__xludf.DUMMYFUNCTION("""COMPUTED_VALUE"""),22.0)</f>
        <v>22</v>
      </c>
      <c r="P44" s="329">
        <f>IFERROR(__xludf.DUMMYFUNCTION("""COMPUTED_VALUE"""),3065.0)</f>
        <v>3065</v>
      </c>
      <c r="Q44" s="329">
        <f>IFERROR(__xludf.DUMMYFUNCTION("""COMPUTED_VALUE"""),16.0)</f>
        <v>16</v>
      </c>
      <c r="R44" s="329">
        <f>IFERROR(__xludf.DUMMYFUNCTION("""COMPUTED_VALUE"""),2530.0)</f>
        <v>2530</v>
      </c>
      <c r="S44" s="329">
        <f>IFERROR(__xludf.DUMMYFUNCTION("""COMPUTED_VALUE"""),0.0)</f>
        <v>0</v>
      </c>
      <c r="T44" s="329">
        <f>IFERROR(__xludf.DUMMYFUNCTION("""COMPUTED_VALUE"""),385.0)</f>
        <v>385</v>
      </c>
      <c r="U44" s="329">
        <f>IFERROR(__xludf.DUMMYFUNCTION("""COMPUTED_VALUE"""),150.0)</f>
        <v>150</v>
      </c>
      <c r="V44" s="329">
        <f>IFERROR(__xludf.DUMMYFUNCTION("""COMPUTED_VALUE"""),147.0)</f>
        <v>147</v>
      </c>
      <c r="W44" s="329">
        <f>IFERROR(__xludf.DUMMYFUNCTION("""COMPUTED_VALUE"""),14.0)</f>
        <v>14</v>
      </c>
      <c r="X44" s="329">
        <f>IFERROR(__xludf.DUMMYFUNCTION("""COMPUTED_VALUE"""),8.0)</f>
        <v>8</v>
      </c>
      <c r="Y44" s="329">
        <f>IFERROR(__xludf.DUMMYFUNCTION("""COMPUTED_VALUE"""),4.0)</f>
        <v>4</v>
      </c>
      <c r="Z44" s="329">
        <f>IFERROR(__xludf.DUMMYFUNCTION("""COMPUTED_VALUE"""),1181.0)</f>
        <v>1181</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IFERROR(__xludf.DUMMYFUNCTION("""COMPUTED_VALUE"""),44125.0)</f>
        <v>44125</v>
      </c>
      <c r="B45" s="329">
        <f>IFERROR(__xludf.DUMMYFUNCTION("""COMPUTED_VALUE"""),552.0)</f>
        <v>552</v>
      </c>
      <c r="C45" s="329">
        <f>IFERROR(__xludf.DUMMYFUNCTION("""COMPUTED_VALUE"""),460.0)</f>
        <v>460</v>
      </c>
      <c r="D45" s="329">
        <f>IFERROR(__xludf.DUMMYFUNCTION("""COMPUTED_VALUE"""),40271.0)</f>
        <v>40271</v>
      </c>
      <c r="E45" s="329">
        <f>IFERROR(__xludf.DUMMYFUNCTION("""COMPUTED_VALUE"""),17462.0)</f>
        <v>17462</v>
      </c>
      <c r="F45" s="258">
        <f>IFERROR(__xludf.DUMMYFUNCTION("""COMPUTED_VALUE"""),982490.0)</f>
        <v>982490</v>
      </c>
      <c r="G45" s="258">
        <f>IFERROR(__xludf.DUMMYFUNCTION("""COMPUTED_VALUE"""),18014.0)</f>
        <v>18014</v>
      </c>
      <c r="H45" s="258">
        <f>IFERROR(__xludf.DUMMYFUNCTION("""COMPUTED_VALUE"""),1022761.0)</f>
        <v>1022761</v>
      </c>
      <c r="I45" s="329">
        <f>IFERROR(__xludf.DUMMYFUNCTION("""COMPUTED_VALUE"""),470.0)</f>
        <v>470</v>
      </c>
      <c r="J45" s="329">
        <f>IFERROR(__xludf.DUMMYFUNCTION("""COMPUTED_VALUE"""),390.0)</f>
        <v>390</v>
      </c>
      <c r="K45" s="329">
        <f>IFERROR(__xludf.DUMMYFUNCTION("""COMPUTED_VALUE"""),29699.0)</f>
        <v>29699</v>
      </c>
      <c r="L45" s="329">
        <f>IFERROR(__xludf.DUMMYFUNCTION("""COMPUTED_VALUE"""),3198.0)</f>
        <v>3198</v>
      </c>
      <c r="M45" s="329">
        <f>IFERROR(__xludf.DUMMYFUNCTION("""COMPUTED_VALUE"""),341585.0)</f>
        <v>341585</v>
      </c>
      <c r="N45" s="329">
        <f>IFERROR(__xludf.DUMMYFUNCTION("""COMPUTED_VALUE"""),371284.0)</f>
        <v>371284</v>
      </c>
      <c r="O45" s="329">
        <f>IFERROR(__xludf.DUMMYFUNCTION("""COMPUTED_VALUE"""),23.0)</f>
        <v>23</v>
      </c>
      <c r="P45" s="329">
        <f>IFERROR(__xludf.DUMMYFUNCTION("""COMPUTED_VALUE"""),3088.0)</f>
        <v>3088</v>
      </c>
      <c r="Q45" s="329">
        <f>IFERROR(__xludf.DUMMYFUNCTION("""COMPUTED_VALUE"""),8.0)</f>
        <v>8</v>
      </c>
      <c r="R45" s="329">
        <f>IFERROR(__xludf.DUMMYFUNCTION("""COMPUTED_VALUE"""),2538.0)</f>
        <v>2538</v>
      </c>
      <c r="S45" s="329">
        <f>IFERROR(__xludf.DUMMYFUNCTION("""COMPUTED_VALUE"""),2.0)</f>
        <v>2</v>
      </c>
      <c r="T45" s="329">
        <f>IFERROR(__xludf.DUMMYFUNCTION("""COMPUTED_VALUE"""),387.0)</f>
        <v>387</v>
      </c>
      <c r="U45" s="329">
        <f>IFERROR(__xludf.DUMMYFUNCTION("""COMPUTED_VALUE"""),163.0)</f>
        <v>163</v>
      </c>
      <c r="V45" s="329">
        <f>IFERROR(__xludf.DUMMYFUNCTION("""COMPUTED_VALUE"""),152.0)</f>
        <v>152</v>
      </c>
      <c r="W45" s="329">
        <f>IFERROR(__xludf.DUMMYFUNCTION("""COMPUTED_VALUE"""),15.0)</f>
        <v>15</v>
      </c>
      <c r="X45" s="329">
        <f>IFERROR(__xludf.DUMMYFUNCTION("""COMPUTED_VALUE"""),9.0)</f>
        <v>9</v>
      </c>
      <c r="Y45" s="329">
        <f>IFERROR(__xludf.DUMMYFUNCTION("""COMPUTED_VALUE"""),3.0)</f>
        <v>3</v>
      </c>
      <c r="Z45" s="329">
        <f>IFERROR(__xludf.DUMMYFUNCTION("""COMPUTED_VALUE"""),1184.0)</f>
        <v>1184</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IFERROR(__xludf.DUMMYFUNCTION("""COMPUTED_VALUE"""),44126.0)</f>
        <v>44126</v>
      </c>
      <c r="B46" s="329">
        <f>IFERROR(__xludf.DUMMYFUNCTION("""COMPUTED_VALUE"""),542.0)</f>
        <v>542</v>
      </c>
      <c r="C46" s="329">
        <f>IFERROR(__xludf.DUMMYFUNCTION("""COMPUTED_VALUE"""),511.0)</f>
        <v>511</v>
      </c>
      <c r="D46" s="329">
        <f>IFERROR(__xludf.DUMMYFUNCTION("""COMPUTED_VALUE"""),40813.0)</f>
        <v>40813</v>
      </c>
      <c r="E46" s="329">
        <f>IFERROR(__xludf.DUMMYFUNCTION("""COMPUTED_VALUE"""),15867.0)</f>
        <v>15867</v>
      </c>
      <c r="F46" s="258">
        <f>IFERROR(__xludf.DUMMYFUNCTION("""COMPUTED_VALUE"""),998357.0)</f>
        <v>998357</v>
      </c>
      <c r="G46" s="258">
        <f>IFERROR(__xludf.DUMMYFUNCTION("""COMPUTED_VALUE"""),16409.0)</f>
        <v>16409</v>
      </c>
      <c r="H46" s="258">
        <f>IFERROR(__xludf.DUMMYFUNCTION("""COMPUTED_VALUE"""),1039170.0)</f>
        <v>1039170</v>
      </c>
      <c r="I46" s="329">
        <f>IFERROR(__xludf.DUMMYFUNCTION("""COMPUTED_VALUE"""),485.0)</f>
        <v>485</v>
      </c>
      <c r="J46" s="329">
        <f>IFERROR(__xludf.DUMMYFUNCTION("""COMPUTED_VALUE"""),446.0)</f>
        <v>446</v>
      </c>
      <c r="K46" s="329">
        <f>IFERROR(__xludf.DUMMYFUNCTION("""COMPUTED_VALUE"""),30184.0)</f>
        <v>30184</v>
      </c>
      <c r="L46" s="329">
        <f>IFERROR(__xludf.DUMMYFUNCTION("""COMPUTED_VALUE"""),2935.0)</f>
        <v>2935</v>
      </c>
      <c r="M46" s="329">
        <f>IFERROR(__xludf.DUMMYFUNCTION("""COMPUTED_VALUE"""),344520.0)</f>
        <v>344520</v>
      </c>
      <c r="N46" s="329">
        <f>IFERROR(__xludf.DUMMYFUNCTION("""COMPUTED_VALUE"""),374704.0)</f>
        <v>374704</v>
      </c>
      <c r="O46" s="329">
        <f>IFERROR(__xludf.DUMMYFUNCTION("""COMPUTED_VALUE"""),24.0)</f>
        <v>24</v>
      </c>
      <c r="P46" s="329">
        <f>IFERROR(__xludf.DUMMYFUNCTION("""COMPUTED_VALUE"""),3112.0)</f>
        <v>3112</v>
      </c>
      <c r="Q46" s="329">
        <f>IFERROR(__xludf.DUMMYFUNCTION("""COMPUTED_VALUE"""),20.0)</f>
        <v>20</v>
      </c>
      <c r="R46" s="329">
        <f>IFERROR(__xludf.DUMMYFUNCTION("""COMPUTED_VALUE"""),2558.0)</f>
        <v>2558</v>
      </c>
      <c r="S46" s="329">
        <f>IFERROR(__xludf.DUMMYFUNCTION("""COMPUTED_VALUE"""),3.0)</f>
        <v>3</v>
      </c>
      <c r="T46" s="329">
        <f>IFERROR(__xludf.DUMMYFUNCTION("""COMPUTED_VALUE"""),390.0)</f>
        <v>390</v>
      </c>
      <c r="U46" s="329">
        <f>IFERROR(__xludf.DUMMYFUNCTION("""COMPUTED_VALUE"""),164.0)</f>
        <v>164</v>
      </c>
      <c r="V46" s="329">
        <f>IFERROR(__xludf.DUMMYFUNCTION("""COMPUTED_VALUE"""),159.0)</f>
        <v>159</v>
      </c>
      <c r="W46" s="329">
        <f>IFERROR(__xludf.DUMMYFUNCTION("""COMPUTED_VALUE"""),14.0)</f>
        <v>14</v>
      </c>
      <c r="X46" s="329">
        <f>IFERROR(__xludf.DUMMYFUNCTION("""COMPUTED_VALUE"""),9.0)</f>
        <v>9</v>
      </c>
      <c r="Y46" s="329">
        <f>IFERROR(__xludf.DUMMYFUNCTION("""COMPUTED_VALUE"""),3.0)</f>
        <v>3</v>
      </c>
      <c r="Z46" s="329">
        <f>IFERROR(__xludf.DUMMYFUNCTION("""COMPUTED_VALUE"""),1187.0)</f>
        <v>1187</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IFERROR(__xludf.DUMMYFUNCTION("""COMPUTED_VALUE"""),44127.0)</f>
        <v>44127</v>
      </c>
      <c r="B47" s="329">
        <f>IFERROR(__xludf.DUMMYFUNCTION("""COMPUTED_VALUE"""),517.0)</f>
        <v>517</v>
      </c>
      <c r="C47" s="329">
        <f>IFERROR(__xludf.DUMMYFUNCTION("""COMPUTED_VALUE"""),537.0)</f>
        <v>537</v>
      </c>
      <c r="D47" s="329">
        <f>IFERROR(__xludf.DUMMYFUNCTION("""COMPUTED_VALUE"""),41330.0)</f>
        <v>41330</v>
      </c>
      <c r="E47" s="329">
        <f>IFERROR(__xludf.DUMMYFUNCTION("""COMPUTED_VALUE"""),16638.0)</f>
        <v>16638</v>
      </c>
      <c r="F47" s="258">
        <f>IFERROR(__xludf.DUMMYFUNCTION("""COMPUTED_VALUE"""),1014995.0)</f>
        <v>1014995</v>
      </c>
      <c r="G47" s="258">
        <f>IFERROR(__xludf.DUMMYFUNCTION("""COMPUTED_VALUE"""),17155.0)</f>
        <v>17155</v>
      </c>
      <c r="H47" s="258">
        <f>IFERROR(__xludf.DUMMYFUNCTION("""COMPUTED_VALUE"""),1056325.0)</f>
        <v>1056325</v>
      </c>
      <c r="I47" s="329">
        <f>IFERROR(__xludf.DUMMYFUNCTION("""COMPUTED_VALUE"""),460.0)</f>
        <v>460</v>
      </c>
      <c r="J47" s="329">
        <f>IFERROR(__xludf.DUMMYFUNCTION("""COMPUTED_VALUE"""),472.0)</f>
        <v>472</v>
      </c>
      <c r="K47" s="329">
        <f>IFERROR(__xludf.DUMMYFUNCTION("""COMPUTED_VALUE"""),30644.0)</f>
        <v>30644</v>
      </c>
      <c r="L47" s="329">
        <f>IFERROR(__xludf.DUMMYFUNCTION("""COMPUTED_VALUE"""),2614.0)</f>
        <v>2614</v>
      </c>
      <c r="M47" s="329">
        <f>IFERROR(__xludf.DUMMYFUNCTION("""COMPUTED_VALUE"""),347134.0)</f>
        <v>347134</v>
      </c>
      <c r="N47" s="329">
        <f>IFERROR(__xludf.DUMMYFUNCTION("""COMPUTED_VALUE"""),377778.0)</f>
        <v>377778</v>
      </c>
      <c r="O47" s="329">
        <f>IFERROR(__xludf.DUMMYFUNCTION("""COMPUTED_VALUE"""),22.0)</f>
        <v>22</v>
      </c>
      <c r="P47" s="329">
        <f>IFERROR(__xludf.DUMMYFUNCTION("""COMPUTED_VALUE"""),3134.0)</f>
        <v>3134</v>
      </c>
      <c r="Q47" s="329">
        <f>IFERROR(__xludf.DUMMYFUNCTION("""COMPUTED_VALUE"""),22.0)</f>
        <v>22</v>
      </c>
      <c r="R47" s="329">
        <f>IFERROR(__xludf.DUMMYFUNCTION("""COMPUTED_VALUE"""),2580.0)</f>
        <v>2580</v>
      </c>
      <c r="S47" s="329">
        <f>IFERROR(__xludf.DUMMYFUNCTION("""COMPUTED_VALUE"""),1.0)</f>
        <v>1</v>
      </c>
      <c r="T47" s="329">
        <f>IFERROR(__xludf.DUMMYFUNCTION("""COMPUTED_VALUE"""),391.0)</f>
        <v>391</v>
      </c>
      <c r="U47" s="329">
        <f>IFERROR(__xludf.DUMMYFUNCTION("""COMPUTED_VALUE"""),163.0)</f>
        <v>163</v>
      </c>
      <c r="V47" s="329">
        <f>IFERROR(__xludf.DUMMYFUNCTION("""COMPUTED_VALUE"""),163.0)</f>
        <v>163</v>
      </c>
      <c r="W47" s="329">
        <f>IFERROR(__xludf.DUMMYFUNCTION("""COMPUTED_VALUE"""),15.0)</f>
        <v>15</v>
      </c>
      <c r="X47" s="329">
        <f>IFERROR(__xludf.DUMMYFUNCTION("""COMPUTED_VALUE"""),9.0)</f>
        <v>9</v>
      </c>
      <c r="Y47" s="329">
        <f>IFERROR(__xludf.DUMMYFUNCTION("""COMPUTED_VALUE"""),3.0)</f>
        <v>3</v>
      </c>
      <c r="Z47" s="329">
        <f>IFERROR(__xludf.DUMMYFUNCTION("""COMPUTED_VALUE"""),1190.0)</f>
        <v>1190</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IFERROR(__xludf.DUMMYFUNCTION("""COMPUTED_VALUE"""),44128.0)</f>
        <v>44128</v>
      </c>
      <c r="B48" s="329">
        <f>IFERROR(__xludf.DUMMYFUNCTION("""COMPUTED_VALUE"""),361.0)</f>
        <v>361</v>
      </c>
      <c r="C48" s="329">
        <f>IFERROR(__xludf.DUMMYFUNCTION("""COMPUTED_VALUE"""),473.0)</f>
        <v>473</v>
      </c>
      <c r="D48" s="329">
        <f>IFERROR(__xludf.DUMMYFUNCTION("""COMPUTED_VALUE"""),41691.0)</f>
        <v>41691</v>
      </c>
      <c r="E48" s="329">
        <f>IFERROR(__xludf.DUMMYFUNCTION("""COMPUTED_VALUE"""),10254.0)</f>
        <v>10254</v>
      </c>
      <c r="F48" s="258">
        <f>IFERROR(__xludf.DUMMYFUNCTION("""COMPUTED_VALUE"""),1025249.0)</f>
        <v>1025249</v>
      </c>
      <c r="G48" s="258">
        <f>IFERROR(__xludf.DUMMYFUNCTION("""COMPUTED_VALUE"""),10615.0)</f>
        <v>10615</v>
      </c>
      <c r="H48" s="258">
        <f>IFERROR(__xludf.DUMMYFUNCTION("""COMPUTED_VALUE"""),1066940.0)</f>
        <v>1066940</v>
      </c>
      <c r="I48" s="329">
        <f>IFERROR(__xludf.DUMMYFUNCTION("""COMPUTED_VALUE"""),336.0)</f>
        <v>336</v>
      </c>
      <c r="J48" s="329">
        <f>IFERROR(__xludf.DUMMYFUNCTION("""COMPUTED_VALUE"""),427.0)</f>
        <v>427</v>
      </c>
      <c r="K48" s="329">
        <f>IFERROR(__xludf.DUMMYFUNCTION("""COMPUTED_VALUE"""),30980.0)</f>
        <v>30980</v>
      </c>
      <c r="L48" s="329">
        <f>IFERROR(__xludf.DUMMYFUNCTION("""COMPUTED_VALUE"""),2076.0)</f>
        <v>2076</v>
      </c>
      <c r="M48" s="329">
        <f>IFERROR(__xludf.DUMMYFUNCTION("""COMPUTED_VALUE"""),349210.0)</f>
        <v>349210</v>
      </c>
      <c r="N48" s="329">
        <f>IFERROR(__xludf.DUMMYFUNCTION("""COMPUTED_VALUE"""),380190.0)</f>
        <v>380190</v>
      </c>
      <c r="O48" s="329">
        <f>IFERROR(__xludf.DUMMYFUNCTION("""COMPUTED_VALUE"""),17.0)</f>
        <v>17</v>
      </c>
      <c r="P48" s="329">
        <f>IFERROR(__xludf.DUMMYFUNCTION("""COMPUTED_VALUE"""),3151.0)</f>
        <v>3151</v>
      </c>
      <c r="Q48" s="329">
        <f>IFERROR(__xludf.DUMMYFUNCTION("""COMPUTED_VALUE"""),11.0)</f>
        <v>11</v>
      </c>
      <c r="R48" s="329">
        <f>IFERROR(__xludf.DUMMYFUNCTION("""COMPUTED_VALUE"""),2591.0)</f>
        <v>2591</v>
      </c>
      <c r="S48" s="329">
        <f>IFERROR(__xludf.DUMMYFUNCTION("""COMPUTED_VALUE"""),0.0)</f>
        <v>0</v>
      </c>
      <c r="T48" s="329">
        <f>IFERROR(__xludf.DUMMYFUNCTION("""COMPUTED_VALUE"""),391.0)</f>
        <v>391</v>
      </c>
      <c r="U48" s="329">
        <f>IFERROR(__xludf.DUMMYFUNCTION("""COMPUTED_VALUE"""),169.0)</f>
        <v>169</v>
      </c>
      <c r="V48" s="329">
        <f>IFERROR(__xludf.DUMMYFUNCTION("""COMPUTED_VALUE"""),165.0)</f>
        <v>165</v>
      </c>
      <c r="W48" s="329">
        <f>IFERROR(__xludf.DUMMYFUNCTION("""COMPUTED_VALUE"""),14.0)</f>
        <v>14</v>
      </c>
      <c r="X48" s="329">
        <f>IFERROR(__xludf.DUMMYFUNCTION("""COMPUTED_VALUE"""),8.0)</f>
        <v>8</v>
      </c>
      <c r="Y48" s="329">
        <f>IFERROR(__xludf.DUMMYFUNCTION("""COMPUTED_VALUE"""),1.0)</f>
        <v>1</v>
      </c>
      <c r="Z48" s="329">
        <f>IFERROR(__xludf.DUMMYFUNCTION("""COMPUTED_VALUE"""),1191.0)</f>
        <v>1191</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IFERROR(__xludf.DUMMYFUNCTION("""COMPUTED_VALUE"""),44129.0)</f>
        <v>44129</v>
      </c>
      <c r="B49" s="329">
        <f>IFERROR(__xludf.DUMMYFUNCTION("""COMPUTED_VALUE"""),236.0)</f>
        <v>236</v>
      </c>
      <c r="C49" s="329">
        <f>IFERROR(__xludf.DUMMYFUNCTION("""COMPUTED_VALUE"""),371.0)</f>
        <v>371</v>
      </c>
      <c r="D49" s="329">
        <f>IFERROR(__xludf.DUMMYFUNCTION("""COMPUTED_VALUE"""),41927.0)</f>
        <v>41927</v>
      </c>
      <c r="E49" s="329">
        <f>IFERROR(__xludf.DUMMYFUNCTION("""COMPUTED_VALUE"""),4765.0)</f>
        <v>4765</v>
      </c>
      <c r="F49" s="258">
        <f>IFERROR(__xludf.DUMMYFUNCTION("""COMPUTED_VALUE"""),1030014.0)</f>
        <v>1030014</v>
      </c>
      <c r="G49" s="258">
        <f>IFERROR(__xludf.DUMMYFUNCTION("""COMPUTED_VALUE"""),5001.0)</f>
        <v>5001</v>
      </c>
      <c r="H49" s="258">
        <f>IFERROR(__xludf.DUMMYFUNCTION("""COMPUTED_VALUE"""),1071941.0)</f>
        <v>1071941</v>
      </c>
      <c r="I49" s="329">
        <f>IFERROR(__xludf.DUMMYFUNCTION("""COMPUTED_VALUE"""),211.0)</f>
        <v>211</v>
      </c>
      <c r="J49" s="329">
        <f>IFERROR(__xludf.DUMMYFUNCTION("""COMPUTED_VALUE"""),336.0)</f>
        <v>336</v>
      </c>
      <c r="K49" s="329">
        <f>IFERROR(__xludf.DUMMYFUNCTION("""COMPUTED_VALUE"""),31191.0)</f>
        <v>31191</v>
      </c>
      <c r="L49" s="329">
        <f>IFERROR(__xludf.DUMMYFUNCTION("""COMPUTED_VALUE"""),1339.0)</f>
        <v>1339</v>
      </c>
      <c r="M49" s="329">
        <f>IFERROR(__xludf.DUMMYFUNCTION("""COMPUTED_VALUE"""),350549.0)</f>
        <v>350549</v>
      </c>
      <c r="N49" s="329">
        <f>IFERROR(__xludf.DUMMYFUNCTION("""COMPUTED_VALUE"""),381740.0)</f>
        <v>381740</v>
      </c>
      <c r="O49" s="329">
        <f>IFERROR(__xludf.DUMMYFUNCTION("""COMPUTED_VALUE"""),16.0)</f>
        <v>16</v>
      </c>
      <c r="P49" s="329">
        <f>IFERROR(__xludf.DUMMYFUNCTION("""COMPUTED_VALUE"""),3167.0)</f>
        <v>3167</v>
      </c>
      <c r="Q49" s="329">
        <f>IFERROR(__xludf.DUMMYFUNCTION("""COMPUTED_VALUE"""),15.0)</f>
        <v>15</v>
      </c>
      <c r="R49" s="329">
        <f>IFERROR(__xludf.DUMMYFUNCTION("""COMPUTED_VALUE"""),2606.0)</f>
        <v>2606</v>
      </c>
      <c r="S49" s="329">
        <f>IFERROR(__xludf.DUMMYFUNCTION("""COMPUTED_VALUE"""),1.0)</f>
        <v>1</v>
      </c>
      <c r="T49" s="329">
        <f>IFERROR(__xludf.DUMMYFUNCTION("""COMPUTED_VALUE"""),392.0)</f>
        <v>392</v>
      </c>
      <c r="U49" s="329">
        <f>IFERROR(__xludf.DUMMYFUNCTION("""COMPUTED_VALUE"""),169.0)</f>
        <v>169</v>
      </c>
      <c r="V49" s="329">
        <f>IFERROR(__xludf.DUMMYFUNCTION("""COMPUTED_VALUE"""),167.0)</f>
        <v>167</v>
      </c>
      <c r="W49" s="329">
        <f>IFERROR(__xludf.DUMMYFUNCTION("""COMPUTED_VALUE"""),15.0)</f>
        <v>15</v>
      </c>
      <c r="X49" s="329">
        <f>IFERROR(__xludf.DUMMYFUNCTION("""COMPUTED_VALUE"""),8.0)</f>
        <v>8</v>
      </c>
      <c r="Y49" s="329">
        <f>IFERROR(__xludf.DUMMYFUNCTION("""COMPUTED_VALUE"""),2.0)</f>
        <v>2</v>
      </c>
      <c r="Z49" s="329">
        <f>IFERROR(__xludf.DUMMYFUNCTION("""COMPUTED_VALUE"""),1193.0)</f>
        <v>1193</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IFERROR(__xludf.DUMMYFUNCTION("""COMPUTED_VALUE"""),44130.0)</f>
        <v>44130</v>
      </c>
      <c r="B50" s="329">
        <f>IFERROR(__xludf.DUMMYFUNCTION("""COMPUTED_VALUE"""),456.0)</f>
        <v>456</v>
      </c>
      <c r="C50" s="329">
        <f>IFERROR(__xludf.DUMMYFUNCTION("""COMPUTED_VALUE"""),351.0)</f>
        <v>351</v>
      </c>
      <c r="D50" s="329">
        <f>IFERROR(__xludf.DUMMYFUNCTION("""COMPUTED_VALUE"""),42383.0)</f>
        <v>42383</v>
      </c>
      <c r="E50" s="329">
        <f>IFERROR(__xludf.DUMMYFUNCTION("""COMPUTED_VALUE"""),9173.0)</f>
        <v>9173</v>
      </c>
      <c r="F50" s="258">
        <f>IFERROR(__xludf.DUMMYFUNCTION("""COMPUTED_VALUE"""),1039187.0)</f>
        <v>1039187</v>
      </c>
      <c r="G50" s="258">
        <f>IFERROR(__xludf.DUMMYFUNCTION("""COMPUTED_VALUE"""),9629.0)</f>
        <v>9629</v>
      </c>
      <c r="H50" s="258">
        <f>IFERROR(__xludf.DUMMYFUNCTION("""COMPUTED_VALUE"""),1081570.0)</f>
        <v>1081570</v>
      </c>
      <c r="I50" s="329">
        <f>IFERROR(__xludf.DUMMYFUNCTION("""COMPUTED_VALUE"""),402.0)</f>
        <v>402</v>
      </c>
      <c r="J50" s="329">
        <f>IFERROR(__xludf.DUMMYFUNCTION("""COMPUTED_VALUE"""),316.0)</f>
        <v>316</v>
      </c>
      <c r="K50" s="329">
        <f>IFERROR(__xludf.DUMMYFUNCTION("""COMPUTED_VALUE"""),31593.0)</f>
        <v>31593</v>
      </c>
      <c r="L50" s="329">
        <f>IFERROR(__xludf.DUMMYFUNCTION("""COMPUTED_VALUE"""),2747.0)</f>
        <v>2747</v>
      </c>
      <c r="M50" s="329">
        <f>IFERROR(__xludf.DUMMYFUNCTION("""COMPUTED_VALUE"""),353296.0)</f>
        <v>353296</v>
      </c>
      <c r="N50" s="329">
        <f>IFERROR(__xludf.DUMMYFUNCTION("""COMPUTED_VALUE"""),384889.0)</f>
        <v>384889</v>
      </c>
      <c r="O50" s="329">
        <f>IFERROR(__xludf.DUMMYFUNCTION("""COMPUTED_VALUE"""),28.0)</f>
        <v>28</v>
      </c>
      <c r="P50" s="329">
        <f>IFERROR(__xludf.DUMMYFUNCTION("""COMPUTED_VALUE"""),3195.0)</f>
        <v>3195</v>
      </c>
      <c r="Q50" s="329">
        <f>IFERROR(__xludf.DUMMYFUNCTION("""COMPUTED_VALUE"""),15.0)</f>
        <v>15</v>
      </c>
      <c r="R50" s="329">
        <f>IFERROR(__xludf.DUMMYFUNCTION("""COMPUTED_VALUE"""),2621.0)</f>
        <v>2621</v>
      </c>
      <c r="S50" s="329">
        <f>IFERROR(__xludf.DUMMYFUNCTION("""COMPUTED_VALUE"""),2.0)</f>
        <v>2</v>
      </c>
      <c r="T50" s="329">
        <f>IFERROR(__xludf.DUMMYFUNCTION("""COMPUTED_VALUE"""),394.0)</f>
        <v>394</v>
      </c>
      <c r="U50" s="329">
        <f>IFERROR(__xludf.DUMMYFUNCTION("""COMPUTED_VALUE"""),180.0)</f>
        <v>180</v>
      </c>
      <c r="V50" s="329">
        <f>IFERROR(__xludf.DUMMYFUNCTION("""COMPUTED_VALUE"""),173.0)</f>
        <v>173</v>
      </c>
      <c r="W50" s="329">
        <f>IFERROR(__xludf.DUMMYFUNCTION("""COMPUTED_VALUE"""),18.0)</f>
        <v>18</v>
      </c>
      <c r="X50" s="329">
        <f>IFERROR(__xludf.DUMMYFUNCTION("""COMPUTED_VALUE"""),8.0)</f>
        <v>8</v>
      </c>
      <c r="Y50" s="329">
        <f>IFERROR(__xludf.DUMMYFUNCTION("""COMPUTED_VALUE"""),3.0)</f>
        <v>3</v>
      </c>
      <c r="Z50" s="329">
        <f>IFERROR(__xludf.DUMMYFUNCTION("""COMPUTED_VALUE"""),1196.0)</f>
        <v>1196</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IFERROR(__xludf.DUMMYFUNCTION("""COMPUTED_VALUE"""),44131.0)</f>
        <v>44131</v>
      </c>
      <c r="B51" s="329">
        <f>IFERROR(__xludf.DUMMYFUNCTION("""COMPUTED_VALUE"""),522.0)</f>
        <v>522</v>
      </c>
      <c r="C51" s="329">
        <f>IFERROR(__xludf.DUMMYFUNCTION("""COMPUTED_VALUE"""),405.0)</f>
        <v>405</v>
      </c>
      <c r="D51" s="329">
        <f>IFERROR(__xludf.DUMMYFUNCTION("""COMPUTED_VALUE"""),42905.0)</f>
        <v>42905</v>
      </c>
      <c r="E51" s="329">
        <f>IFERROR(__xludf.DUMMYFUNCTION("""COMPUTED_VALUE"""),13996.0)</f>
        <v>13996</v>
      </c>
      <c r="F51" s="258">
        <f>IFERROR(__xludf.DUMMYFUNCTION("""COMPUTED_VALUE"""),1053183.0)</f>
        <v>1053183</v>
      </c>
      <c r="G51" s="258">
        <f>IFERROR(__xludf.DUMMYFUNCTION("""COMPUTED_VALUE"""),14518.0)</f>
        <v>14518</v>
      </c>
      <c r="H51" s="258">
        <f>IFERROR(__xludf.DUMMYFUNCTION("""COMPUTED_VALUE"""),1096088.0)</f>
        <v>1096088</v>
      </c>
      <c r="I51" s="329">
        <f>IFERROR(__xludf.DUMMYFUNCTION("""COMPUTED_VALUE"""),453.0)</f>
        <v>453</v>
      </c>
      <c r="J51" s="329">
        <f>IFERROR(__xludf.DUMMYFUNCTION("""COMPUTED_VALUE"""),355.0)</f>
        <v>355</v>
      </c>
      <c r="K51" s="329">
        <f>IFERROR(__xludf.DUMMYFUNCTION("""COMPUTED_VALUE"""),32046.0)</f>
        <v>32046</v>
      </c>
      <c r="L51" s="329">
        <f>IFERROR(__xludf.DUMMYFUNCTION("""COMPUTED_VALUE"""),2218.0)</f>
        <v>2218</v>
      </c>
      <c r="M51" s="329">
        <f>IFERROR(__xludf.DUMMYFUNCTION("""COMPUTED_VALUE"""),355514.0)</f>
        <v>355514</v>
      </c>
      <c r="N51" s="329">
        <f>IFERROR(__xludf.DUMMYFUNCTION("""COMPUTED_VALUE"""),387560.0)</f>
        <v>387560</v>
      </c>
      <c r="O51" s="329">
        <f>IFERROR(__xludf.DUMMYFUNCTION("""COMPUTED_VALUE"""),28.0)</f>
        <v>28</v>
      </c>
      <c r="P51" s="329">
        <f>IFERROR(__xludf.DUMMYFUNCTION("""COMPUTED_VALUE"""),3223.0)</f>
        <v>3223</v>
      </c>
      <c r="Q51" s="329">
        <f>IFERROR(__xludf.DUMMYFUNCTION("""COMPUTED_VALUE"""),14.0)</f>
        <v>14</v>
      </c>
      <c r="R51" s="329">
        <f>IFERROR(__xludf.DUMMYFUNCTION("""COMPUTED_VALUE"""),2635.0)</f>
        <v>2635</v>
      </c>
      <c r="S51" s="329">
        <f>IFERROR(__xludf.DUMMYFUNCTION("""COMPUTED_VALUE"""),2.0)</f>
        <v>2</v>
      </c>
      <c r="T51" s="329">
        <f>IFERROR(__xludf.DUMMYFUNCTION("""COMPUTED_VALUE"""),396.0)</f>
        <v>396</v>
      </c>
      <c r="U51" s="329">
        <f>IFERROR(__xludf.DUMMYFUNCTION("""COMPUTED_VALUE"""),192.0)</f>
        <v>192</v>
      </c>
      <c r="V51" s="329">
        <f>IFERROR(__xludf.DUMMYFUNCTION("""COMPUTED_VALUE"""),180.0)</f>
        <v>180</v>
      </c>
      <c r="W51" s="329">
        <f>IFERROR(__xludf.DUMMYFUNCTION("""COMPUTED_VALUE"""),18.0)</f>
        <v>18</v>
      </c>
      <c r="X51" s="329">
        <f>IFERROR(__xludf.DUMMYFUNCTION("""COMPUTED_VALUE"""),9.0)</f>
        <v>9</v>
      </c>
      <c r="Y51" s="329">
        <f>IFERROR(__xludf.DUMMYFUNCTION("""COMPUTED_VALUE"""),5.0)</f>
        <v>5</v>
      </c>
      <c r="Z51" s="329">
        <f>IFERROR(__xludf.DUMMYFUNCTION("""COMPUTED_VALUE"""),1201.0)</f>
        <v>1201</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IFERROR(__xludf.DUMMYFUNCTION("""COMPUTED_VALUE"""),44132.0)</f>
        <v>44132</v>
      </c>
      <c r="B52" s="329">
        <f>IFERROR(__xludf.DUMMYFUNCTION("""COMPUTED_VALUE"""),469.0)</f>
        <v>469</v>
      </c>
      <c r="C52" s="329">
        <f>IFERROR(__xludf.DUMMYFUNCTION("""COMPUTED_VALUE"""),482.0)</f>
        <v>482</v>
      </c>
      <c r="D52" s="329">
        <f>IFERROR(__xludf.DUMMYFUNCTION("""COMPUTED_VALUE"""),43374.0)</f>
        <v>43374</v>
      </c>
      <c r="E52" s="329">
        <f>IFERROR(__xludf.DUMMYFUNCTION("""COMPUTED_VALUE"""),15228.0)</f>
        <v>15228</v>
      </c>
      <c r="F52" s="258">
        <f>IFERROR(__xludf.DUMMYFUNCTION("""COMPUTED_VALUE"""),1068411.0)</f>
        <v>1068411</v>
      </c>
      <c r="G52" s="258">
        <f>IFERROR(__xludf.DUMMYFUNCTION("""COMPUTED_VALUE"""),15697.0)</f>
        <v>15697</v>
      </c>
      <c r="H52" s="258">
        <f>IFERROR(__xludf.DUMMYFUNCTION("""COMPUTED_VALUE"""),1111785.0)</f>
        <v>1111785</v>
      </c>
      <c r="I52" s="329">
        <f>IFERROR(__xludf.DUMMYFUNCTION("""COMPUTED_VALUE"""),410.0)</f>
        <v>410</v>
      </c>
      <c r="J52" s="329">
        <f>IFERROR(__xludf.DUMMYFUNCTION("""COMPUTED_VALUE"""),422.0)</f>
        <v>422</v>
      </c>
      <c r="K52" s="329">
        <f>IFERROR(__xludf.DUMMYFUNCTION("""COMPUTED_VALUE"""),32456.0)</f>
        <v>32456</v>
      </c>
      <c r="L52" s="329">
        <f>IFERROR(__xludf.DUMMYFUNCTION("""COMPUTED_VALUE"""),2488.0)</f>
        <v>2488</v>
      </c>
      <c r="M52" s="329">
        <f>IFERROR(__xludf.DUMMYFUNCTION("""COMPUTED_VALUE"""),358002.0)</f>
        <v>358002</v>
      </c>
      <c r="N52" s="329">
        <f>IFERROR(__xludf.DUMMYFUNCTION("""COMPUTED_VALUE"""),390458.0)</f>
        <v>390458</v>
      </c>
      <c r="O52" s="329">
        <f>IFERROR(__xludf.DUMMYFUNCTION("""COMPUTED_VALUE"""),24.0)</f>
        <v>24</v>
      </c>
      <c r="P52" s="329">
        <f>IFERROR(__xludf.DUMMYFUNCTION("""COMPUTED_VALUE"""),3247.0)</f>
        <v>3247</v>
      </c>
      <c r="Q52" s="329">
        <f>IFERROR(__xludf.DUMMYFUNCTION("""COMPUTED_VALUE"""),25.0)</f>
        <v>25</v>
      </c>
      <c r="R52" s="329">
        <f>IFERROR(__xludf.DUMMYFUNCTION("""COMPUTED_VALUE"""),2660.0)</f>
        <v>2660</v>
      </c>
      <c r="S52" s="329">
        <f>IFERROR(__xludf.DUMMYFUNCTION("""COMPUTED_VALUE"""),1.0)</f>
        <v>1</v>
      </c>
      <c r="T52" s="329">
        <f>IFERROR(__xludf.DUMMYFUNCTION("""COMPUTED_VALUE"""),397.0)</f>
        <v>397</v>
      </c>
      <c r="U52" s="329">
        <f>IFERROR(__xludf.DUMMYFUNCTION("""COMPUTED_VALUE"""),190.0)</f>
        <v>190</v>
      </c>
      <c r="V52" s="329">
        <f>IFERROR(__xludf.DUMMYFUNCTION("""COMPUTED_VALUE"""),187.0)</f>
        <v>187</v>
      </c>
      <c r="W52" s="329">
        <f>IFERROR(__xludf.DUMMYFUNCTION("""COMPUTED_VALUE"""),17.0)</f>
        <v>17</v>
      </c>
      <c r="X52" s="329">
        <f>IFERROR(__xludf.DUMMYFUNCTION("""COMPUTED_VALUE"""),9.0)</f>
        <v>9</v>
      </c>
      <c r="Y52" s="329">
        <f>IFERROR(__xludf.DUMMYFUNCTION("""COMPUTED_VALUE"""),3.0)</f>
        <v>3</v>
      </c>
      <c r="Z52" s="329">
        <f>IFERROR(__xludf.DUMMYFUNCTION("""COMPUTED_VALUE"""),1204.0)</f>
        <v>1204</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IFERROR(__xludf.DUMMYFUNCTION("""COMPUTED_VALUE"""),44133.0)</f>
        <v>44133</v>
      </c>
      <c r="B53" s="329">
        <f>IFERROR(__xludf.DUMMYFUNCTION("""COMPUTED_VALUE"""),612.0)</f>
        <v>612</v>
      </c>
      <c r="C53" s="329">
        <f>IFERROR(__xludf.DUMMYFUNCTION("""COMPUTED_VALUE"""),534.0)</f>
        <v>534</v>
      </c>
      <c r="D53" s="329">
        <f>IFERROR(__xludf.DUMMYFUNCTION("""COMPUTED_VALUE"""),43986.0)</f>
        <v>43986</v>
      </c>
      <c r="E53" s="329">
        <f>IFERROR(__xludf.DUMMYFUNCTION("""COMPUTED_VALUE"""),16262.0)</f>
        <v>16262</v>
      </c>
      <c r="F53" s="258">
        <f>IFERROR(__xludf.DUMMYFUNCTION("""COMPUTED_VALUE"""),1084673.0)</f>
        <v>1084673</v>
      </c>
      <c r="G53" s="258">
        <f>IFERROR(__xludf.DUMMYFUNCTION("""COMPUTED_VALUE"""),16874.0)</f>
        <v>16874</v>
      </c>
      <c r="H53" s="258">
        <f>IFERROR(__xludf.DUMMYFUNCTION("""COMPUTED_VALUE"""),1128659.0)</f>
        <v>1128659</v>
      </c>
      <c r="I53" s="329">
        <f>IFERROR(__xludf.DUMMYFUNCTION("""COMPUTED_VALUE"""),528.0)</f>
        <v>528</v>
      </c>
      <c r="J53" s="329">
        <f>IFERROR(__xludf.DUMMYFUNCTION("""COMPUTED_VALUE"""),464.0)</f>
        <v>464</v>
      </c>
      <c r="K53" s="329">
        <f>IFERROR(__xludf.DUMMYFUNCTION("""COMPUTED_VALUE"""),32984.0)</f>
        <v>32984</v>
      </c>
      <c r="L53" s="329">
        <f>IFERROR(__xludf.DUMMYFUNCTION("""COMPUTED_VALUE"""),2915.0)</f>
        <v>2915</v>
      </c>
      <c r="M53" s="329">
        <f>IFERROR(__xludf.DUMMYFUNCTION("""COMPUTED_VALUE"""),360917.0)</f>
        <v>360917</v>
      </c>
      <c r="N53" s="329">
        <f>IFERROR(__xludf.DUMMYFUNCTION("""COMPUTED_VALUE"""),393901.0)</f>
        <v>393901</v>
      </c>
      <c r="O53" s="329">
        <f>IFERROR(__xludf.DUMMYFUNCTION("""COMPUTED_VALUE"""),20.0)</f>
        <v>20</v>
      </c>
      <c r="P53" s="329">
        <f>IFERROR(__xludf.DUMMYFUNCTION("""COMPUTED_VALUE"""),3267.0)</f>
        <v>3267</v>
      </c>
      <c r="Q53" s="329">
        <f>IFERROR(__xludf.DUMMYFUNCTION("""COMPUTED_VALUE"""),22.0)</f>
        <v>22</v>
      </c>
      <c r="R53" s="329">
        <f>IFERROR(__xludf.DUMMYFUNCTION("""COMPUTED_VALUE"""),2682.0)</f>
        <v>2682</v>
      </c>
      <c r="S53" s="329">
        <f>IFERROR(__xludf.DUMMYFUNCTION("""COMPUTED_VALUE"""),3.0)</f>
        <v>3</v>
      </c>
      <c r="T53" s="329">
        <f>IFERROR(__xludf.DUMMYFUNCTION("""COMPUTED_VALUE"""),400.0)</f>
        <v>400</v>
      </c>
      <c r="U53" s="329">
        <f>IFERROR(__xludf.DUMMYFUNCTION("""COMPUTED_VALUE"""),185.0)</f>
        <v>185</v>
      </c>
      <c r="V53" s="329">
        <f>IFERROR(__xludf.DUMMYFUNCTION("""COMPUTED_VALUE"""),189.0)</f>
        <v>189</v>
      </c>
      <c r="W53" s="329">
        <f>IFERROR(__xludf.DUMMYFUNCTION("""COMPUTED_VALUE"""),19.0)</f>
        <v>19</v>
      </c>
      <c r="X53" s="329">
        <f>IFERROR(__xludf.DUMMYFUNCTION("""COMPUTED_VALUE"""),11.0)</f>
        <v>11</v>
      </c>
      <c r="Y53" s="329">
        <f>IFERROR(__xludf.DUMMYFUNCTION("""COMPUTED_VALUE"""),4.0)</f>
        <v>4</v>
      </c>
      <c r="Z53" s="329">
        <f>IFERROR(__xludf.DUMMYFUNCTION("""COMPUTED_VALUE"""),1208.0)</f>
        <v>1208</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IFERROR(__xludf.DUMMYFUNCTION("""COMPUTED_VALUE"""),44134.0)</f>
        <v>44134</v>
      </c>
      <c r="B54" s="329">
        <f>IFERROR(__xludf.DUMMYFUNCTION("""COMPUTED_VALUE"""),565.0)</f>
        <v>565</v>
      </c>
      <c r="C54" s="329">
        <f>IFERROR(__xludf.DUMMYFUNCTION("""COMPUTED_VALUE"""),549.0)</f>
        <v>549</v>
      </c>
      <c r="D54" s="329">
        <f>IFERROR(__xludf.DUMMYFUNCTION("""COMPUTED_VALUE"""),44551.0)</f>
        <v>44551</v>
      </c>
      <c r="E54" s="329">
        <f>IFERROR(__xludf.DUMMYFUNCTION("""COMPUTED_VALUE"""),14866.0)</f>
        <v>14866</v>
      </c>
      <c r="F54" s="258">
        <f>IFERROR(__xludf.DUMMYFUNCTION("""COMPUTED_VALUE"""),1099539.0)</f>
        <v>1099539</v>
      </c>
      <c r="G54" s="258">
        <f>IFERROR(__xludf.DUMMYFUNCTION("""COMPUTED_VALUE"""),15431.0)</f>
        <v>15431</v>
      </c>
      <c r="H54" s="258">
        <f>IFERROR(__xludf.DUMMYFUNCTION("""COMPUTED_VALUE"""),1144090.0)</f>
        <v>1144090</v>
      </c>
      <c r="I54" s="329">
        <f>IFERROR(__xludf.DUMMYFUNCTION("""COMPUTED_VALUE"""),471.0)</f>
        <v>471</v>
      </c>
      <c r="J54" s="329">
        <f>IFERROR(__xludf.DUMMYFUNCTION("""COMPUTED_VALUE"""),470.0)</f>
        <v>470</v>
      </c>
      <c r="K54" s="329">
        <f>IFERROR(__xludf.DUMMYFUNCTION("""COMPUTED_VALUE"""),33455.0)</f>
        <v>33455</v>
      </c>
      <c r="L54" s="329">
        <f>IFERROR(__xludf.DUMMYFUNCTION("""COMPUTED_VALUE"""),2732.0)</f>
        <v>2732</v>
      </c>
      <c r="M54" s="329">
        <f>IFERROR(__xludf.DUMMYFUNCTION("""COMPUTED_VALUE"""),363649.0)</f>
        <v>363649</v>
      </c>
      <c r="N54" s="329">
        <f>IFERROR(__xludf.DUMMYFUNCTION("""COMPUTED_VALUE"""),397104.0)</f>
        <v>397104</v>
      </c>
      <c r="O54" s="329">
        <f>IFERROR(__xludf.DUMMYFUNCTION("""COMPUTED_VALUE"""),22.0)</f>
        <v>22</v>
      </c>
      <c r="P54" s="329">
        <f>IFERROR(__xludf.DUMMYFUNCTION("""COMPUTED_VALUE"""),3289.0)</f>
        <v>3289</v>
      </c>
      <c r="Q54" s="329">
        <f>IFERROR(__xludf.DUMMYFUNCTION("""COMPUTED_VALUE"""),21.0)</f>
        <v>21</v>
      </c>
      <c r="R54" s="329">
        <f>IFERROR(__xludf.DUMMYFUNCTION("""COMPUTED_VALUE"""),2703.0)</f>
        <v>2703</v>
      </c>
      <c r="S54" s="329">
        <f>IFERROR(__xludf.DUMMYFUNCTION("""COMPUTED_VALUE"""),5.0)</f>
        <v>5</v>
      </c>
      <c r="T54" s="329">
        <f>IFERROR(__xludf.DUMMYFUNCTION("""COMPUTED_VALUE"""),405.0)</f>
        <v>405</v>
      </c>
      <c r="U54" s="329">
        <f>IFERROR(__xludf.DUMMYFUNCTION("""COMPUTED_VALUE"""),181.0)</f>
        <v>181</v>
      </c>
      <c r="V54" s="329">
        <f>IFERROR(__xludf.DUMMYFUNCTION("""COMPUTED_VALUE"""),185.0)</f>
        <v>185</v>
      </c>
      <c r="W54" s="329">
        <f>IFERROR(__xludf.DUMMYFUNCTION("""COMPUTED_VALUE"""),19.0)</f>
        <v>19</v>
      </c>
      <c r="X54" s="329">
        <f>IFERROR(__xludf.DUMMYFUNCTION("""COMPUTED_VALUE"""),9.0)</f>
        <v>9</v>
      </c>
      <c r="Y54" s="329">
        <f>IFERROR(__xludf.DUMMYFUNCTION("""COMPUTED_VALUE"""),5.0)</f>
        <v>5</v>
      </c>
      <c r="Z54" s="329">
        <f>IFERROR(__xludf.DUMMYFUNCTION("""COMPUTED_VALUE"""),1213.0)</f>
        <v>1213</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IFERROR(__xludf.DUMMYFUNCTION("""COMPUTED_VALUE"""),44135.0)</f>
        <v>44135</v>
      </c>
      <c r="B55" s="329">
        <f>IFERROR(__xludf.DUMMYFUNCTION("""COMPUTED_VALUE"""),602.0)</f>
        <v>602</v>
      </c>
      <c r="C55" s="329">
        <f>IFERROR(__xludf.DUMMYFUNCTION("""COMPUTED_VALUE"""),593.0)</f>
        <v>593</v>
      </c>
      <c r="D55" s="329">
        <f>IFERROR(__xludf.DUMMYFUNCTION("""COMPUTED_VALUE"""),45153.0)</f>
        <v>45153</v>
      </c>
      <c r="E55" s="329">
        <f>IFERROR(__xludf.DUMMYFUNCTION("""COMPUTED_VALUE"""),11821.0)</f>
        <v>11821</v>
      </c>
      <c r="F55" s="258">
        <f>IFERROR(__xludf.DUMMYFUNCTION("""COMPUTED_VALUE"""),1111360.0)</f>
        <v>1111360</v>
      </c>
      <c r="G55" s="258">
        <f>IFERROR(__xludf.DUMMYFUNCTION("""COMPUTED_VALUE"""),12423.0)</f>
        <v>12423</v>
      </c>
      <c r="H55" s="258">
        <f>IFERROR(__xludf.DUMMYFUNCTION("""COMPUTED_VALUE"""),1156513.0)</f>
        <v>1156513</v>
      </c>
      <c r="I55" s="329">
        <f>IFERROR(__xludf.DUMMYFUNCTION("""COMPUTED_VALUE"""),486.0)</f>
        <v>486</v>
      </c>
      <c r="J55" s="329">
        <f>IFERROR(__xludf.DUMMYFUNCTION("""COMPUTED_VALUE"""),495.0)</f>
        <v>495</v>
      </c>
      <c r="K55" s="329">
        <f>IFERROR(__xludf.DUMMYFUNCTION("""COMPUTED_VALUE"""),33941.0)</f>
        <v>33941</v>
      </c>
      <c r="L55" s="329">
        <f>IFERROR(__xludf.DUMMYFUNCTION("""COMPUTED_VALUE"""),2249.0)</f>
        <v>2249</v>
      </c>
      <c r="M55" s="329">
        <f>IFERROR(__xludf.DUMMYFUNCTION("""COMPUTED_VALUE"""),365898.0)</f>
        <v>365898</v>
      </c>
      <c r="N55" s="329">
        <f>IFERROR(__xludf.DUMMYFUNCTION("""COMPUTED_VALUE"""),399839.0)</f>
        <v>399839</v>
      </c>
      <c r="O55" s="329">
        <f>IFERROR(__xludf.DUMMYFUNCTION("""COMPUTED_VALUE"""),32.0)</f>
        <v>32</v>
      </c>
      <c r="P55" s="329">
        <f>IFERROR(__xludf.DUMMYFUNCTION("""COMPUTED_VALUE"""),3321.0)</f>
        <v>3321</v>
      </c>
      <c r="Q55" s="329">
        <f>IFERROR(__xludf.DUMMYFUNCTION("""COMPUTED_VALUE"""),13.0)</f>
        <v>13</v>
      </c>
      <c r="R55" s="329">
        <f>IFERROR(__xludf.DUMMYFUNCTION("""COMPUTED_VALUE"""),2716.0)</f>
        <v>2716</v>
      </c>
      <c r="S55" s="329">
        <f>IFERROR(__xludf.DUMMYFUNCTION("""COMPUTED_VALUE"""),1.0)</f>
        <v>1</v>
      </c>
      <c r="T55" s="329">
        <f>IFERROR(__xludf.DUMMYFUNCTION("""COMPUTED_VALUE"""),406.0)</f>
        <v>406</v>
      </c>
      <c r="U55" s="329">
        <f>IFERROR(__xludf.DUMMYFUNCTION("""COMPUTED_VALUE"""),199.0)</f>
        <v>199</v>
      </c>
      <c r="V55" s="329">
        <f>IFERROR(__xludf.DUMMYFUNCTION("""COMPUTED_VALUE"""),188.0)</f>
        <v>188</v>
      </c>
      <c r="W55" s="329">
        <f>IFERROR(__xludf.DUMMYFUNCTION("""COMPUTED_VALUE"""),24.0)</f>
        <v>24</v>
      </c>
      <c r="X55" s="329">
        <f>IFERROR(__xludf.DUMMYFUNCTION("""COMPUTED_VALUE"""),11.0)</f>
        <v>11</v>
      </c>
      <c r="Y55" s="329">
        <f>IFERROR(__xludf.DUMMYFUNCTION("""COMPUTED_VALUE"""),3.0)</f>
        <v>3</v>
      </c>
      <c r="Z55" s="329">
        <f>IFERROR(__xludf.DUMMYFUNCTION("""COMPUTED_VALUE"""),1216.0)</f>
        <v>1216</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IFERROR(__xludf.DUMMYFUNCTION("""COMPUTED_VALUE"""),44136.0)</f>
        <v>44136</v>
      </c>
      <c r="B56" s="329">
        <f>IFERROR(__xludf.DUMMYFUNCTION("""COMPUTED_VALUE"""),330.0)</f>
        <v>330</v>
      </c>
      <c r="C56" s="329">
        <f>IFERROR(__xludf.DUMMYFUNCTION("""COMPUTED_VALUE"""),499.0)</f>
        <v>499</v>
      </c>
      <c r="D56" s="329">
        <f>IFERROR(__xludf.DUMMYFUNCTION("""COMPUTED_VALUE"""),45483.0)</f>
        <v>45483</v>
      </c>
      <c r="E56" s="329">
        <f>IFERROR(__xludf.DUMMYFUNCTION("""COMPUTED_VALUE"""),5092.0)</f>
        <v>5092</v>
      </c>
      <c r="F56" s="258">
        <f>IFERROR(__xludf.DUMMYFUNCTION("""COMPUTED_VALUE"""),1116452.0)</f>
        <v>1116452</v>
      </c>
      <c r="G56" s="258">
        <f>IFERROR(__xludf.DUMMYFUNCTION("""COMPUTED_VALUE"""),5422.0)</f>
        <v>5422</v>
      </c>
      <c r="H56" s="258">
        <f>IFERROR(__xludf.DUMMYFUNCTION("""COMPUTED_VALUE"""),1161935.0)</f>
        <v>1161935</v>
      </c>
      <c r="I56" s="329">
        <f>IFERROR(__xludf.DUMMYFUNCTION("""COMPUTED_VALUE"""),275.0)</f>
        <v>275</v>
      </c>
      <c r="J56" s="329">
        <f>IFERROR(__xludf.DUMMYFUNCTION("""COMPUTED_VALUE"""),411.0)</f>
        <v>411</v>
      </c>
      <c r="K56" s="329">
        <f>IFERROR(__xludf.DUMMYFUNCTION("""COMPUTED_VALUE"""),34216.0)</f>
        <v>34216</v>
      </c>
      <c r="L56" s="329">
        <f>IFERROR(__xludf.DUMMYFUNCTION("""COMPUTED_VALUE"""),1161.0)</f>
        <v>1161</v>
      </c>
      <c r="M56" s="329">
        <f>IFERROR(__xludf.DUMMYFUNCTION("""COMPUTED_VALUE"""),367059.0)</f>
        <v>367059</v>
      </c>
      <c r="N56" s="329">
        <f>IFERROR(__xludf.DUMMYFUNCTION("""COMPUTED_VALUE"""),401275.0)</f>
        <v>401275</v>
      </c>
      <c r="O56" s="329">
        <f>IFERROR(__xludf.DUMMYFUNCTION("""COMPUTED_VALUE"""),22.0)</f>
        <v>22</v>
      </c>
      <c r="P56" s="329">
        <f>IFERROR(__xludf.DUMMYFUNCTION("""COMPUTED_VALUE"""),3343.0)</f>
        <v>3343</v>
      </c>
      <c r="Q56" s="329">
        <f>IFERROR(__xludf.DUMMYFUNCTION("""COMPUTED_VALUE"""),15.0)</f>
        <v>15</v>
      </c>
      <c r="R56" s="329">
        <f>IFERROR(__xludf.DUMMYFUNCTION("""COMPUTED_VALUE"""),2731.0)</f>
        <v>2731</v>
      </c>
      <c r="S56" s="329">
        <f>IFERROR(__xludf.DUMMYFUNCTION("""COMPUTED_VALUE"""),1.0)</f>
        <v>1</v>
      </c>
      <c r="T56" s="329">
        <f>IFERROR(__xludf.DUMMYFUNCTION("""COMPUTED_VALUE"""),407.0)</f>
        <v>407</v>
      </c>
      <c r="U56" s="329">
        <f>IFERROR(__xludf.DUMMYFUNCTION("""COMPUTED_VALUE"""),205.0)</f>
        <v>205</v>
      </c>
      <c r="V56" s="329">
        <f>IFERROR(__xludf.DUMMYFUNCTION("""COMPUTED_VALUE"""),195.0)</f>
        <v>195</v>
      </c>
      <c r="W56" s="329">
        <f>IFERROR(__xludf.DUMMYFUNCTION("""COMPUTED_VALUE"""),28.0)</f>
        <v>28</v>
      </c>
      <c r="X56" s="329">
        <f>IFERROR(__xludf.DUMMYFUNCTION("""COMPUTED_VALUE"""),14.0)</f>
        <v>14</v>
      </c>
      <c r="Y56" s="329">
        <f>IFERROR(__xludf.DUMMYFUNCTION("""COMPUTED_VALUE"""),4.0)</f>
        <v>4</v>
      </c>
      <c r="Z56" s="329">
        <f>IFERROR(__xludf.DUMMYFUNCTION("""COMPUTED_VALUE"""),1220.0)</f>
        <v>1220</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IFERROR(__xludf.DUMMYFUNCTION("""COMPUTED_VALUE"""),44137.0)</f>
        <v>44137</v>
      </c>
      <c r="B57" s="329">
        <f>IFERROR(__xludf.DUMMYFUNCTION("""COMPUTED_VALUE"""),525.0)</f>
        <v>525</v>
      </c>
      <c r="C57" s="329">
        <f>IFERROR(__xludf.DUMMYFUNCTION("""COMPUTED_VALUE"""),486.0)</f>
        <v>486</v>
      </c>
      <c r="D57" s="329">
        <f>IFERROR(__xludf.DUMMYFUNCTION("""COMPUTED_VALUE"""),46008.0)</f>
        <v>46008</v>
      </c>
      <c r="E57" s="329">
        <f>IFERROR(__xludf.DUMMYFUNCTION("""COMPUTED_VALUE"""),9935.0)</f>
        <v>9935</v>
      </c>
      <c r="F57" s="258">
        <f>IFERROR(__xludf.DUMMYFUNCTION("""COMPUTED_VALUE"""),1126387.0)</f>
        <v>1126387</v>
      </c>
      <c r="G57" s="258">
        <f>IFERROR(__xludf.DUMMYFUNCTION("""COMPUTED_VALUE"""),10460.0)</f>
        <v>10460</v>
      </c>
      <c r="H57" s="258">
        <f>IFERROR(__xludf.DUMMYFUNCTION("""COMPUTED_VALUE"""),1172395.0)</f>
        <v>1172395</v>
      </c>
      <c r="I57" s="329">
        <f>IFERROR(__xludf.DUMMYFUNCTION("""COMPUTED_VALUE"""),456.0)</f>
        <v>456</v>
      </c>
      <c r="J57" s="329">
        <f>IFERROR(__xludf.DUMMYFUNCTION("""COMPUTED_VALUE"""),406.0)</f>
        <v>406</v>
      </c>
      <c r="K57" s="329">
        <f>IFERROR(__xludf.DUMMYFUNCTION("""COMPUTED_VALUE"""),34672.0)</f>
        <v>34672</v>
      </c>
      <c r="L57" s="329">
        <f>IFERROR(__xludf.DUMMYFUNCTION("""COMPUTED_VALUE"""),2732.0)</f>
        <v>2732</v>
      </c>
      <c r="M57" s="329">
        <f>IFERROR(__xludf.DUMMYFUNCTION("""COMPUTED_VALUE"""),369791.0)</f>
        <v>369791</v>
      </c>
      <c r="N57" s="329">
        <f>IFERROR(__xludf.DUMMYFUNCTION("""COMPUTED_VALUE"""),404463.0)</f>
        <v>404463</v>
      </c>
      <c r="O57" s="329">
        <f>IFERROR(__xludf.DUMMYFUNCTION("""COMPUTED_VALUE"""),38.0)</f>
        <v>38</v>
      </c>
      <c r="P57" s="329">
        <f>IFERROR(__xludf.DUMMYFUNCTION("""COMPUTED_VALUE"""),3381.0)</f>
        <v>3381</v>
      </c>
      <c r="Q57" s="329">
        <f>IFERROR(__xludf.DUMMYFUNCTION("""COMPUTED_VALUE"""),27.0)</f>
        <v>27</v>
      </c>
      <c r="R57" s="329">
        <f>IFERROR(__xludf.DUMMYFUNCTION("""COMPUTED_VALUE"""),2758.0)</f>
        <v>2758</v>
      </c>
      <c r="S57" s="329">
        <f>IFERROR(__xludf.DUMMYFUNCTION("""COMPUTED_VALUE"""),3.0)</f>
        <v>3</v>
      </c>
      <c r="T57" s="329">
        <f>IFERROR(__xludf.DUMMYFUNCTION("""COMPUTED_VALUE"""),410.0)</f>
        <v>410</v>
      </c>
      <c r="U57" s="329">
        <f>IFERROR(__xludf.DUMMYFUNCTION("""COMPUTED_VALUE"""),213.0)</f>
        <v>213</v>
      </c>
      <c r="V57" s="329">
        <f>IFERROR(__xludf.DUMMYFUNCTION("""COMPUTED_VALUE"""),206.0)</f>
        <v>206</v>
      </c>
      <c r="W57" s="329">
        <f>IFERROR(__xludf.DUMMYFUNCTION("""COMPUTED_VALUE"""),26.0)</f>
        <v>26</v>
      </c>
      <c r="X57" s="329">
        <f>IFERROR(__xludf.DUMMYFUNCTION("""COMPUTED_VALUE"""),14.0)</f>
        <v>14</v>
      </c>
      <c r="Y57" s="329">
        <f>IFERROR(__xludf.DUMMYFUNCTION("""COMPUTED_VALUE"""),6.0)</f>
        <v>6</v>
      </c>
      <c r="Z57" s="329">
        <f>IFERROR(__xludf.DUMMYFUNCTION("""COMPUTED_VALUE"""),1226.0)</f>
        <v>1226</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IFERROR(__xludf.DUMMYFUNCTION("""COMPUTED_VALUE"""),44138.0)</f>
        <v>44138</v>
      </c>
      <c r="B58" s="329">
        <f>IFERROR(__xludf.DUMMYFUNCTION("""COMPUTED_VALUE"""),601.0)</f>
        <v>601</v>
      </c>
      <c r="C58" s="329">
        <f>IFERROR(__xludf.DUMMYFUNCTION("""COMPUTED_VALUE"""),485.0)</f>
        <v>485</v>
      </c>
      <c r="D58" s="329">
        <f>IFERROR(__xludf.DUMMYFUNCTION("""COMPUTED_VALUE"""),46609.0)</f>
        <v>46609</v>
      </c>
      <c r="E58" s="329">
        <f>IFERROR(__xludf.DUMMYFUNCTION("""COMPUTED_VALUE"""),13041.0)</f>
        <v>13041</v>
      </c>
      <c r="F58" s="258">
        <f>IFERROR(__xludf.DUMMYFUNCTION("""COMPUTED_VALUE"""),1139428.0)</f>
        <v>1139428</v>
      </c>
      <c r="G58" s="258">
        <f>IFERROR(__xludf.DUMMYFUNCTION("""COMPUTED_VALUE"""),13642.0)</f>
        <v>13642</v>
      </c>
      <c r="H58" s="258">
        <f>IFERROR(__xludf.DUMMYFUNCTION("""COMPUTED_VALUE"""),1186037.0)</f>
        <v>1186037</v>
      </c>
      <c r="I58" s="329">
        <f>IFERROR(__xludf.DUMMYFUNCTION("""COMPUTED_VALUE"""),529.0)</f>
        <v>529</v>
      </c>
      <c r="J58" s="329">
        <f>IFERROR(__xludf.DUMMYFUNCTION("""COMPUTED_VALUE"""),420.0)</f>
        <v>420</v>
      </c>
      <c r="K58" s="329">
        <f>IFERROR(__xludf.DUMMYFUNCTION("""COMPUTED_VALUE"""),35201.0)</f>
        <v>35201</v>
      </c>
      <c r="L58" s="329">
        <f>IFERROR(__xludf.DUMMYFUNCTION("""COMPUTED_VALUE"""),2312.0)</f>
        <v>2312</v>
      </c>
      <c r="M58" s="329">
        <f>IFERROR(__xludf.DUMMYFUNCTION("""COMPUTED_VALUE"""),372103.0)</f>
        <v>372103</v>
      </c>
      <c r="N58" s="329">
        <f>IFERROR(__xludf.DUMMYFUNCTION("""COMPUTED_VALUE"""),407304.0)</f>
        <v>407304</v>
      </c>
      <c r="O58" s="329">
        <f>IFERROR(__xludf.DUMMYFUNCTION("""COMPUTED_VALUE"""),33.0)</f>
        <v>33</v>
      </c>
      <c r="P58" s="329">
        <f>IFERROR(__xludf.DUMMYFUNCTION("""COMPUTED_VALUE"""),3414.0)</f>
        <v>3414</v>
      </c>
      <c r="Q58" s="329">
        <f>IFERROR(__xludf.DUMMYFUNCTION("""COMPUTED_VALUE"""),25.0)</f>
        <v>25</v>
      </c>
      <c r="R58" s="329">
        <f>IFERROR(__xludf.DUMMYFUNCTION("""COMPUTED_VALUE"""),2783.0)</f>
        <v>2783</v>
      </c>
      <c r="S58" s="329">
        <f>IFERROR(__xludf.DUMMYFUNCTION("""COMPUTED_VALUE"""),1.0)</f>
        <v>1</v>
      </c>
      <c r="T58" s="329">
        <f>IFERROR(__xludf.DUMMYFUNCTION("""COMPUTED_VALUE"""),411.0)</f>
        <v>411</v>
      </c>
      <c r="U58" s="329">
        <f>IFERROR(__xludf.DUMMYFUNCTION("""COMPUTED_VALUE"""),220.0)</f>
        <v>220</v>
      </c>
      <c r="V58" s="329">
        <f>IFERROR(__xludf.DUMMYFUNCTION("""COMPUTED_VALUE"""),213.0)</f>
        <v>213</v>
      </c>
      <c r="W58" s="329">
        <f>IFERROR(__xludf.DUMMYFUNCTION("""COMPUTED_VALUE"""),26.0)</f>
        <v>26</v>
      </c>
      <c r="X58" s="329">
        <f>IFERROR(__xludf.DUMMYFUNCTION("""COMPUTED_VALUE"""),14.0)</f>
        <v>14</v>
      </c>
      <c r="Y58" s="329">
        <f>IFERROR(__xludf.DUMMYFUNCTION("""COMPUTED_VALUE"""),1.0)</f>
        <v>1</v>
      </c>
      <c r="Z58" s="329">
        <f>IFERROR(__xludf.DUMMYFUNCTION("""COMPUTED_VALUE"""),1227.0)</f>
        <v>1227</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IFERROR(__xludf.DUMMYFUNCTION("""COMPUTED_VALUE"""),44139.0)</f>
        <v>44139</v>
      </c>
      <c r="B59" s="329">
        <f>IFERROR(__xludf.DUMMYFUNCTION("""COMPUTED_VALUE"""),689.0)</f>
        <v>689</v>
      </c>
      <c r="C59" s="329">
        <f>IFERROR(__xludf.DUMMYFUNCTION("""COMPUTED_VALUE"""),605.0)</f>
        <v>605</v>
      </c>
      <c r="D59" s="329">
        <f>IFERROR(__xludf.DUMMYFUNCTION("""COMPUTED_VALUE"""),47298.0)</f>
        <v>47298</v>
      </c>
      <c r="E59" s="329">
        <f>IFERROR(__xludf.DUMMYFUNCTION("""COMPUTED_VALUE"""),16106.0)</f>
        <v>16106</v>
      </c>
      <c r="F59" s="258">
        <f>IFERROR(__xludf.DUMMYFUNCTION("""COMPUTED_VALUE"""),1155534.0)</f>
        <v>1155534</v>
      </c>
      <c r="G59" s="258">
        <f>IFERROR(__xludf.DUMMYFUNCTION("""COMPUTED_VALUE"""),16795.0)</f>
        <v>16795</v>
      </c>
      <c r="H59" s="258">
        <f>IFERROR(__xludf.DUMMYFUNCTION("""COMPUTED_VALUE"""),1202832.0)</f>
        <v>1202832</v>
      </c>
      <c r="I59" s="329">
        <f>IFERROR(__xludf.DUMMYFUNCTION("""COMPUTED_VALUE"""),639.0)</f>
        <v>639</v>
      </c>
      <c r="J59" s="329">
        <f>IFERROR(__xludf.DUMMYFUNCTION("""COMPUTED_VALUE"""),541.0)</f>
        <v>541</v>
      </c>
      <c r="K59" s="329">
        <f>IFERROR(__xludf.DUMMYFUNCTION("""COMPUTED_VALUE"""),35840.0)</f>
        <v>35840</v>
      </c>
      <c r="L59" s="329">
        <f>IFERROR(__xludf.DUMMYFUNCTION("""COMPUTED_VALUE"""),2714.0)</f>
        <v>2714</v>
      </c>
      <c r="M59" s="329">
        <f>IFERROR(__xludf.DUMMYFUNCTION("""COMPUTED_VALUE"""),374817.0)</f>
        <v>374817</v>
      </c>
      <c r="N59" s="329">
        <f>IFERROR(__xludf.DUMMYFUNCTION("""COMPUTED_VALUE"""),410657.0)</f>
        <v>410657</v>
      </c>
      <c r="O59" s="329">
        <f>IFERROR(__xludf.DUMMYFUNCTION("""COMPUTED_VALUE"""),32.0)</f>
        <v>32</v>
      </c>
      <c r="P59" s="329">
        <f>IFERROR(__xludf.DUMMYFUNCTION("""COMPUTED_VALUE"""),3446.0)</f>
        <v>3446</v>
      </c>
      <c r="Q59" s="329">
        <f>IFERROR(__xludf.DUMMYFUNCTION("""COMPUTED_VALUE"""),25.0)</f>
        <v>25</v>
      </c>
      <c r="R59" s="329">
        <f>IFERROR(__xludf.DUMMYFUNCTION("""COMPUTED_VALUE"""),2808.0)</f>
        <v>2808</v>
      </c>
      <c r="S59" s="329">
        <f>IFERROR(__xludf.DUMMYFUNCTION("""COMPUTED_VALUE"""),2.0)</f>
        <v>2</v>
      </c>
      <c r="T59" s="329">
        <f>IFERROR(__xludf.DUMMYFUNCTION("""COMPUTED_VALUE"""),413.0)</f>
        <v>413</v>
      </c>
      <c r="U59" s="329">
        <f>IFERROR(__xludf.DUMMYFUNCTION("""COMPUTED_VALUE"""),225.0)</f>
        <v>225</v>
      </c>
      <c r="V59" s="329">
        <f>IFERROR(__xludf.DUMMYFUNCTION("""COMPUTED_VALUE"""),219.0)</f>
        <v>219</v>
      </c>
      <c r="W59" s="329">
        <f>IFERROR(__xludf.DUMMYFUNCTION("""COMPUTED_VALUE"""),27.0)</f>
        <v>27</v>
      </c>
      <c r="X59" s="329">
        <f>IFERROR(__xludf.DUMMYFUNCTION("""COMPUTED_VALUE"""),13.0)</f>
        <v>13</v>
      </c>
      <c r="Y59" s="329">
        <f>IFERROR(__xludf.DUMMYFUNCTION("""COMPUTED_VALUE"""),4.0)</f>
        <v>4</v>
      </c>
      <c r="Z59" s="329">
        <f>IFERROR(__xludf.DUMMYFUNCTION("""COMPUTED_VALUE"""),1231.0)</f>
        <v>1231</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IFERROR(__xludf.DUMMYFUNCTION("""COMPUTED_VALUE"""),44140.0)</f>
        <v>44140</v>
      </c>
      <c r="B60" s="329">
        <f>IFERROR(__xludf.DUMMYFUNCTION("""COMPUTED_VALUE"""),768.0)</f>
        <v>768</v>
      </c>
      <c r="C60" s="329">
        <f>IFERROR(__xludf.DUMMYFUNCTION("""COMPUTED_VALUE"""),686.0)</f>
        <v>686</v>
      </c>
      <c r="D60" s="329">
        <f>IFERROR(__xludf.DUMMYFUNCTION("""COMPUTED_VALUE"""),48066.0)</f>
        <v>48066</v>
      </c>
      <c r="E60" s="329">
        <f>IFERROR(__xludf.DUMMYFUNCTION("""COMPUTED_VALUE"""),16597.0)</f>
        <v>16597</v>
      </c>
      <c r="F60" s="258">
        <f>IFERROR(__xludf.DUMMYFUNCTION("""COMPUTED_VALUE"""),1172131.0)</f>
        <v>1172131</v>
      </c>
      <c r="G60" s="258">
        <f>IFERROR(__xludf.DUMMYFUNCTION("""COMPUTED_VALUE"""),17365.0)</f>
        <v>17365</v>
      </c>
      <c r="H60" s="258">
        <f>IFERROR(__xludf.DUMMYFUNCTION("""COMPUTED_VALUE"""),1220197.0)</f>
        <v>1220197</v>
      </c>
      <c r="I60" s="329">
        <f>IFERROR(__xludf.DUMMYFUNCTION("""COMPUTED_VALUE"""),682.0)</f>
        <v>682</v>
      </c>
      <c r="J60" s="329">
        <f>IFERROR(__xludf.DUMMYFUNCTION("""COMPUTED_VALUE"""),617.0)</f>
        <v>617</v>
      </c>
      <c r="K60" s="329">
        <f>IFERROR(__xludf.DUMMYFUNCTION("""COMPUTED_VALUE"""),36522.0)</f>
        <v>36522</v>
      </c>
      <c r="L60" s="329">
        <f>IFERROR(__xludf.DUMMYFUNCTION("""COMPUTED_VALUE"""),2634.0)</f>
        <v>2634</v>
      </c>
      <c r="M60" s="329">
        <f>IFERROR(__xludf.DUMMYFUNCTION("""COMPUTED_VALUE"""),377451.0)</f>
        <v>377451</v>
      </c>
      <c r="N60" s="329">
        <f>IFERROR(__xludf.DUMMYFUNCTION("""COMPUTED_VALUE"""),413973.0)</f>
        <v>413973</v>
      </c>
      <c r="O60" s="329">
        <f>IFERROR(__xludf.DUMMYFUNCTION("""COMPUTED_VALUE"""),46.0)</f>
        <v>46</v>
      </c>
      <c r="P60" s="329">
        <f>IFERROR(__xludf.DUMMYFUNCTION("""COMPUTED_VALUE"""),3492.0)</f>
        <v>3492</v>
      </c>
      <c r="Q60" s="329">
        <f>IFERROR(__xludf.DUMMYFUNCTION("""COMPUTED_VALUE"""),35.0)</f>
        <v>35</v>
      </c>
      <c r="R60" s="329">
        <f>IFERROR(__xludf.DUMMYFUNCTION("""COMPUTED_VALUE"""),2843.0)</f>
        <v>2843</v>
      </c>
      <c r="S60" s="329">
        <f>IFERROR(__xludf.DUMMYFUNCTION("""COMPUTED_VALUE"""),1.0)</f>
        <v>1</v>
      </c>
      <c r="T60" s="329">
        <f>IFERROR(__xludf.DUMMYFUNCTION("""COMPUTED_VALUE"""),414.0)</f>
        <v>414</v>
      </c>
      <c r="U60" s="329">
        <f>IFERROR(__xludf.DUMMYFUNCTION("""COMPUTED_VALUE"""),235.0)</f>
        <v>235</v>
      </c>
      <c r="V60" s="329">
        <f>IFERROR(__xludf.DUMMYFUNCTION("""COMPUTED_VALUE"""),227.0)</f>
        <v>227</v>
      </c>
      <c r="W60" s="329">
        <f>IFERROR(__xludf.DUMMYFUNCTION("""COMPUTED_VALUE"""),26.0)</f>
        <v>26</v>
      </c>
      <c r="X60" s="329">
        <f>IFERROR(__xludf.DUMMYFUNCTION("""COMPUTED_VALUE"""),15.0)</f>
        <v>15</v>
      </c>
      <c r="Y60" s="329">
        <f>IFERROR(__xludf.DUMMYFUNCTION("""COMPUTED_VALUE"""),4.0)</f>
        <v>4</v>
      </c>
      <c r="Z60" s="329">
        <f>IFERROR(__xludf.DUMMYFUNCTION("""COMPUTED_VALUE"""),1235.0)</f>
        <v>1235</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IFERROR(__xludf.DUMMYFUNCTION("""COMPUTED_VALUE"""),44141.0)</f>
        <v>44141</v>
      </c>
      <c r="B61" s="329">
        <f>IFERROR(__xludf.DUMMYFUNCTION("""COMPUTED_VALUE"""),774.0)</f>
        <v>774</v>
      </c>
      <c r="C61" s="329">
        <f>IFERROR(__xludf.DUMMYFUNCTION("""COMPUTED_VALUE"""),744.0)</f>
        <v>744</v>
      </c>
      <c r="D61" s="329">
        <f>IFERROR(__xludf.DUMMYFUNCTION("""COMPUTED_VALUE"""),48840.0)</f>
        <v>48840</v>
      </c>
      <c r="E61" s="329">
        <f>IFERROR(__xludf.DUMMYFUNCTION("""COMPUTED_VALUE"""),16029.0)</f>
        <v>16029</v>
      </c>
      <c r="F61" s="258">
        <f>IFERROR(__xludf.DUMMYFUNCTION("""COMPUTED_VALUE"""),1188160.0)</f>
        <v>1188160</v>
      </c>
      <c r="G61" s="258">
        <f>IFERROR(__xludf.DUMMYFUNCTION("""COMPUTED_VALUE"""),16803.0)</f>
        <v>16803</v>
      </c>
      <c r="H61" s="258">
        <f>IFERROR(__xludf.DUMMYFUNCTION("""COMPUTED_VALUE"""),1237000.0)</f>
        <v>1237000</v>
      </c>
      <c r="I61" s="329">
        <f>IFERROR(__xludf.DUMMYFUNCTION("""COMPUTED_VALUE"""),692.0)</f>
        <v>692</v>
      </c>
      <c r="J61" s="329">
        <f>IFERROR(__xludf.DUMMYFUNCTION("""COMPUTED_VALUE"""),671.0)</f>
        <v>671</v>
      </c>
      <c r="K61" s="329">
        <f>IFERROR(__xludf.DUMMYFUNCTION("""COMPUTED_VALUE"""),37214.0)</f>
        <v>37214</v>
      </c>
      <c r="L61" s="329">
        <f>IFERROR(__xludf.DUMMYFUNCTION("""COMPUTED_VALUE"""),2817.0)</f>
        <v>2817</v>
      </c>
      <c r="M61" s="329">
        <f>IFERROR(__xludf.DUMMYFUNCTION("""COMPUTED_VALUE"""),380268.0)</f>
        <v>380268</v>
      </c>
      <c r="N61" s="329">
        <f>IFERROR(__xludf.DUMMYFUNCTION("""COMPUTED_VALUE"""),417482.0)</f>
        <v>417482</v>
      </c>
      <c r="O61" s="329">
        <f>IFERROR(__xludf.DUMMYFUNCTION("""COMPUTED_VALUE"""),43.0)</f>
        <v>43</v>
      </c>
      <c r="P61" s="329">
        <f>IFERROR(__xludf.DUMMYFUNCTION("""COMPUTED_VALUE"""),3535.0)</f>
        <v>3535</v>
      </c>
      <c r="Q61" s="329">
        <f>IFERROR(__xludf.DUMMYFUNCTION("""COMPUTED_VALUE"""),31.0)</f>
        <v>31</v>
      </c>
      <c r="R61" s="329">
        <f>IFERROR(__xludf.DUMMYFUNCTION("""COMPUTED_VALUE"""),2874.0)</f>
        <v>2874</v>
      </c>
      <c r="S61" s="329">
        <f>IFERROR(__xludf.DUMMYFUNCTION("""COMPUTED_VALUE"""),1.0)</f>
        <v>1</v>
      </c>
      <c r="T61" s="329">
        <f>IFERROR(__xludf.DUMMYFUNCTION("""COMPUTED_VALUE"""),415.0)</f>
        <v>415</v>
      </c>
      <c r="U61" s="329">
        <f>IFERROR(__xludf.DUMMYFUNCTION("""COMPUTED_VALUE"""),246.0)</f>
        <v>246</v>
      </c>
      <c r="V61" s="329">
        <f>IFERROR(__xludf.DUMMYFUNCTION("""COMPUTED_VALUE"""),235.0)</f>
        <v>235</v>
      </c>
      <c r="W61" s="329">
        <f>IFERROR(__xludf.DUMMYFUNCTION("""COMPUTED_VALUE"""),30.0)</f>
        <v>30</v>
      </c>
      <c r="X61" s="329">
        <f>IFERROR(__xludf.DUMMYFUNCTION("""COMPUTED_VALUE"""),18.0)</f>
        <v>18</v>
      </c>
      <c r="Y61" s="329">
        <f>IFERROR(__xludf.DUMMYFUNCTION("""COMPUTED_VALUE"""),5.0)</f>
        <v>5</v>
      </c>
      <c r="Z61" s="329">
        <f>IFERROR(__xludf.DUMMYFUNCTION("""COMPUTED_VALUE"""),1240.0)</f>
        <v>1240</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IFERROR(__xludf.DUMMYFUNCTION("""COMPUTED_VALUE"""),44142.0)</f>
        <v>44142</v>
      </c>
      <c r="B62" s="329">
        <f>IFERROR(__xludf.DUMMYFUNCTION("""COMPUTED_VALUE"""),603.0)</f>
        <v>603</v>
      </c>
      <c r="C62" s="329">
        <f>IFERROR(__xludf.DUMMYFUNCTION("""COMPUTED_VALUE"""),715.0)</f>
        <v>715</v>
      </c>
      <c r="D62" s="329">
        <f>IFERROR(__xludf.DUMMYFUNCTION("""COMPUTED_VALUE"""),49443.0)</f>
        <v>49443</v>
      </c>
      <c r="E62" s="329">
        <f>IFERROR(__xludf.DUMMYFUNCTION("""COMPUTED_VALUE"""),13652.0)</f>
        <v>13652</v>
      </c>
      <c r="F62" s="258">
        <f>IFERROR(__xludf.DUMMYFUNCTION("""COMPUTED_VALUE"""),1201812.0)</f>
        <v>1201812</v>
      </c>
      <c r="G62" s="258">
        <f>IFERROR(__xludf.DUMMYFUNCTION("""COMPUTED_VALUE"""),14255.0)</f>
        <v>14255</v>
      </c>
      <c r="H62" s="258">
        <f>IFERROR(__xludf.DUMMYFUNCTION("""COMPUTED_VALUE"""),1251255.0)</f>
        <v>1251255</v>
      </c>
      <c r="I62" s="329">
        <f>IFERROR(__xludf.DUMMYFUNCTION("""COMPUTED_VALUE"""),575.0)</f>
        <v>575</v>
      </c>
      <c r="J62" s="329">
        <f>IFERROR(__xludf.DUMMYFUNCTION("""COMPUTED_VALUE"""),650.0)</f>
        <v>650</v>
      </c>
      <c r="K62" s="329">
        <f>IFERROR(__xludf.DUMMYFUNCTION("""COMPUTED_VALUE"""),37789.0)</f>
        <v>37789</v>
      </c>
      <c r="L62" s="329">
        <f>IFERROR(__xludf.DUMMYFUNCTION("""COMPUTED_VALUE"""),2281.0)</f>
        <v>2281</v>
      </c>
      <c r="M62" s="329">
        <f>IFERROR(__xludf.DUMMYFUNCTION("""COMPUTED_VALUE"""),382549.0)</f>
        <v>382549</v>
      </c>
      <c r="N62" s="329">
        <f>IFERROR(__xludf.DUMMYFUNCTION("""COMPUTED_VALUE"""),420338.0)</f>
        <v>420338</v>
      </c>
      <c r="O62" s="329">
        <f>IFERROR(__xludf.DUMMYFUNCTION("""COMPUTED_VALUE"""),34.0)</f>
        <v>34</v>
      </c>
      <c r="P62" s="329">
        <f>IFERROR(__xludf.DUMMYFUNCTION("""COMPUTED_VALUE"""),3569.0)</f>
        <v>3569</v>
      </c>
      <c r="Q62" s="329">
        <f>IFERROR(__xludf.DUMMYFUNCTION("""COMPUTED_VALUE"""),25.0)</f>
        <v>25</v>
      </c>
      <c r="R62" s="329">
        <f>IFERROR(__xludf.DUMMYFUNCTION("""COMPUTED_VALUE"""),2899.0)</f>
        <v>2899</v>
      </c>
      <c r="S62" s="329">
        <f>IFERROR(__xludf.DUMMYFUNCTION("""COMPUTED_VALUE"""),1.0)</f>
        <v>1</v>
      </c>
      <c r="T62" s="329">
        <f>IFERROR(__xludf.DUMMYFUNCTION("""COMPUTED_VALUE"""),416.0)</f>
        <v>416</v>
      </c>
      <c r="U62" s="329">
        <f>IFERROR(__xludf.DUMMYFUNCTION("""COMPUTED_VALUE"""),254.0)</f>
        <v>254</v>
      </c>
      <c r="V62" s="329">
        <f>IFERROR(__xludf.DUMMYFUNCTION("""COMPUTED_VALUE"""),245.0)</f>
        <v>245</v>
      </c>
      <c r="W62" s="329">
        <f>IFERROR(__xludf.DUMMYFUNCTION("""COMPUTED_VALUE"""),33.0)</f>
        <v>33</v>
      </c>
      <c r="X62" s="329">
        <f>IFERROR(__xludf.DUMMYFUNCTION("""COMPUTED_VALUE"""),19.0)</f>
        <v>19</v>
      </c>
      <c r="Y62" s="329">
        <f>IFERROR(__xludf.DUMMYFUNCTION("""COMPUTED_VALUE"""),1.0)</f>
        <v>1</v>
      </c>
      <c r="Z62" s="329">
        <f>IFERROR(__xludf.DUMMYFUNCTION("""COMPUTED_VALUE"""),1241.0)</f>
        <v>1241</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IFERROR(__xludf.DUMMYFUNCTION("""COMPUTED_VALUE"""),44143.0)</f>
        <v>44143</v>
      </c>
      <c r="B63" s="329">
        <f>IFERROR(__xludf.DUMMYFUNCTION("""COMPUTED_VALUE"""),337.0)</f>
        <v>337</v>
      </c>
      <c r="C63" s="329">
        <f>IFERROR(__xludf.DUMMYFUNCTION("""COMPUTED_VALUE"""),571.0)</f>
        <v>571</v>
      </c>
      <c r="D63" s="329">
        <f>IFERROR(__xludf.DUMMYFUNCTION("""COMPUTED_VALUE"""),49780.0)</f>
        <v>49780</v>
      </c>
      <c r="E63" s="329">
        <f>IFERROR(__xludf.DUMMYFUNCTION("""COMPUTED_VALUE"""),4168.0)</f>
        <v>4168</v>
      </c>
      <c r="F63" s="258">
        <f>IFERROR(__xludf.DUMMYFUNCTION("""COMPUTED_VALUE"""),1205980.0)</f>
        <v>1205980</v>
      </c>
      <c r="G63" s="258">
        <f>IFERROR(__xludf.DUMMYFUNCTION("""COMPUTED_VALUE"""),4505.0)</f>
        <v>4505</v>
      </c>
      <c r="H63" s="258">
        <f>IFERROR(__xludf.DUMMYFUNCTION("""COMPUTED_VALUE"""),1255760.0)</f>
        <v>1255760</v>
      </c>
      <c r="I63" s="329">
        <f>IFERROR(__xludf.DUMMYFUNCTION("""COMPUTED_VALUE"""),326.0)</f>
        <v>326</v>
      </c>
      <c r="J63" s="329">
        <f>IFERROR(__xludf.DUMMYFUNCTION("""COMPUTED_VALUE"""),531.0)</f>
        <v>531</v>
      </c>
      <c r="K63" s="329">
        <f>IFERROR(__xludf.DUMMYFUNCTION("""COMPUTED_VALUE"""),38115.0)</f>
        <v>38115</v>
      </c>
      <c r="L63" s="329">
        <f>IFERROR(__xludf.DUMMYFUNCTION("""COMPUTED_VALUE"""),1195.0)</f>
        <v>1195</v>
      </c>
      <c r="M63" s="329">
        <f>IFERROR(__xludf.DUMMYFUNCTION("""COMPUTED_VALUE"""),383744.0)</f>
        <v>383744</v>
      </c>
      <c r="N63" s="329">
        <f>IFERROR(__xludf.DUMMYFUNCTION("""COMPUTED_VALUE"""),421859.0)</f>
        <v>421859</v>
      </c>
      <c r="O63" s="329">
        <f>IFERROR(__xludf.DUMMYFUNCTION("""COMPUTED_VALUE"""),33.0)</f>
        <v>33</v>
      </c>
      <c r="P63" s="329">
        <f>IFERROR(__xludf.DUMMYFUNCTION("""COMPUTED_VALUE"""),3602.0)</f>
        <v>3602</v>
      </c>
      <c r="Q63" s="329">
        <f>IFERROR(__xludf.DUMMYFUNCTION("""COMPUTED_VALUE"""),26.0)</f>
        <v>26</v>
      </c>
      <c r="R63" s="329">
        <f>IFERROR(__xludf.DUMMYFUNCTION("""COMPUTED_VALUE"""),2925.0)</f>
        <v>2925</v>
      </c>
      <c r="S63" s="329">
        <f>IFERROR(__xludf.DUMMYFUNCTION("""COMPUTED_VALUE"""),1.0)</f>
        <v>1</v>
      </c>
      <c r="T63" s="329">
        <f>IFERROR(__xludf.DUMMYFUNCTION("""COMPUTED_VALUE"""),417.0)</f>
        <v>417</v>
      </c>
      <c r="U63" s="329">
        <f>IFERROR(__xludf.DUMMYFUNCTION("""COMPUTED_VALUE"""),260.0)</f>
        <v>260</v>
      </c>
      <c r="V63" s="329">
        <f>IFERROR(__xludf.DUMMYFUNCTION("""COMPUTED_VALUE"""),253.0)</f>
        <v>253</v>
      </c>
      <c r="W63" s="329">
        <f>IFERROR(__xludf.DUMMYFUNCTION("""COMPUTED_VALUE"""),32.0)</f>
        <v>32</v>
      </c>
      <c r="X63" s="329">
        <f>IFERROR(__xludf.DUMMYFUNCTION("""COMPUTED_VALUE"""),20.0)</f>
        <v>20</v>
      </c>
      <c r="Y63" s="329">
        <f>IFERROR(__xludf.DUMMYFUNCTION("""COMPUTED_VALUE"""),6.0)</f>
        <v>6</v>
      </c>
      <c r="Z63" s="329">
        <f>IFERROR(__xludf.DUMMYFUNCTION("""COMPUTED_VALUE"""),1247.0)</f>
        <v>1247</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IFERROR(__xludf.DUMMYFUNCTION("""COMPUTED_VALUE"""),44144.0)</f>
        <v>44144</v>
      </c>
      <c r="B64" s="329">
        <f>IFERROR(__xludf.DUMMYFUNCTION("""COMPUTED_VALUE"""),809.0)</f>
        <v>809</v>
      </c>
      <c r="C64" s="329">
        <f>IFERROR(__xludf.DUMMYFUNCTION("""COMPUTED_VALUE"""),583.0)</f>
        <v>583</v>
      </c>
      <c r="D64" s="329">
        <f>IFERROR(__xludf.DUMMYFUNCTION("""COMPUTED_VALUE"""),50589.0)</f>
        <v>50589</v>
      </c>
      <c r="E64" s="329">
        <f>IFERROR(__xludf.DUMMYFUNCTION("""COMPUTED_VALUE"""),9063.0)</f>
        <v>9063</v>
      </c>
      <c r="F64" s="258">
        <f>IFERROR(__xludf.DUMMYFUNCTION("""COMPUTED_VALUE"""),1215043.0)</f>
        <v>1215043</v>
      </c>
      <c r="G64" s="258">
        <f>IFERROR(__xludf.DUMMYFUNCTION("""COMPUTED_VALUE"""),9872.0)</f>
        <v>9872</v>
      </c>
      <c r="H64" s="258">
        <f>IFERROR(__xludf.DUMMYFUNCTION("""COMPUTED_VALUE"""),1265632.0)</f>
        <v>1265632</v>
      </c>
      <c r="I64" s="329">
        <f>IFERROR(__xludf.DUMMYFUNCTION("""COMPUTED_VALUE"""),763.0)</f>
        <v>763</v>
      </c>
      <c r="J64" s="329">
        <f>IFERROR(__xludf.DUMMYFUNCTION("""COMPUTED_VALUE"""),555.0)</f>
        <v>555</v>
      </c>
      <c r="K64" s="329">
        <f>IFERROR(__xludf.DUMMYFUNCTION("""COMPUTED_VALUE"""),38878.0)</f>
        <v>38878</v>
      </c>
      <c r="L64" s="329">
        <f>IFERROR(__xludf.DUMMYFUNCTION("""COMPUTED_VALUE"""),2153.0)</f>
        <v>2153</v>
      </c>
      <c r="M64" s="329">
        <f>IFERROR(__xludf.DUMMYFUNCTION("""COMPUTED_VALUE"""),385897.0)</f>
        <v>385897</v>
      </c>
      <c r="N64" s="329">
        <f>IFERROR(__xludf.DUMMYFUNCTION("""COMPUTED_VALUE"""),424775.0)</f>
        <v>424775</v>
      </c>
      <c r="O64" s="329">
        <f>IFERROR(__xludf.DUMMYFUNCTION("""COMPUTED_VALUE"""),39.0)</f>
        <v>39</v>
      </c>
      <c r="P64" s="329">
        <f>IFERROR(__xludf.DUMMYFUNCTION("""COMPUTED_VALUE"""),3641.0)</f>
        <v>3641</v>
      </c>
      <c r="Q64" s="329">
        <f>IFERROR(__xludf.DUMMYFUNCTION("""COMPUTED_VALUE"""),33.0)</f>
        <v>33</v>
      </c>
      <c r="R64" s="329">
        <f>IFERROR(__xludf.DUMMYFUNCTION("""COMPUTED_VALUE"""),2958.0)</f>
        <v>2958</v>
      </c>
      <c r="S64" s="329">
        <f>IFERROR(__xludf.DUMMYFUNCTION("""COMPUTED_VALUE"""),2.0)</f>
        <v>2</v>
      </c>
      <c r="T64" s="329">
        <f>IFERROR(__xludf.DUMMYFUNCTION("""COMPUTED_VALUE"""),419.0)</f>
        <v>419</v>
      </c>
      <c r="U64" s="329">
        <f>IFERROR(__xludf.DUMMYFUNCTION("""COMPUTED_VALUE"""),264.0)</f>
        <v>264</v>
      </c>
      <c r="V64" s="329">
        <f>IFERROR(__xludf.DUMMYFUNCTION("""COMPUTED_VALUE"""),259.0)</f>
        <v>259</v>
      </c>
      <c r="W64" s="329">
        <f>IFERROR(__xludf.DUMMYFUNCTION("""COMPUTED_VALUE"""),30.0)</f>
        <v>30</v>
      </c>
      <c r="X64" s="329">
        <f>IFERROR(__xludf.DUMMYFUNCTION("""COMPUTED_VALUE"""),19.0)</f>
        <v>19</v>
      </c>
      <c r="Y64" s="329">
        <f>IFERROR(__xludf.DUMMYFUNCTION("""COMPUTED_VALUE"""),4.0)</f>
        <v>4</v>
      </c>
      <c r="Z64" s="329">
        <f>IFERROR(__xludf.DUMMYFUNCTION("""COMPUTED_VALUE"""),1251.0)</f>
        <v>1251</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IFERROR(__xludf.DUMMYFUNCTION("""COMPUTED_VALUE"""),44145.0)</f>
        <v>44145</v>
      </c>
      <c r="B65" s="329">
        <f>IFERROR(__xludf.DUMMYFUNCTION("""COMPUTED_VALUE"""),1058.0)</f>
        <v>1058</v>
      </c>
      <c r="C65" s="329">
        <f>IFERROR(__xludf.DUMMYFUNCTION("""COMPUTED_VALUE"""),735.0)</f>
        <v>735</v>
      </c>
      <c r="D65" s="329">
        <f>IFERROR(__xludf.DUMMYFUNCTION("""COMPUTED_VALUE"""),51647.0)</f>
        <v>51647</v>
      </c>
      <c r="E65" s="329">
        <f>IFERROR(__xludf.DUMMYFUNCTION("""COMPUTED_VALUE"""),12983.0)</f>
        <v>12983</v>
      </c>
      <c r="F65" s="258">
        <f>IFERROR(__xludf.DUMMYFUNCTION("""COMPUTED_VALUE"""),1228026.0)</f>
        <v>1228026</v>
      </c>
      <c r="G65" s="258">
        <f>IFERROR(__xludf.DUMMYFUNCTION("""COMPUTED_VALUE"""),14041.0)</f>
        <v>14041</v>
      </c>
      <c r="H65" s="258">
        <f>IFERROR(__xludf.DUMMYFUNCTION("""COMPUTED_VALUE"""),1279673.0)</f>
        <v>1279673</v>
      </c>
      <c r="I65" s="329">
        <f>IFERROR(__xludf.DUMMYFUNCTION("""COMPUTED_VALUE"""),980.0)</f>
        <v>980</v>
      </c>
      <c r="J65" s="329">
        <f>IFERROR(__xludf.DUMMYFUNCTION("""COMPUTED_VALUE"""),690.0)</f>
        <v>690</v>
      </c>
      <c r="K65" s="329">
        <f>IFERROR(__xludf.DUMMYFUNCTION("""COMPUTED_VALUE"""),39858.0)</f>
        <v>39858</v>
      </c>
      <c r="L65" s="329">
        <f>IFERROR(__xludf.DUMMYFUNCTION("""COMPUTED_VALUE"""),2664.0)</f>
        <v>2664</v>
      </c>
      <c r="M65" s="329">
        <f>IFERROR(__xludf.DUMMYFUNCTION("""COMPUTED_VALUE"""),388561.0)</f>
        <v>388561</v>
      </c>
      <c r="N65" s="329">
        <f>IFERROR(__xludf.DUMMYFUNCTION("""COMPUTED_VALUE"""),428419.0)</f>
        <v>428419</v>
      </c>
      <c r="O65" s="329">
        <f>IFERROR(__xludf.DUMMYFUNCTION("""COMPUTED_VALUE"""),44.0)</f>
        <v>44</v>
      </c>
      <c r="P65" s="329">
        <f>IFERROR(__xludf.DUMMYFUNCTION("""COMPUTED_VALUE"""),3685.0)</f>
        <v>3685</v>
      </c>
      <c r="Q65" s="329">
        <f>IFERROR(__xludf.DUMMYFUNCTION("""COMPUTED_VALUE"""),35.0)</f>
        <v>35</v>
      </c>
      <c r="R65" s="329">
        <f>IFERROR(__xludf.DUMMYFUNCTION("""COMPUTED_VALUE"""),2993.0)</f>
        <v>2993</v>
      </c>
      <c r="S65" s="329">
        <f>IFERROR(__xludf.DUMMYFUNCTION("""COMPUTED_VALUE"""),0.0)</f>
        <v>0</v>
      </c>
      <c r="T65" s="329">
        <f>IFERROR(__xludf.DUMMYFUNCTION("""COMPUTED_VALUE"""),419.0)</f>
        <v>419</v>
      </c>
      <c r="U65" s="329">
        <f>IFERROR(__xludf.DUMMYFUNCTION("""COMPUTED_VALUE"""),273.0)</f>
        <v>273</v>
      </c>
      <c r="V65" s="329">
        <f>IFERROR(__xludf.DUMMYFUNCTION("""COMPUTED_VALUE"""),266.0)</f>
        <v>266</v>
      </c>
      <c r="W65" s="329">
        <f>IFERROR(__xludf.DUMMYFUNCTION("""COMPUTED_VALUE"""),33.0)</f>
        <v>33</v>
      </c>
      <c r="X65" s="329">
        <f>IFERROR(__xludf.DUMMYFUNCTION("""COMPUTED_VALUE"""),19.0)</f>
        <v>19</v>
      </c>
      <c r="Y65" s="329">
        <f>IFERROR(__xludf.DUMMYFUNCTION("""COMPUTED_VALUE"""),6.0)</f>
        <v>6</v>
      </c>
      <c r="Z65" s="329">
        <f>IFERROR(__xludf.DUMMYFUNCTION("""COMPUTED_VALUE"""),1257.0)</f>
        <v>1257</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IFERROR(__xludf.DUMMYFUNCTION("""COMPUTED_VALUE"""),44146.0)</f>
        <v>44146</v>
      </c>
      <c r="B66" s="329">
        <f>IFERROR(__xludf.DUMMYFUNCTION("""COMPUTED_VALUE"""),1096.0)</f>
        <v>1096</v>
      </c>
      <c r="C66" s="329">
        <f>IFERROR(__xludf.DUMMYFUNCTION("""COMPUTED_VALUE"""),988.0)</f>
        <v>988</v>
      </c>
      <c r="D66" s="329">
        <f>IFERROR(__xludf.DUMMYFUNCTION("""COMPUTED_VALUE"""),52743.0)</f>
        <v>52743</v>
      </c>
      <c r="E66" s="329">
        <f>IFERROR(__xludf.DUMMYFUNCTION("""COMPUTED_VALUE"""),19821.0)</f>
        <v>19821</v>
      </c>
      <c r="F66" s="258">
        <f>IFERROR(__xludf.DUMMYFUNCTION("""COMPUTED_VALUE"""),1247847.0)</f>
        <v>1247847</v>
      </c>
      <c r="G66" s="258">
        <f>IFERROR(__xludf.DUMMYFUNCTION("""COMPUTED_VALUE"""),20917.0)</f>
        <v>20917</v>
      </c>
      <c r="H66" s="258">
        <f>IFERROR(__xludf.DUMMYFUNCTION("""COMPUTED_VALUE"""),1300590.0)</f>
        <v>1300590</v>
      </c>
      <c r="I66" s="329">
        <f>IFERROR(__xludf.DUMMYFUNCTION("""COMPUTED_VALUE"""),1004.0)</f>
        <v>1004</v>
      </c>
      <c r="J66" s="329">
        <f>IFERROR(__xludf.DUMMYFUNCTION("""COMPUTED_VALUE"""),916.0)</f>
        <v>916</v>
      </c>
      <c r="K66" s="329">
        <f>IFERROR(__xludf.DUMMYFUNCTION("""COMPUTED_VALUE"""),40862.0)</f>
        <v>40862</v>
      </c>
      <c r="L66" s="329">
        <f>IFERROR(__xludf.DUMMYFUNCTION("""COMPUTED_VALUE"""),2475.0)</f>
        <v>2475</v>
      </c>
      <c r="M66" s="329">
        <f>IFERROR(__xludf.DUMMYFUNCTION("""COMPUTED_VALUE"""),391036.0)</f>
        <v>391036</v>
      </c>
      <c r="N66" s="329">
        <f>IFERROR(__xludf.DUMMYFUNCTION("""COMPUTED_VALUE"""),431898.0)</f>
        <v>431898</v>
      </c>
      <c r="O66" s="329">
        <f>IFERROR(__xludf.DUMMYFUNCTION("""COMPUTED_VALUE"""),41.0)</f>
        <v>41</v>
      </c>
      <c r="P66" s="329">
        <f>IFERROR(__xludf.DUMMYFUNCTION("""COMPUTED_VALUE"""),3726.0)</f>
        <v>3726</v>
      </c>
      <c r="Q66" s="329">
        <f>IFERROR(__xludf.DUMMYFUNCTION("""COMPUTED_VALUE"""),24.0)</f>
        <v>24</v>
      </c>
      <c r="R66" s="329">
        <f>IFERROR(__xludf.DUMMYFUNCTION("""COMPUTED_VALUE"""),3017.0)</f>
        <v>3017</v>
      </c>
      <c r="S66" s="329">
        <f>IFERROR(__xludf.DUMMYFUNCTION("""COMPUTED_VALUE"""),5.0)</f>
        <v>5</v>
      </c>
      <c r="T66" s="329">
        <f>IFERROR(__xludf.DUMMYFUNCTION("""COMPUTED_VALUE"""),424.0)</f>
        <v>424</v>
      </c>
      <c r="U66" s="329">
        <f>IFERROR(__xludf.DUMMYFUNCTION("""COMPUTED_VALUE"""),285.0)</f>
        <v>285</v>
      </c>
      <c r="V66" s="329">
        <f>IFERROR(__xludf.DUMMYFUNCTION("""COMPUTED_VALUE"""),274.0)</f>
        <v>274</v>
      </c>
      <c r="W66" s="329">
        <f>IFERROR(__xludf.DUMMYFUNCTION("""COMPUTED_VALUE"""),32.0)</f>
        <v>32</v>
      </c>
      <c r="X66" s="329">
        <f>IFERROR(__xludf.DUMMYFUNCTION("""COMPUTED_VALUE"""),16.0)</f>
        <v>16</v>
      </c>
      <c r="Y66" s="329">
        <f>IFERROR(__xludf.DUMMYFUNCTION("""COMPUTED_VALUE"""),9.0)</f>
        <v>9</v>
      </c>
      <c r="Z66" s="329">
        <f>IFERROR(__xludf.DUMMYFUNCTION("""COMPUTED_VALUE"""),1266.0)</f>
        <v>1266</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IFERROR(__xludf.DUMMYFUNCTION("""COMPUTED_VALUE"""),44147.0)</f>
        <v>44147</v>
      </c>
      <c r="B67" s="329">
        <f>IFERROR(__xludf.DUMMYFUNCTION("""COMPUTED_VALUE"""),898.0)</f>
        <v>898</v>
      </c>
      <c r="C67" s="329">
        <f>IFERROR(__xludf.DUMMYFUNCTION("""COMPUTED_VALUE"""),1017.0)</f>
        <v>1017</v>
      </c>
      <c r="D67" s="329">
        <f>IFERROR(__xludf.DUMMYFUNCTION("""COMPUTED_VALUE"""),53641.0)</f>
        <v>53641</v>
      </c>
      <c r="E67" s="329">
        <f>IFERROR(__xludf.DUMMYFUNCTION("""COMPUTED_VALUE"""),13917.0)</f>
        <v>13917</v>
      </c>
      <c r="F67" s="258">
        <f>IFERROR(__xludf.DUMMYFUNCTION("""COMPUTED_VALUE"""),1261764.0)</f>
        <v>1261764</v>
      </c>
      <c r="G67" s="258">
        <f>IFERROR(__xludf.DUMMYFUNCTION("""COMPUTED_VALUE"""),14815.0)</f>
        <v>14815</v>
      </c>
      <c r="H67" s="258">
        <f>IFERROR(__xludf.DUMMYFUNCTION("""COMPUTED_VALUE"""),1315405.0)</f>
        <v>1315405</v>
      </c>
      <c r="I67" s="329">
        <f>IFERROR(__xludf.DUMMYFUNCTION("""COMPUTED_VALUE"""),812.0)</f>
        <v>812</v>
      </c>
      <c r="J67" s="329">
        <f>IFERROR(__xludf.DUMMYFUNCTION("""COMPUTED_VALUE"""),932.0)</f>
        <v>932</v>
      </c>
      <c r="K67" s="329">
        <f>IFERROR(__xludf.DUMMYFUNCTION("""COMPUTED_VALUE"""),41674.0)</f>
        <v>41674</v>
      </c>
      <c r="L67" s="329">
        <f>IFERROR(__xludf.DUMMYFUNCTION("""COMPUTED_VALUE"""),2054.0)</f>
        <v>2054</v>
      </c>
      <c r="M67" s="329">
        <f>IFERROR(__xludf.DUMMYFUNCTION("""COMPUTED_VALUE"""),393090.0)</f>
        <v>393090</v>
      </c>
      <c r="N67" s="329">
        <f>IFERROR(__xludf.DUMMYFUNCTION("""COMPUTED_VALUE"""),434764.0)</f>
        <v>434764</v>
      </c>
      <c r="O67" s="329">
        <f>IFERROR(__xludf.DUMMYFUNCTION("""COMPUTED_VALUE"""),39.0)</f>
        <v>39</v>
      </c>
      <c r="P67" s="329">
        <f>IFERROR(__xludf.DUMMYFUNCTION("""COMPUTED_VALUE"""),3765.0)</f>
        <v>3765</v>
      </c>
      <c r="Q67" s="329">
        <f>IFERROR(__xludf.DUMMYFUNCTION("""COMPUTED_VALUE"""),31.0)</f>
        <v>31</v>
      </c>
      <c r="R67" s="329">
        <f>IFERROR(__xludf.DUMMYFUNCTION("""COMPUTED_VALUE"""),3048.0)</f>
        <v>3048</v>
      </c>
      <c r="S67" s="329">
        <f>IFERROR(__xludf.DUMMYFUNCTION("""COMPUTED_VALUE"""),3.0)</f>
        <v>3</v>
      </c>
      <c r="T67" s="329">
        <f>IFERROR(__xludf.DUMMYFUNCTION("""COMPUTED_VALUE"""),427.0)</f>
        <v>427</v>
      </c>
      <c r="U67" s="329">
        <f>IFERROR(__xludf.DUMMYFUNCTION("""COMPUTED_VALUE"""),290.0)</f>
        <v>290</v>
      </c>
      <c r="V67" s="329">
        <f>IFERROR(__xludf.DUMMYFUNCTION("""COMPUTED_VALUE"""),283.0)</f>
        <v>283</v>
      </c>
      <c r="W67" s="329">
        <f>IFERROR(__xludf.DUMMYFUNCTION("""COMPUTED_VALUE"""),30.0)</f>
        <v>30</v>
      </c>
      <c r="X67" s="329">
        <f>IFERROR(__xludf.DUMMYFUNCTION("""COMPUTED_VALUE"""),16.0)</f>
        <v>16</v>
      </c>
      <c r="Y67" s="329">
        <f>IFERROR(__xludf.DUMMYFUNCTION("""COMPUTED_VALUE"""),5.0)</f>
        <v>5</v>
      </c>
      <c r="Z67" s="329">
        <f>IFERROR(__xludf.DUMMYFUNCTION("""COMPUTED_VALUE"""),1271.0)</f>
        <v>1271</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IFERROR(__xludf.DUMMYFUNCTION("""COMPUTED_VALUE"""),44148.0)</f>
        <v>44148</v>
      </c>
      <c r="B68" s="329">
        <f>IFERROR(__xludf.DUMMYFUNCTION("""COMPUTED_VALUE"""),1190.0)</f>
        <v>1190</v>
      </c>
      <c r="C68" s="329">
        <f>IFERROR(__xludf.DUMMYFUNCTION("""COMPUTED_VALUE"""),1061.0)</f>
        <v>1061</v>
      </c>
      <c r="D68" s="329">
        <f>IFERROR(__xludf.DUMMYFUNCTION("""COMPUTED_VALUE"""),54831.0)</f>
        <v>54831</v>
      </c>
      <c r="E68" s="329">
        <f>IFERROR(__xludf.DUMMYFUNCTION("""COMPUTED_VALUE"""),16393.0)</f>
        <v>16393</v>
      </c>
      <c r="F68" s="258">
        <f>IFERROR(__xludf.DUMMYFUNCTION("""COMPUTED_VALUE"""),1278157.0)</f>
        <v>1278157</v>
      </c>
      <c r="G68" s="258">
        <f>IFERROR(__xludf.DUMMYFUNCTION("""COMPUTED_VALUE"""),17583.0)</f>
        <v>17583</v>
      </c>
      <c r="H68" s="258">
        <f>IFERROR(__xludf.DUMMYFUNCTION("""COMPUTED_VALUE"""),1332988.0)</f>
        <v>1332988</v>
      </c>
      <c r="I68" s="329">
        <f>IFERROR(__xludf.DUMMYFUNCTION("""COMPUTED_VALUE"""),1113.0)</f>
        <v>1113</v>
      </c>
      <c r="J68" s="329">
        <f>IFERROR(__xludf.DUMMYFUNCTION("""COMPUTED_VALUE"""),976.0)</f>
        <v>976</v>
      </c>
      <c r="K68" s="329">
        <f>IFERROR(__xludf.DUMMYFUNCTION("""COMPUTED_VALUE"""),42787.0)</f>
        <v>42787</v>
      </c>
      <c r="L68" s="329">
        <f>IFERROR(__xludf.DUMMYFUNCTION("""COMPUTED_VALUE"""),2869.0)</f>
        <v>2869</v>
      </c>
      <c r="M68" s="329">
        <f>IFERROR(__xludf.DUMMYFUNCTION("""COMPUTED_VALUE"""),395959.0)</f>
        <v>395959</v>
      </c>
      <c r="N68" s="329">
        <f>IFERROR(__xludf.DUMMYFUNCTION("""COMPUTED_VALUE"""),438746.0)</f>
        <v>438746</v>
      </c>
      <c r="O68" s="329">
        <f>IFERROR(__xludf.DUMMYFUNCTION("""COMPUTED_VALUE"""),41.0)</f>
        <v>41</v>
      </c>
      <c r="P68" s="329">
        <f>IFERROR(__xludf.DUMMYFUNCTION("""COMPUTED_VALUE"""),3806.0)</f>
        <v>3806</v>
      </c>
      <c r="Q68" s="329">
        <f>IFERROR(__xludf.DUMMYFUNCTION("""COMPUTED_VALUE"""),31.0)</f>
        <v>31</v>
      </c>
      <c r="R68" s="329">
        <f>IFERROR(__xludf.DUMMYFUNCTION("""COMPUTED_VALUE"""),3079.0)</f>
        <v>3079</v>
      </c>
      <c r="S68" s="329">
        <f>IFERROR(__xludf.DUMMYFUNCTION("""COMPUTED_VALUE"""),0.0)</f>
        <v>0</v>
      </c>
      <c r="T68" s="329">
        <f>IFERROR(__xludf.DUMMYFUNCTION("""COMPUTED_VALUE"""),427.0)</f>
        <v>427</v>
      </c>
      <c r="U68" s="329">
        <f>IFERROR(__xludf.DUMMYFUNCTION("""COMPUTED_VALUE"""),300.0)</f>
        <v>300</v>
      </c>
      <c r="V68" s="329">
        <f>IFERROR(__xludf.DUMMYFUNCTION("""COMPUTED_VALUE"""),292.0)</f>
        <v>292</v>
      </c>
      <c r="W68" s="329">
        <f>IFERROR(__xludf.DUMMYFUNCTION("""COMPUTED_VALUE"""),29.0)</f>
        <v>29</v>
      </c>
      <c r="X68" s="329">
        <f>IFERROR(__xludf.DUMMYFUNCTION("""COMPUTED_VALUE"""),16.0)</f>
        <v>16</v>
      </c>
      <c r="Y68" s="329">
        <f>IFERROR(__xludf.DUMMYFUNCTION("""COMPUTED_VALUE"""),2.0)</f>
        <v>2</v>
      </c>
      <c r="Z68" s="329">
        <f>IFERROR(__xludf.DUMMYFUNCTION("""COMPUTED_VALUE"""),1273.0)</f>
        <v>1273</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IFERROR(__xludf.DUMMYFUNCTION("""COMPUTED_VALUE"""),44149.0)</f>
        <v>44149</v>
      </c>
      <c r="B69" s="329">
        <f>IFERROR(__xludf.DUMMYFUNCTION("""COMPUTED_VALUE"""),802.0)</f>
        <v>802</v>
      </c>
      <c r="C69" s="329">
        <f>IFERROR(__xludf.DUMMYFUNCTION("""COMPUTED_VALUE"""),963.0)</f>
        <v>963</v>
      </c>
      <c r="D69" s="329">
        <f>IFERROR(__xludf.DUMMYFUNCTION("""COMPUTED_VALUE"""),55633.0)</f>
        <v>55633</v>
      </c>
      <c r="E69" s="329">
        <f>IFERROR(__xludf.DUMMYFUNCTION("""COMPUTED_VALUE"""),13527.0)</f>
        <v>13527</v>
      </c>
      <c r="F69" s="258">
        <f>IFERROR(__xludf.DUMMYFUNCTION("""COMPUTED_VALUE"""),1291684.0)</f>
        <v>1291684</v>
      </c>
      <c r="G69" s="258">
        <f>IFERROR(__xludf.DUMMYFUNCTION("""COMPUTED_VALUE"""),14329.0)</f>
        <v>14329</v>
      </c>
      <c r="H69" s="258">
        <f>IFERROR(__xludf.DUMMYFUNCTION("""COMPUTED_VALUE"""),1347317.0)</f>
        <v>1347317</v>
      </c>
      <c r="I69" s="329">
        <f>IFERROR(__xludf.DUMMYFUNCTION("""COMPUTED_VALUE"""),738.0)</f>
        <v>738</v>
      </c>
      <c r="J69" s="329">
        <f>IFERROR(__xludf.DUMMYFUNCTION("""COMPUTED_VALUE"""),888.0)</f>
        <v>888</v>
      </c>
      <c r="K69" s="329">
        <f>IFERROR(__xludf.DUMMYFUNCTION("""COMPUTED_VALUE"""),43525.0)</f>
        <v>43525</v>
      </c>
      <c r="L69" s="329">
        <f>IFERROR(__xludf.DUMMYFUNCTION("""COMPUTED_VALUE"""),2302.0)</f>
        <v>2302</v>
      </c>
      <c r="M69" s="329">
        <f>IFERROR(__xludf.DUMMYFUNCTION("""COMPUTED_VALUE"""),398261.0)</f>
        <v>398261</v>
      </c>
      <c r="N69" s="329">
        <f>IFERROR(__xludf.DUMMYFUNCTION("""COMPUTED_VALUE"""),441786.0)</f>
        <v>441786</v>
      </c>
      <c r="O69" s="329">
        <f>IFERROR(__xludf.DUMMYFUNCTION("""COMPUTED_VALUE"""),41.0)</f>
        <v>41</v>
      </c>
      <c r="P69" s="329">
        <f>IFERROR(__xludf.DUMMYFUNCTION("""COMPUTED_VALUE"""),3847.0)</f>
        <v>3847</v>
      </c>
      <c r="Q69" s="329">
        <f>IFERROR(__xludf.DUMMYFUNCTION("""COMPUTED_VALUE"""),25.0)</f>
        <v>25</v>
      </c>
      <c r="R69" s="329">
        <f>IFERROR(__xludf.DUMMYFUNCTION("""COMPUTED_VALUE"""),3104.0)</f>
        <v>3104</v>
      </c>
      <c r="S69" s="329">
        <f>IFERROR(__xludf.DUMMYFUNCTION("""COMPUTED_VALUE"""),5.0)</f>
        <v>5</v>
      </c>
      <c r="T69" s="329">
        <f>IFERROR(__xludf.DUMMYFUNCTION("""COMPUTED_VALUE"""),432.0)</f>
        <v>432</v>
      </c>
      <c r="U69" s="329">
        <f>IFERROR(__xludf.DUMMYFUNCTION("""COMPUTED_VALUE"""),311.0)</f>
        <v>311</v>
      </c>
      <c r="V69" s="329">
        <f>IFERROR(__xludf.DUMMYFUNCTION("""COMPUTED_VALUE"""),300.0)</f>
        <v>300</v>
      </c>
      <c r="W69" s="329">
        <f>IFERROR(__xludf.DUMMYFUNCTION("""COMPUTED_VALUE"""),27.0)</f>
        <v>27</v>
      </c>
      <c r="X69" s="329">
        <f>IFERROR(__xludf.DUMMYFUNCTION("""COMPUTED_VALUE"""),14.0)</f>
        <v>14</v>
      </c>
      <c r="Y69" s="329">
        <f>IFERROR(__xludf.DUMMYFUNCTION("""COMPUTED_VALUE"""),10.0)</f>
        <v>10</v>
      </c>
      <c r="Z69" s="329">
        <f>IFERROR(__xludf.DUMMYFUNCTION("""COMPUTED_VALUE"""),1283.0)</f>
        <v>1283</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IFERROR(__xludf.DUMMYFUNCTION("""COMPUTED_VALUE"""),44150.0)</f>
        <v>44150</v>
      </c>
      <c r="B70" s="329">
        <f>IFERROR(__xludf.DUMMYFUNCTION("""COMPUTED_VALUE"""),584.0)</f>
        <v>584</v>
      </c>
      <c r="C70" s="329">
        <f>IFERROR(__xludf.DUMMYFUNCTION("""COMPUTED_VALUE"""),859.0)</f>
        <v>859</v>
      </c>
      <c r="D70" s="329">
        <f>IFERROR(__xludf.DUMMYFUNCTION("""COMPUTED_VALUE"""),56217.0)</f>
        <v>56217</v>
      </c>
      <c r="E70" s="329">
        <f>IFERROR(__xludf.DUMMYFUNCTION("""COMPUTED_VALUE"""),6178.0)</f>
        <v>6178</v>
      </c>
      <c r="F70" s="258">
        <f>IFERROR(__xludf.DUMMYFUNCTION("""COMPUTED_VALUE"""),1297862.0)</f>
        <v>1297862</v>
      </c>
      <c r="G70" s="258">
        <f>IFERROR(__xludf.DUMMYFUNCTION("""COMPUTED_VALUE"""),6762.0)</f>
        <v>6762</v>
      </c>
      <c r="H70" s="258">
        <f>IFERROR(__xludf.DUMMYFUNCTION("""COMPUTED_VALUE"""),1354079.0)</f>
        <v>1354079</v>
      </c>
      <c r="I70" s="329">
        <f>IFERROR(__xludf.DUMMYFUNCTION("""COMPUTED_VALUE"""),499.0)</f>
        <v>499</v>
      </c>
      <c r="J70" s="329">
        <f>IFERROR(__xludf.DUMMYFUNCTION("""COMPUTED_VALUE"""),783.0)</f>
        <v>783</v>
      </c>
      <c r="K70" s="329">
        <f>IFERROR(__xludf.DUMMYFUNCTION("""COMPUTED_VALUE"""),44024.0)</f>
        <v>44024</v>
      </c>
      <c r="L70" s="329">
        <f>IFERROR(__xludf.DUMMYFUNCTION("""COMPUTED_VALUE"""),1331.0)</f>
        <v>1331</v>
      </c>
      <c r="M70" s="329">
        <f>IFERROR(__xludf.DUMMYFUNCTION("""COMPUTED_VALUE"""),399592.0)</f>
        <v>399592</v>
      </c>
      <c r="N70" s="329">
        <f>IFERROR(__xludf.DUMMYFUNCTION("""COMPUTED_VALUE"""),443616.0)</f>
        <v>443616</v>
      </c>
      <c r="O70" s="329">
        <f>IFERROR(__xludf.DUMMYFUNCTION("""COMPUTED_VALUE"""),47.0)</f>
        <v>47</v>
      </c>
      <c r="P70" s="329">
        <f>IFERROR(__xludf.DUMMYFUNCTION("""COMPUTED_VALUE"""),3894.0)</f>
        <v>3894</v>
      </c>
      <c r="Q70" s="329">
        <f>IFERROR(__xludf.DUMMYFUNCTION("""COMPUTED_VALUE"""),20.0)</f>
        <v>20</v>
      </c>
      <c r="R70" s="329">
        <f>IFERROR(__xludf.DUMMYFUNCTION("""COMPUTED_VALUE"""),3124.0)</f>
        <v>3124</v>
      </c>
      <c r="S70" s="329">
        <f>IFERROR(__xludf.DUMMYFUNCTION("""COMPUTED_VALUE"""),5.0)</f>
        <v>5</v>
      </c>
      <c r="T70" s="329">
        <f>IFERROR(__xludf.DUMMYFUNCTION("""COMPUTED_VALUE"""),437.0)</f>
        <v>437</v>
      </c>
      <c r="U70" s="329">
        <f>IFERROR(__xludf.DUMMYFUNCTION("""COMPUTED_VALUE"""),333.0)</f>
        <v>333</v>
      </c>
      <c r="V70" s="329">
        <f>IFERROR(__xludf.DUMMYFUNCTION("""COMPUTED_VALUE"""),315.0)</f>
        <v>315</v>
      </c>
      <c r="W70" s="329">
        <f>IFERROR(__xludf.DUMMYFUNCTION("""COMPUTED_VALUE"""),30.0)</f>
        <v>30</v>
      </c>
      <c r="X70" s="329">
        <f>IFERROR(__xludf.DUMMYFUNCTION("""COMPUTED_VALUE"""),12.0)</f>
        <v>12</v>
      </c>
      <c r="Y70" s="329">
        <f>IFERROR(__xludf.DUMMYFUNCTION("""COMPUTED_VALUE"""),8.0)</f>
        <v>8</v>
      </c>
      <c r="Z70" s="329">
        <f>IFERROR(__xludf.DUMMYFUNCTION("""COMPUTED_VALUE"""),1291.0)</f>
        <v>1291</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IFERROR(__xludf.DUMMYFUNCTION("""COMPUTED_VALUE"""),44151.0)</f>
        <v>44151</v>
      </c>
      <c r="B71" s="329">
        <f>IFERROR(__xludf.DUMMYFUNCTION("""COMPUTED_VALUE"""),748.0)</f>
        <v>748</v>
      </c>
      <c r="C71" s="329">
        <f>IFERROR(__xludf.DUMMYFUNCTION("""COMPUTED_VALUE"""),711.0)</f>
        <v>711</v>
      </c>
      <c r="D71" s="329">
        <f>IFERROR(__xludf.DUMMYFUNCTION("""COMPUTED_VALUE"""),56965.0)</f>
        <v>56965</v>
      </c>
      <c r="E71" s="329">
        <f>IFERROR(__xludf.DUMMYFUNCTION("""COMPUTED_VALUE"""),9650.0)</f>
        <v>9650</v>
      </c>
      <c r="F71" s="258">
        <f>IFERROR(__xludf.DUMMYFUNCTION("""COMPUTED_VALUE"""),1307512.0)</f>
        <v>1307512</v>
      </c>
      <c r="G71" s="258">
        <f>IFERROR(__xludf.DUMMYFUNCTION("""COMPUTED_VALUE"""),10398.0)</f>
        <v>10398</v>
      </c>
      <c r="H71" s="258">
        <f>IFERROR(__xludf.DUMMYFUNCTION("""COMPUTED_VALUE"""),1364477.0)</f>
        <v>1364477</v>
      </c>
      <c r="I71" s="329">
        <f>IFERROR(__xludf.DUMMYFUNCTION("""COMPUTED_VALUE"""),672.0)</f>
        <v>672</v>
      </c>
      <c r="J71" s="329">
        <f>IFERROR(__xludf.DUMMYFUNCTION("""COMPUTED_VALUE"""),636.0)</f>
        <v>636</v>
      </c>
      <c r="K71" s="329">
        <f>IFERROR(__xludf.DUMMYFUNCTION("""COMPUTED_VALUE"""),44696.0)</f>
        <v>44696</v>
      </c>
      <c r="L71" s="329">
        <f>IFERROR(__xludf.DUMMYFUNCTION("""COMPUTED_VALUE"""),2472.0)</f>
        <v>2472</v>
      </c>
      <c r="M71" s="329">
        <f>IFERROR(__xludf.DUMMYFUNCTION("""COMPUTED_VALUE"""),402064.0)</f>
        <v>402064</v>
      </c>
      <c r="N71" s="329">
        <f>IFERROR(__xludf.DUMMYFUNCTION("""COMPUTED_VALUE"""),446760.0)</f>
        <v>446760</v>
      </c>
      <c r="O71" s="329">
        <f>IFERROR(__xludf.DUMMYFUNCTION("""COMPUTED_VALUE"""),56.0)</f>
        <v>56</v>
      </c>
      <c r="P71" s="329">
        <f>IFERROR(__xludf.DUMMYFUNCTION("""COMPUTED_VALUE"""),3950.0)</f>
        <v>3950</v>
      </c>
      <c r="Q71" s="329">
        <f>IFERROR(__xludf.DUMMYFUNCTION("""COMPUTED_VALUE"""),39.0)</f>
        <v>39</v>
      </c>
      <c r="R71" s="329">
        <f>IFERROR(__xludf.DUMMYFUNCTION("""COMPUTED_VALUE"""),3163.0)</f>
        <v>3163</v>
      </c>
      <c r="S71" s="329">
        <f>IFERROR(__xludf.DUMMYFUNCTION("""COMPUTED_VALUE"""),3.0)</f>
        <v>3</v>
      </c>
      <c r="T71" s="329">
        <f>IFERROR(__xludf.DUMMYFUNCTION("""COMPUTED_VALUE"""),440.0)</f>
        <v>440</v>
      </c>
      <c r="U71" s="329">
        <f>IFERROR(__xludf.DUMMYFUNCTION("""COMPUTED_VALUE"""),347.0)</f>
        <v>347</v>
      </c>
      <c r="V71" s="329">
        <f>IFERROR(__xludf.DUMMYFUNCTION("""COMPUTED_VALUE"""),330.0)</f>
        <v>330</v>
      </c>
      <c r="W71" s="329">
        <f>IFERROR(__xludf.DUMMYFUNCTION("""COMPUTED_VALUE"""),28.0)</f>
        <v>28</v>
      </c>
      <c r="X71" s="329">
        <f>IFERROR(__xludf.DUMMYFUNCTION("""COMPUTED_VALUE"""),14.0)</f>
        <v>14</v>
      </c>
      <c r="Y71" s="329">
        <f>IFERROR(__xludf.DUMMYFUNCTION("""COMPUTED_VALUE"""),6.0)</f>
        <v>6</v>
      </c>
      <c r="Z71" s="329">
        <f>IFERROR(__xludf.DUMMYFUNCTION("""COMPUTED_VALUE"""),1297.0)</f>
        <v>1297</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IFERROR(__xludf.DUMMYFUNCTION("""COMPUTED_VALUE"""),44152.0)</f>
        <v>44152</v>
      </c>
      <c r="B72" s="329">
        <f>IFERROR(__xludf.DUMMYFUNCTION("""COMPUTED_VALUE"""),1569.0)</f>
        <v>1569</v>
      </c>
      <c r="C72" s="329">
        <f>IFERROR(__xludf.DUMMYFUNCTION("""COMPUTED_VALUE"""),967.0)</f>
        <v>967</v>
      </c>
      <c r="D72" s="329">
        <f>IFERROR(__xludf.DUMMYFUNCTION("""COMPUTED_VALUE"""),58534.0)</f>
        <v>58534</v>
      </c>
      <c r="E72" s="329">
        <f>IFERROR(__xludf.DUMMYFUNCTION("""COMPUTED_VALUE"""),18179.0)</f>
        <v>18179</v>
      </c>
      <c r="F72" s="258">
        <f>IFERROR(__xludf.DUMMYFUNCTION("""COMPUTED_VALUE"""),1325691.0)</f>
        <v>1325691</v>
      </c>
      <c r="G72" s="258">
        <f>IFERROR(__xludf.DUMMYFUNCTION("""COMPUTED_VALUE"""),19748.0)</f>
        <v>19748</v>
      </c>
      <c r="H72" s="258">
        <f>IFERROR(__xludf.DUMMYFUNCTION("""COMPUTED_VALUE"""),1384225.0)</f>
        <v>1384225</v>
      </c>
      <c r="I72" s="329">
        <f>IFERROR(__xludf.DUMMYFUNCTION("""COMPUTED_VALUE"""),1399.0)</f>
        <v>1399</v>
      </c>
      <c r="J72" s="329">
        <f>IFERROR(__xludf.DUMMYFUNCTION("""COMPUTED_VALUE"""),857.0)</f>
        <v>857</v>
      </c>
      <c r="K72" s="329">
        <f>IFERROR(__xludf.DUMMYFUNCTION("""COMPUTED_VALUE"""),46095.0)</f>
        <v>46095</v>
      </c>
      <c r="L72" s="329">
        <f>IFERROR(__xludf.DUMMYFUNCTION("""COMPUTED_VALUE"""),3849.0)</f>
        <v>3849</v>
      </c>
      <c r="M72" s="329">
        <f>IFERROR(__xludf.DUMMYFUNCTION("""COMPUTED_VALUE"""),405913.0)</f>
        <v>405913</v>
      </c>
      <c r="N72" s="329">
        <f>IFERROR(__xludf.DUMMYFUNCTION("""COMPUTED_VALUE"""),452008.0)</f>
        <v>452008</v>
      </c>
      <c r="O72" s="329">
        <f>IFERROR(__xludf.DUMMYFUNCTION("""COMPUTED_VALUE"""),58.0)</f>
        <v>58</v>
      </c>
      <c r="P72" s="329">
        <f>IFERROR(__xludf.DUMMYFUNCTION("""COMPUTED_VALUE"""),4008.0)</f>
        <v>4008</v>
      </c>
      <c r="Q72" s="329">
        <f>IFERROR(__xludf.DUMMYFUNCTION("""COMPUTED_VALUE"""),44.0)</f>
        <v>44</v>
      </c>
      <c r="R72" s="329">
        <f>IFERROR(__xludf.DUMMYFUNCTION("""COMPUTED_VALUE"""),3207.0)</f>
        <v>3207</v>
      </c>
      <c r="S72" s="329">
        <f>IFERROR(__xludf.DUMMYFUNCTION("""COMPUTED_VALUE"""),2.0)</f>
        <v>2</v>
      </c>
      <c r="T72" s="329">
        <f>IFERROR(__xludf.DUMMYFUNCTION("""COMPUTED_VALUE"""),442.0)</f>
        <v>442</v>
      </c>
      <c r="U72" s="329">
        <f>IFERROR(__xludf.DUMMYFUNCTION("""COMPUTED_VALUE"""),359.0)</f>
        <v>359</v>
      </c>
      <c r="V72" s="329">
        <f>IFERROR(__xludf.DUMMYFUNCTION("""COMPUTED_VALUE"""),346.0)</f>
        <v>346</v>
      </c>
      <c r="W72" s="329">
        <f>IFERROR(__xludf.DUMMYFUNCTION("""COMPUTED_VALUE"""),32.0)</f>
        <v>32</v>
      </c>
      <c r="X72" s="329">
        <f>IFERROR(__xludf.DUMMYFUNCTION("""COMPUTED_VALUE"""),14.0)</f>
        <v>14</v>
      </c>
      <c r="Y72" s="329">
        <f>IFERROR(__xludf.DUMMYFUNCTION("""COMPUTED_VALUE"""),5.0)</f>
        <v>5</v>
      </c>
      <c r="Z72" s="329">
        <f>IFERROR(__xludf.DUMMYFUNCTION("""COMPUTED_VALUE"""),1302.0)</f>
        <v>1302</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IFERROR(__xludf.DUMMYFUNCTION("""COMPUTED_VALUE"""),44153.0)</f>
        <v>44153</v>
      </c>
      <c r="B73" s="329">
        <f>IFERROR(__xludf.DUMMYFUNCTION("""COMPUTED_VALUE"""),1146.0)</f>
        <v>1146</v>
      </c>
      <c r="C73" s="329">
        <f>IFERROR(__xludf.DUMMYFUNCTION("""COMPUTED_VALUE"""),1154.0)</f>
        <v>1154</v>
      </c>
      <c r="D73" s="329">
        <f>IFERROR(__xludf.DUMMYFUNCTION("""COMPUTED_VALUE"""),59680.0)</f>
        <v>59680</v>
      </c>
      <c r="E73" s="329">
        <f>IFERROR(__xludf.DUMMYFUNCTION("""COMPUTED_VALUE"""),16079.0)</f>
        <v>16079</v>
      </c>
      <c r="F73" s="258">
        <f>IFERROR(__xludf.DUMMYFUNCTION("""COMPUTED_VALUE"""),1341770.0)</f>
        <v>1341770</v>
      </c>
      <c r="G73" s="258">
        <f>IFERROR(__xludf.DUMMYFUNCTION("""COMPUTED_VALUE"""),17225.0)</f>
        <v>17225</v>
      </c>
      <c r="H73" s="258">
        <f>IFERROR(__xludf.DUMMYFUNCTION("""COMPUTED_VALUE"""),1401450.0)</f>
        <v>1401450</v>
      </c>
      <c r="I73" s="329">
        <f>IFERROR(__xludf.DUMMYFUNCTION("""COMPUTED_VALUE"""),1021.0)</f>
        <v>1021</v>
      </c>
      <c r="J73" s="329">
        <f>IFERROR(__xludf.DUMMYFUNCTION("""COMPUTED_VALUE"""),1031.0)</f>
        <v>1031</v>
      </c>
      <c r="K73" s="329">
        <f>IFERROR(__xludf.DUMMYFUNCTION("""COMPUTED_VALUE"""),47116.0)</f>
        <v>47116</v>
      </c>
      <c r="L73" s="329">
        <f>IFERROR(__xludf.DUMMYFUNCTION("""COMPUTED_VALUE"""),2995.0)</f>
        <v>2995</v>
      </c>
      <c r="M73" s="329">
        <f>IFERROR(__xludf.DUMMYFUNCTION("""COMPUTED_VALUE"""),408908.0)</f>
        <v>408908</v>
      </c>
      <c r="N73" s="329">
        <f>IFERROR(__xludf.DUMMYFUNCTION("""COMPUTED_VALUE"""),456024.0)</f>
        <v>456024</v>
      </c>
      <c r="O73" s="329">
        <f>IFERROR(__xludf.DUMMYFUNCTION("""COMPUTED_VALUE"""),39.0)</f>
        <v>39</v>
      </c>
      <c r="P73" s="329">
        <f>IFERROR(__xludf.DUMMYFUNCTION("""COMPUTED_VALUE"""),4047.0)</f>
        <v>4047</v>
      </c>
      <c r="Q73" s="329">
        <f>IFERROR(__xludf.DUMMYFUNCTION("""COMPUTED_VALUE"""),38.0)</f>
        <v>38</v>
      </c>
      <c r="R73" s="329">
        <f>IFERROR(__xludf.DUMMYFUNCTION("""COMPUTED_VALUE"""),3245.0)</f>
        <v>3245</v>
      </c>
      <c r="S73" s="329">
        <f>IFERROR(__xludf.DUMMYFUNCTION("""COMPUTED_VALUE"""),5.0)</f>
        <v>5</v>
      </c>
      <c r="T73" s="329">
        <f>IFERROR(__xludf.DUMMYFUNCTION("""COMPUTED_VALUE"""),447.0)</f>
        <v>447</v>
      </c>
      <c r="U73" s="329">
        <f>IFERROR(__xludf.DUMMYFUNCTION("""COMPUTED_VALUE"""),355.0)</f>
        <v>355</v>
      </c>
      <c r="V73" s="329">
        <f>IFERROR(__xludf.DUMMYFUNCTION("""COMPUTED_VALUE"""),354.0)</f>
        <v>354</v>
      </c>
      <c r="W73" s="329">
        <f>IFERROR(__xludf.DUMMYFUNCTION("""COMPUTED_VALUE"""),31.0)</f>
        <v>31</v>
      </c>
      <c r="X73" s="329">
        <f>IFERROR(__xludf.DUMMYFUNCTION("""COMPUTED_VALUE"""),16.0)</f>
        <v>16</v>
      </c>
      <c r="Y73" s="329">
        <f>IFERROR(__xludf.DUMMYFUNCTION("""COMPUTED_VALUE"""),7.0)</f>
        <v>7</v>
      </c>
      <c r="Z73" s="329">
        <f>IFERROR(__xludf.DUMMYFUNCTION("""COMPUTED_VALUE"""),1309.0)</f>
        <v>1309</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IFERROR(__xludf.DUMMYFUNCTION("""COMPUTED_VALUE"""),44154.0)</f>
        <v>44154</v>
      </c>
      <c r="B74" s="329">
        <f>IFERROR(__xludf.DUMMYFUNCTION("""COMPUTED_VALUE"""),1139.0)</f>
        <v>1139</v>
      </c>
      <c r="C74" s="329">
        <f>IFERROR(__xludf.DUMMYFUNCTION("""COMPUTED_VALUE"""),1285.0)</f>
        <v>1285</v>
      </c>
      <c r="D74" s="329">
        <f>IFERROR(__xludf.DUMMYFUNCTION("""COMPUTED_VALUE"""),60819.0)</f>
        <v>60819</v>
      </c>
      <c r="E74" s="329">
        <f>IFERROR(__xludf.DUMMYFUNCTION("""COMPUTED_VALUE"""),13186.0)</f>
        <v>13186</v>
      </c>
      <c r="F74" s="258">
        <f>IFERROR(__xludf.DUMMYFUNCTION("""COMPUTED_VALUE"""),1354956.0)</f>
        <v>1354956</v>
      </c>
      <c r="G74" s="258">
        <f>IFERROR(__xludf.DUMMYFUNCTION("""COMPUTED_VALUE"""),14325.0)</f>
        <v>14325</v>
      </c>
      <c r="H74" s="258">
        <f>IFERROR(__xludf.DUMMYFUNCTION("""COMPUTED_VALUE"""),1415775.0)</f>
        <v>1415775</v>
      </c>
      <c r="I74" s="329">
        <f>IFERROR(__xludf.DUMMYFUNCTION("""COMPUTED_VALUE"""),1034.0)</f>
        <v>1034</v>
      </c>
      <c r="J74" s="329">
        <f>IFERROR(__xludf.DUMMYFUNCTION("""COMPUTED_VALUE"""),1151.0)</f>
        <v>1151</v>
      </c>
      <c r="K74" s="329">
        <f>IFERROR(__xludf.DUMMYFUNCTION("""COMPUTED_VALUE"""),48150.0)</f>
        <v>48150</v>
      </c>
      <c r="L74" s="329">
        <f>IFERROR(__xludf.DUMMYFUNCTION("""COMPUTED_VALUE"""),3156.0)</f>
        <v>3156</v>
      </c>
      <c r="M74" s="329">
        <f>IFERROR(__xludf.DUMMYFUNCTION("""COMPUTED_VALUE"""),412064.0)</f>
        <v>412064</v>
      </c>
      <c r="N74" s="329">
        <f>IFERROR(__xludf.DUMMYFUNCTION("""COMPUTED_VALUE"""),460214.0)</f>
        <v>460214</v>
      </c>
      <c r="O74" s="329">
        <f>IFERROR(__xludf.DUMMYFUNCTION("""COMPUTED_VALUE"""),47.0)</f>
        <v>47</v>
      </c>
      <c r="P74" s="329">
        <f>IFERROR(__xludf.DUMMYFUNCTION("""COMPUTED_VALUE"""),4094.0)</f>
        <v>4094</v>
      </c>
      <c r="Q74" s="329">
        <f>IFERROR(__xludf.DUMMYFUNCTION("""COMPUTED_VALUE"""),42.0)</f>
        <v>42</v>
      </c>
      <c r="R74" s="329">
        <f>IFERROR(__xludf.DUMMYFUNCTION("""COMPUTED_VALUE"""),3287.0)</f>
        <v>3287</v>
      </c>
      <c r="S74" s="329">
        <f>IFERROR(__xludf.DUMMYFUNCTION("""COMPUTED_VALUE"""),4.0)</f>
        <v>4</v>
      </c>
      <c r="T74" s="329">
        <f>IFERROR(__xludf.DUMMYFUNCTION("""COMPUTED_VALUE"""),451.0)</f>
        <v>451</v>
      </c>
      <c r="U74" s="329">
        <f>IFERROR(__xludf.DUMMYFUNCTION("""COMPUTED_VALUE"""),356.0)</f>
        <v>356</v>
      </c>
      <c r="V74" s="329">
        <f>IFERROR(__xludf.DUMMYFUNCTION("""COMPUTED_VALUE"""),357.0)</f>
        <v>357</v>
      </c>
      <c r="W74" s="329">
        <f>IFERROR(__xludf.DUMMYFUNCTION("""COMPUTED_VALUE"""),32.0)</f>
        <v>32</v>
      </c>
      <c r="X74" s="329">
        <f>IFERROR(__xludf.DUMMYFUNCTION("""COMPUTED_VALUE"""),19.0)</f>
        <v>19</v>
      </c>
      <c r="Y74" s="329">
        <f>IFERROR(__xludf.DUMMYFUNCTION("""COMPUTED_VALUE"""),6.0)</f>
        <v>6</v>
      </c>
      <c r="Z74" s="329">
        <f>IFERROR(__xludf.DUMMYFUNCTION("""COMPUTED_VALUE"""),1315.0)</f>
        <v>1315</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IFERROR(__xludf.DUMMYFUNCTION("""COMPUTED_VALUE"""),44155.0)</f>
        <v>44155</v>
      </c>
      <c r="B75" s="329">
        <f>IFERROR(__xludf.DUMMYFUNCTION("""COMPUTED_VALUE"""),1463.0)</f>
        <v>1463</v>
      </c>
      <c r="C75" s="329">
        <f>IFERROR(__xludf.DUMMYFUNCTION("""COMPUTED_VALUE"""),1249.0)</f>
        <v>1249</v>
      </c>
      <c r="D75" s="329">
        <f>IFERROR(__xludf.DUMMYFUNCTION("""COMPUTED_VALUE"""),62282.0)</f>
        <v>62282</v>
      </c>
      <c r="E75" s="329">
        <f>IFERROR(__xludf.DUMMYFUNCTION("""COMPUTED_VALUE"""),22228.0)</f>
        <v>22228</v>
      </c>
      <c r="F75" s="258">
        <f>IFERROR(__xludf.DUMMYFUNCTION("""COMPUTED_VALUE"""),1377184.0)</f>
        <v>1377184</v>
      </c>
      <c r="G75" s="258">
        <f>IFERROR(__xludf.DUMMYFUNCTION("""COMPUTED_VALUE"""),23691.0)</f>
        <v>23691</v>
      </c>
      <c r="H75" s="258">
        <f>IFERROR(__xludf.DUMMYFUNCTION("""COMPUTED_VALUE"""),1439466.0)</f>
        <v>1439466</v>
      </c>
      <c r="I75" s="329">
        <f>IFERROR(__xludf.DUMMYFUNCTION("""COMPUTED_VALUE"""),1308.0)</f>
        <v>1308</v>
      </c>
      <c r="J75" s="329">
        <f>IFERROR(__xludf.DUMMYFUNCTION("""COMPUTED_VALUE"""),1121.0)</f>
        <v>1121</v>
      </c>
      <c r="K75" s="329">
        <f>IFERROR(__xludf.DUMMYFUNCTION("""COMPUTED_VALUE"""),49458.0)</f>
        <v>49458</v>
      </c>
      <c r="L75" s="329">
        <f>IFERROR(__xludf.DUMMYFUNCTION("""COMPUTED_VALUE"""),4059.0)</f>
        <v>4059</v>
      </c>
      <c r="M75" s="329">
        <f>IFERROR(__xludf.DUMMYFUNCTION("""COMPUTED_VALUE"""),416123.0)</f>
        <v>416123</v>
      </c>
      <c r="N75" s="329">
        <f>IFERROR(__xludf.DUMMYFUNCTION("""COMPUTED_VALUE"""),465581.0)</f>
        <v>465581</v>
      </c>
      <c r="O75" s="329">
        <f>IFERROR(__xludf.DUMMYFUNCTION("""COMPUTED_VALUE"""),48.0)</f>
        <v>48</v>
      </c>
      <c r="P75" s="329">
        <f>IFERROR(__xludf.DUMMYFUNCTION("""COMPUTED_VALUE"""),4142.0)</f>
        <v>4142</v>
      </c>
      <c r="Q75" s="329">
        <f>IFERROR(__xludf.DUMMYFUNCTION("""COMPUTED_VALUE"""),47.0)</f>
        <v>47</v>
      </c>
      <c r="R75" s="329">
        <f>IFERROR(__xludf.DUMMYFUNCTION("""COMPUTED_VALUE"""),3334.0)</f>
        <v>3334</v>
      </c>
      <c r="S75" s="329">
        <f>IFERROR(__xludf.DUMMYFUNCTION("""COMPUTED_VALUE"""),3.0)</f>
        <v>3</v>
      </c>
      <c r="T75" s="329">
        <f>IFERROR(__xludf.DUMMYFUNCTION("""COMPUTED_VALUE"""),454.0)</f>
        <v>454</v>
      </c>
      <c r="U75" s="329">
        <f>IFERROR(__xludf.DUMMYFUNCTION("""COMPUTED_VALUE"""),354.0)</f>
        <v>354</v>
      </c>
      <c r="V75" s="329">
        <f>IFERROR(__xludf.DUMMYFUNCTION("""COMPUTED_VALUE"""),355.0)</f>
        <v>355</v>
      </c>
      <c r="W75" s="329">
        <f>IFERROR(__xludf.DUMMYFUNCTION("""COMPUTED_VALUE"""),35.0)</f>
        <v>35</v>
      </c>
      <c r="X75" s="329">
        <f>IFERROR(__xludf.DUMMYFUNCTION("""COMPUTED_VALUE"""),15.0)</f>
        <v>15</v>
      </c>
      <c r="Y75" s="329">
        <f>IFERROR(__xludf.DUMMYFUNCTION("""COMPUTED_VALUE"""),7.0)</f>
        <v>7</v>
      </c>
      <c r="Z75" s="329">
        <f>IFERROR(__xludf.DUMMYFUNCTION("""COMPUTED_VALUE"""),1322.0)</f>
        <v>1322</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IFERROR(__xludf.DUMMYFUNCTION("""COMPUTED_VALUE"""),44156.0)</f>
        <v>44156</v>
      </c>
      <c r="B76" s="329">
        <f>IFERROR(__xludf.DUMMYFUNCTION("""COMPUTED_VALUE"""),853.0)</f>
        <v>853</v>
      </c>
      <c r="C76" s="329">
        <f>IFERROR(__xludf.DUMMYFUNCTION("""COMPUTED_VALUE"""),1152.0)</f>
        <v>1152</v>
      </c>
      <c r="D76" s="329">
        <f>IFERROR(__xludf.DUMMYFUNCTION("""COMPUTED_VALUE"""),63135.0)</f>
        <v>63135</v>
      </c>
      <c r="E76" s="329">
        <f>IFERROR(__xludf.DUMMYFUNCTION("""COMPUTED_VALUE"""),17381.0)</f>
        <v>17381</v>
      </c>
      <c r="F76" s="258">
        <f>IFERROR(__xludf.DUMMYFUNCTION("""COMPUTED_VALUE"""),1394565.0)</f>
        <v>1394565</v>
      </c>
      <c r="G76" s="258">
        <f>IFERROR(__xludf.DUMMYFUNCTION("""COMPUTED_VALUE"""),18234.0)</f>
        <v>18234</v>
      </c>
      <c r="H76" s="258">
        <f>IFERROR(__xludf.DUMMYFUNCTION("""COMPUTED_VALUE"""),1457700.0)</f>
        <v>1457700</v>
      </c>
      <c r="I76" s="329">
        <f>IFERROR(__xludf.DUMMYFUNCTION("""COMPUTED_VALUE"""),755.0)</f>
        <v>755</v>
      </c>
      <c r="J76" s="329">
        <f>IFERROR(__xludf.DUMMYFUNCTION("""COMPUTED_VALUE"""),1032.0)</f>
        <v>1032</v>
      </c>
      <c r="K76" s="329">
        <f>IFERROR(__xludf.DUMMYFUNCTION("""COMPUTED_VALUE"""),50213.0)</f>
        <v>50213</v>
      </c>
      <c r="L76" s="329">
        <f>IFERROR(__xludf.DUMMYFUNCTION("""COMPUTED_VALUE"""),2943.0)</f>
        <v>2943</v>
      </c>
      <c r="M76" s="329">
        <f>IFERROR(__xludf.DUMMYFUNCTION("""COMPUTED_VALUE"""),419066.0)</f>
        <v>419066</v>
      </c>
      <c r="N76" s="329">
        <f>IFERROR(__xludf.DUMMYFUNCTION("""COMPUTED_VALUE"""),469279.0)</f>
        <v>469279</v>
      </c>
      <c r="O76" s="329">
        <f>IFERROR(__xludf.DUMMYFUNCTION("""COMPUTED_VALUE"""),42.0)</f>
        <v>42</v>
      </c>
      <c r="P76" s="329">
        <f>IFERROR(__xludf.DUMMYFUNCTION("""COMPUTED_VALUE"""),4184.0)</f>
        <v>4184</v>
      </c>
      <c r="Q76" s="329">
        <f>IFERROR(__xludf.DUMMYFUNCTION("""COMPUTED_VALUE"""),33.0)</f>
        <v>33</v>
      </c>
      <c r="R76" s="329">
        <f>IFERROR(__xludf.DUMMYFUNCTION("""COMPUTED_VALUE"""),3367.0)</f>
        <v>3367</v>
      </c>
      <c r="S76" s="329">
        <f>IFERROR(__xludf.DUMMYFUNCTION("""COMPUTED_VALUE"""),5.0)</f>
        <v>5</v>
      </c>
      <c r="T76" s="329">
        <f>IFERROR(__xludf.DUMMYFUNCTION("""COMPUTED_VALUE"""),459.0)</f>
        <v>459</v>
      </c>
      <c r="U76" s="329">
        <f>IFERROR(__xludf.DUMMYFUNCTION("""COMPUTED_VALUE"""),358.0)</f>
        <v>358</v>
      </c>
      <c r="V76" s="329">
        <f>IFERROR(__xludf.DUMMYFUNCTION("""COMPUTED_VALUE"""),356.0)</f>
        <v>356</v>
      </c>
      <c r="W76" s="329">
        <f>IFERROR(__xludf.DUMMYFUNCTION("""COMPUTED_VALUE"""),37.0)</f>
        <v>37</v>
      </c>
      <c r="X76" s="329">
        <f>IFERROR(__xludf.DUMMYFUNCTION("""COMPUTED_VALUE"""),15.0)</f>
        <v>15</v>
      </c>
      <c r="Y76" s="329">
        <f>IFERROR(__xludf.DUMMYFUNCTION("""COMPUTED_VALUE"""),10.0)</f>
        <v>10</v>
      </c>
      <c r="Z76" s="329">
        <f>IFERROR(__xludf.DUMMYFUNCTION("""COMPUTED_VALUE"""),1332.0)</f>
        <v>1332</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IFERROR(__xludf.DUMMYFUNCTION("""COMPUTED_VALUE"""),44157.0)</f>
        <v>44157</v>
      </c>
      <c r="B77" s="329">
        <f>IFERROR(__xludf.DUMMYFUNCTION("""COMPUTED_VALUE"""),573.0)</f>
        <v>573</v>
      </c>
      <c r="C77" s="329">
        <f>IFERROR(__xludf.DUMMYFUNCTION("""COMPUTED_VALUE"""),963.0)</f>
        <v>963</v>
      </c>
      <c r="D77" s="329">
        <f>IFERROR(__xludf.DUMMYFUNCTION("""COMPUTED_VALUE"""),63708.0)</f>
        <v>63708</v>
      </c>
      <c r="E77" s="329">
        <f>IFERROR(__xludf.DUMMYFUNCTION("""COMPUTED_VALUE"""),7525.0)</f>
        <v>7525</v>
      </c>
      <c r="F77" s="258">
        <f>IFERROR(__xludf.DUMMYFUNCTION("""COMPUTED_VALUE"""),1402090.0)</f>
        <v>1402090</v>
      </c>
      <c r="G77" s="258">
        <f>IFERROR(__xludf.DUMMYFUNCTION("""COMPUTED_VALUE"""),8098.0)</f>
        <v>8098</v>
      </c>
      <c r="H77" s="258">
        <f>IFERROR(__xludf.DUMMYFUNCTION("""COMPUTED_VALUE"""),1465798.0)</f>
        <v>1465798</v>
      </c>
      <c r="I77" s="329">
        <f>IFERROR(__xludf.DUMMYFUNCTION("""COMPUTED_VALUE"""),485.0)</f>
        <v>485</v>
      </c>
      <c r="J77" s="329">
        <f>IFERROR(__xludf.DUMMYFUNCTION("""COMPUTED_VALUE"""),849.0)</f>
        <v>849</v>
      </c>
      <c r="K77" s="329">
        <f>IFERROR(__xludf.DUMMYFUNCTION("""COMPUTED_VALUE"""),50698.0)</f>
        <v>50698</v>
      </c>
      <c r="L77" s="329">
        <f>IFERROR(__xludf.DUMMYFUNCTION("""COMPUTED_VALUE"""),1680.0)</f>
        <v>1680</v>
      </c>
      <c r="M77" s="329">
        <f>IFERROR(__xludf.DUMMYFUNCTION("""COMPUTED_VALUE"""),420746.0)</f>
        <v>420746</v>
      </c>
      <c r="N77" s="329">
        <f>IFERROR(__xludf.DUMMYFUNCTION("""COMPUTED_VALUE"""),471444.0)</f>
        <v>471444</v>
      </c>
      <c r="O77" s="329">
        <f>IFERROR(__xludf.DUMMYFUNCTION("""COMPUTED_VALUE"""),64.0)</f>
        <v>64</v>
      </c>
      <c r="P77" s="329">
        <f>IFERROR(__xludf.DUMMYFUNCTION("""COMPUTED_VALUE"""),4248.0)</f>
        <v>4248</v>
      </c>
      <c r="Q77" s="329">
        <f>IFERROR(__xludf.DUMMYFUNCTION("""COMPUTED_VALUE"""),27.0)</f>
        <v>27</v>
      </c>
      <c r="R77" s="329">
        <f>IFERROR(__xludf.DUMMYFUNCTION("""COMPUTED_VALUE"""),3394.0)</f>
        <v>3394</v>
      </c>
      <c r="S77" s="329">
        <f>IFERROR(__xludf.DUMMYFUNCTION("""COMPUTED_VALUE"""),4.0)</f>
        <v>4</v>
      </c>
      <c r="T77" s="329">
        <f>IFERROR(__xludf.DUMMYFUNCTION("""COMPUTED_VALUE"""),463.0)</f>
        <v>463</v>
      </c>
      <c r="U77" s="329">
        <f>IFERROR(__xludf.DUMMYFUNCTION("""COMPUTED_VALUE"""),391.0)</f>
        <v>391</v>
      </c>
      <c r="V77" s="329">
        <f>IFERROR(__xludf.DUMMYFUNCTION("""COMPUTED_VALUE"""),368.0)</f>
        <v>368</v>
      </c>
      <c r="W77" s="329">
        <f>IFERROR(__xludf.DUMMYFUNCTION("""COMPUTED_VALUE"""),35.0)</f>
        <v>35</v>
      </c>
      <c r="X77" s="329">
        <f>IFERROR(__xludf.DUMMYFUNCTION("""COMPUTED_VALUE"""),16.0)</f>
        <v>16</v>
      </c>
      <c r="Y77" s="329">
        <f>IFERROR(__xludf.DUMMYFUNCTION("""COMPUTED_VALUE"""),12.0)</f>
        <v>12</v>
      </c>
      <c r="Z77" s="329">
        <f>IFERROR(__xludf.DUMMYFUNCTION("""COMPUTED_VALUE"""),1344.0)</f>
        <v>1344</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IFERROR(__xludf.DUMMYFUNCTION("""COMPUTED_VALUE"""),44158.0)</f>
        <v>44158</v>
      </c>
      <c r="B78" s="329">
        <f>IFERROR(__xludf.DUMMYFUNCTION("""COMPUTED_VALUE"""),998.0)</f>
        <v>998</v>
      </c>
      <c r="C78" s="329">
        <f>IFERROR(__xludf.DUMMYFUNCTION("""COMPUTED_VALUE"""),808.0)</f>
        <v>808</v>
      </c>
      <c r="D78" s="329">
        <f>IFERROR(__xludf.DUMMYFUNCTION("""COMPUTED_VALUE"""),64706.0)</f>
        <v>64706</v>
      </c>
      <c r="E78" s="329">
        <f>IFERROR(__xludf.DUMMYFUNCTION("""COMPUTED_VALUE"""),11036.0)</f>
        <v>11036</v>
      </c>
      <c r="F78" s="258">
        <f>IFERROR(__xludf.DUMMYFUNCTION("""COMPUTED_VALUE"""),1413126.0)</f>
        <v>1413126</v>
      </c>
      <c r="G78" s="258">
        <f>IFERROR(__xludf.DUMMYFUNCTION("""COMPUTED_VALUE"""),12034.0)</f>
        <v>12034</v>
      </c>
      <c r="H78" s="258">
        <f>IFERROR(__xludf.DUMMYFUNCTION("""COMPUTED_VALUE"""),1477832.0)</f>
        <v>1477832</v>
      </c>
      <c r="I78" s="329">
        <f>IFERROR(__xludf.DUMMYFUNCTION("""COMPUTED_VALUE"""),891.0)</f>
        <v>891</v>
      </c>
      <c r="J78" s="329">
        <f>IFERROR(__xludf.DUMMYFUNCTION("""COMPUTED_VALUE"""),710.0)</f>
        <v>710</v>
      </c>
      <c r="K78" s="329">
        <f>IFERROR(__xludf.DUMMYFUNCTION("""COMPUTED_VALUE"""),51589.0)</f>
        <v>51589</v>
      </c>
      <c r="L78" s="329">
        <f>IFERROR(__xludf.DUMMYFUNCTION("""COMPUTED_VALUE"""),3191.0)</f>
        <v>3191</v>
      </c>
      <c r="M78" s="329">
        <f>IFERROR(__xludf.DUMMYFUNCTION("""COMPUTED_VALUE"""),423937.0)</f>
        <v>423937</v>
      </c>
      <c r="N78" s="329">
        <f>IFERROR(__xludf.DUMMYFUNCTION("""COMPUTED_VALUE"""),475526.0)</f>
        <v>475526</v>
      </c>
      <c r="O78" s="329">
        <f>IFERROR(__xludf.DUMMYFUNCTION("""COMPUTED_VALUE"""),74.0)</f>
        <v>74</v>
      </c>
      <c r="P78" s="329">
        <f>IFERROR(__xludf.DUMMYFUNCTION("""COMPUTED_VALUE"""),4322.0)</f>
        <v>4322</v>
      </c>
      <c r="Q78" s="329">
        <f>IFERROR(__xludf.DUMMYFUNCTION("""COMPUTED_VALUE"""),39.0)</f>
        <v>39</v>
      </c>
      <c r="R78" s="329">
        <f>IFERROR(__xludf.DUMMYFUNCTION("""COMPUTED_VALUE"""),3433.0)</f>
        <v>3433</v>
      </c>
      <c r="S78" s="329">
        <f>IFERROR(__xludf.DUMMYFUNCTION("""COMPUTED_VALUE"""),0.0)</f>
        <v>0</v>
      </c>
      <c r="T78" s="329">
        <f>IFERROR(__xludf.DUMMYFUNCTION("""COMPUTED_VALUE"""),463.0)</f>
        <v>463</v>
      </c>
      <c r="U78" s="329">
        <f>IFERROR(__xludf.DUMMYFUNCTION("""COMPUTED_VALUE"""),426.0)</f>
        <v>426</v>
      </c>
      <c r="V78" s="329">
        <f>IFERROR(__xludf.DUMMYFUNCTION("""COMPUTED_VALUE"""),392.0)</f>
        <v>392</v>
      </c>
      <c r="W78" s="329">
        <f>IFERROR(__xludf.DUMMYFUNCTION("""COMPUTED_VALUE"""),42.0)</f>
        <v>42</v>
      </c>
      <c r="X78" s="329">
        <f>IFERROR(__xludf.DUMMYFUNCTION("""COMPUTED_VALUE"""),19.0)</f>
        <v>19</v>
      </c>
      <c r="Y78" s="329">
        <f>IFERROR(__xludf.DUMMYFUNCTION("""COMPUTED_VALUE"""),12.0)</f>
        <v>12</v>
      </c>
      <c r="Z78" s="329">
        <f>IFERROR(__xludf.DUMMYFUNCTION("""COMPUTED_VALUE"""),1356.0)</f>
        <v>1356</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IFERROR(__xludf.DUMMYFUNCTION("""COMPUTED_VALUE"""),44159.0)</f>
        <v>44159</v>
      </c>
      <c r="B79" s="329">
        <f>IFERROR(__xludf.DUMMYFUNCTION("""COMPUTED_VALUE"""),1054.0)</f>
        <v>1054</v>
      </c>
      <c r="C79" s="329">
        <f>IFERROR(__xludf.DUMMYFUNCTION("""COMPUTED_VALUE"""),875.0)</f>
        <v>875</v>
      </c>
      <c r="D79" s="329">
        <f>IFERROR(__xludf.DUMMYFUNCTION("""COMPUTED_VALUE"""),65760.0)</f>
        <v>65760</v>
      </c>
      <c r="E79" s="329">
        <f>IFERROR(__xludf.DUMMYFUNCTION("""COMPUTED_VALUE"""),14580.0)</f>
        <v>14580</v>
      </c>
      <c r="F79" s="258">
        <f>IFERROR(__xludf.DUMMYFUNCTION("""COMPUTED_VALUE"""),1427706.0)</f>
        <v>1427706</v>
      </c>
      <c r="G79" s="258">
        <f>IFERROR(__xludf.DUMMYFUNCTION("""COMPUTED_VALUE"""),15634.0)</f>
        <v>15634</v>
      </c>
      <c r="H79" s="258">
        <f>IFERROR(__xludf.DUMMYFUNCTION("""COMPUTED_VALUE"""),1493466.0)</f>
        <v>1493466</v>
      </c>
      <c r="I79" s="329">
        <f>IFERROR(__xludf.DUMMYFUNCTION("""COMPUTED_VALUE"""),943.0)</f>
        <v>943</v>
      </c>
      <c r="J79" s="329">
        <f>IFERROR(__xludf.DUMMYFUNCTION("""COMPUTED_VALUE"""),773.0)</f>
        <v>773</v>
      </c>
      <c r="K79" s="329">
        <f>IFERROR(__xludf.DUMMYFUNCTION("""COMPUTED_VALUE"""),52532.0)</f>
        <v>52532</v>
      </c>
      <c r="L79" s="329">
        <f>IFERROR(__xludf.DUMMYFUNCTION("""COMPUTED_VALUE"""),2575.0)</f>
        <v>2575</v>
      </c>
      <c r="M79" s="329">
        <f>IFERROR(__xludf.DUMMYFUNCTION("""COMPUTED_VALUE"""),426512.0)</f>
        <v>426512</v>
      </c>
      <c r="N79" s="329">
        <f>IFERROR(__xludf.DUMMYFUNCTION("""COMPUTED_VALUE"""),479044.0)</f>
        <v>479044</v>
      </c>
      <c r="O79" s="329">
        <f>IFERROR(__xludf.DUMMYFUNCTION("""COMPUTED_VALUE"""),46.0)</f>
        <v>46</v>
      </c>
      <c r="P79" s="329">
        <f>IFERROR(__xludf.DUMMYFUNCTION("""COMPUTED_VALUE"""),4368.0)</f>
        <v>4368</v>
      </c>
      <c r="Q79" s="329">
        <f>IFERROR(__xludf.DUMMYFUNCTION("""COMPUTED_VALUE"""),59.0)</f>
        <v>59</v>
      </c>
      <c r="R79" s="329">
        <f>IFERROR(__xludf.DUMMYFUNCTION("""COMPUTED_VALUE"""),3492.0)</f>
        <v>3492</v>
      </c>
      <c r="S79" s="329">
        <f>IFERROR(__xludf.DUMMYFUNCTION("""COMPUTED_VALUE"""),6.0)</f>
        <v>6</v>
      </c>
      <c r="T79" s="329">
        <f>IFERROR(__xludf.DUMMYFUNCTION("""COMPUTED_VALUE"""),469.0)</f>
        <v>469</v>
      </c>
      <c r="U79" s="329">
        <f>IFERROR(__xludf.DUMMYFUNCTION("""COMPUTED_VALUE"""),407.0)</f>
        <v>407</v>
      </c>
      <c r="V79" s="329">
        <f>IFERROR(__xludf.DUMMYFUNCTION("""COMPUTED_VALUE"""),408.0)</f>
        <v>408</v>
      </c>
      <c r="W79" s="329">
        <f>IFERROR(__xludf.DUMMYFUNCTION("""COMPUTED_VALUE"""),43.0)</f>
        <v>43</v>
      </c>
      <c r="X79" s="329">
        <f>IFERROR(__xludf.DUMMYFUNCTION("""COMPUTED_VALUE"""),22.0)</f>
        <v>22</v>
      </c>
      <c r="Y79" s="329">
        <f>IFERROR(__xludf.DUMMYFUNCTION("""COMPUTED_VALUE"""),12.0)</f>
        <v>12</v>
      </c>
      <c r="Z79" s="329">
        <f>IFERROR(__xludf.DUMMYFUNCTION("""COMPUTED_VALUE"""),1368.0)</f>
        <v>1368</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IFERROR(__xludf.DUMMYFUNCTION("""COMPUTED_VALUE"""),44160.0)</f>
        <v>44160</v>
      </c>
      <c r="B80" s="329">
        <f>IFERROR(__xludf.DUMMYFUNCTION("""COMPUTED_VALUE"""),1269.0)</f>
        <v>1269</v>
      </c>
      <c r="C80" s="329">
        <f>IFERROR(__xludf.DUMMYFUNCTION("""COMPUTED_VALUE"""),1107.0)</f>
        <v>1107</v>
      </c>
      <c r="D80" s="329">
        <f>IFERROR(__xludf.DUMMYFUNCTION("""COMPUTED_VALUE"""),67029.0)</f>
        <v>67029</v>
      </c>
      <c r="E80" s="329">
        <f>IFERROR(__xludf.DUMMYFUNCTION("""COMPUTED_VALUE"""),18806.0)</f>
        <v>18806</v>
      </c>
      <c r="F80" s="258">
        <f>IFERROR(__xludf.DUMMYFUNCTION("""COMPUTED_VALUE"""),1446512.0)</f>
        <v>1446512</v>
      </c>
      <c r="G80" s="258">
        <f>IFERROR(__xludf.DUMMYFUNCTION("""COMPUTED_VALUE"""),20075.0)</f>
        <v>20075</v>
      </c>
      <c r="H80" s="258">
        <f>IFERROR(__xludf.DUMMYFUNCTION("""COMPUTED_VALUE"""),1513541.0)</f>
        <v>1513541</v>
      </c>
      <c r="I80" s="329">
        <f>IFERROR(__xludf.DUMMYFUNCTION("""COMPUTED_VALUE"""),1185.0)</f>
        <v>1185</v>
      </c>
      <c r="J80" s="329">
        <f>IFERROR(__xludf.DUMMYFUNCTION("""COMPUTED_VALUE"""),1006.0)</f>
        <v>1006</v>
      </c>
      <c r="K80" s="329">
        <f>IFERROR(__xludf.DUMMYFUNCTION("""COMPUTED_VALUE"""),53717.0)</f>
        <v>53717</v>
      </c>
      <c r="L80" s="329">
        <f>IFERROR(__xludf.DUMMYFUNCTION("""COMPUTED_VALUE"""),3230.0)</f>
        <v>3230</v>
      </c>
      <c r="M80" s="329">
        <f>IFERROR(__xludf.DUMMYFUNCTION("""COMPUTED_VALUE"""),429742.0)</f>
        <v>429742</v>
      </c>
      <c r="N80" s="329">
        <f>IFERROR(__xludf.DUMMYFUNCTION("""COMPUTED_VALUE"""),483459.0)</f>
        <v>483459</v>
      </c>
      <c r="O80" s="329">
        <f>IFERROR(__xludf.DUMMYFUNCTION("""COMPUTED_VALUE"""),59.0)</f>
        <v>59</v>
      </c>
      <c r="P80" s="329">
        <f>IFERROR(__xludf.DUMMYFUNCTION("""COMPUTED_VALUE"""),4427.0)</f>
        <v>4427</v>
      </c>
      <c r="Q80" s="329">
        <f>IFERROR(__xludf.DUMMYFUNCTION("""COMPUTED_VALUE"""),59.0)</f>
        <v>59</v>
      </c>
      <c r="R80" s="329">
        <f>IFERROR(__xludf.DUMMYFUNCTION("""COMPUTED_VALUE"""),3551.0)</f>
        <v>3551</v>
      </c>
      <c r="S80" s="329">
        <f>IFERROR(__xludf.DUMMYFUNCTION("""COMPUTED_VALUE"""),4.0)</f>
        <v>4</v>
      </c>
      <c r="T80" s="329">
        <f>IFERROR(__xludf.DUMMYFUNCTION("""COMPUTED_VALUE"""),473.0)</f>
        <v>473</v>
      </c>
      <c r="U80" s="329">
        <f>IFERROR(__xludf.DUMMYFUNCTION("""COMPUTED_VALUE"""),403.0)</f>
        <v>403</v>
      </c>
      <c r="V80" s="329">
        <f>IFERROR(__xludf.DUMMYFUNCTION("""COMPUTED_VALUE"""),412.0)</f>
        <v>412</v>
      </c>
      <c r="W80" s="329">
        <f>IFERROR(__xludf.DUMMYFUNCTION("""COMPUTED_VALUE"""),44.0)</f>
        <v>44</v>
      </c>
      <c r="X80" s="329">
        <f>IFERROR(__xludf.DUMMYFUNCTION("""COMPUTED_VALUE"""),26.0)</f>
        <v>26</v>
      </c>
      <c r="Y80" s="329">
        <f>IFERROR(__xludf.DUMMYFUNCTION("""COMPUTED_VALUE"""),7.0)</f>
        <v>7</v>
      </c>
      <c r="Z80" s="329">
        <f>IFERROR(__xludf.DUMMYFUNCTION("""COMPUTED_VALUE"""),1375.0)</f>
        <v>1375</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IFERROR(__xludf.DUMMYFUNCTION("""COMPUTED_VALUE"""),44161.0)</f>
        <v>44161</v>
      </c>
      <c r="B81" s="329">
        <f>IFERROR(__xludf.DUMMYFUNCTION("""COMPUTED_VALUE"""),553.0)</f>
        <v>553</v>
      </c>
      <c r="C81" s="329">
        <f>IFERROR(__xludf.DUMMYFUNCTION("""COMPUTED_VALUE"""),959.0)</f>
        <v>959</v>
      </c>
      <c r="D81" s="329">
        <f>IFERROR(__xludf.DUMMYFUNCTION("""COMPUTED_VALUE"""),67582.0)</f>
        <v>67582</v>
      </c>
      <c r="E81" s="329">
        <f>IFERROR(__xludf.DUMMYFUNCTION("""COMPUTED_VALUE"""),6489.0)</f>
        <v>6489</v>
      </c>
      <c r="F81" s="258">
        <f>IFERROR(__xludf.DUMMYFUNCTION("""COMPUTED_VALUE"""),1453001.0)</f>
        <v>1453001</v>
      </c>
      <c r="G81" s="258">
        <f>IFERROR(__xludf.DUMMYFUNCTION("""COMPUTED_VALUE"""),7042.0)</f>
        <v>7042</v>
      </c>
      <c r="H81" s="258">
        <f>IFERROR(__xludf.DUMMYFUNCTION("""COMPUTED_VALUE"""),1520583.0)</f>
        <v>1520583</v>
      </c>
      <c r="I81" s="329">
        <f>IFERROR(__xludf.DUMMYFUNCTION("""COMPUTED_VALUE"""),476.0)</f>
        <v>476</v>
      </c>
      <c r="J81" s="329">
        <f>IFERROR(__xludf.DUMMYFUNCTION("""COMPUTED_VALUE"""),868.0)</f>
        <v>868</v>
      </c>
      <c r="K81" s="329">
        <f>IFERROR(__xludf.DUMMYFUNCTION("""COMPUTED_VALUE"""),54193.0)</f>
        <v>54193</v>
      </c>
      <c r="L81" s="329">
        <f>IFERROR(__xludf.DUMMYFUNCTION("""COMPUTED_VALUE"""),1428.0)</f>
        <v>1428</v>
      </c>
      <c r="M81" s="329">
        <f>IFERROR(__xludf.DUMMYFUNCTION("""COMPUTED_VALUE"""),431170.0)</f>
        <v>431170</v>
      </c>
      <c r="N81" s="329">
        <f>IFERROR(__xludf.DUMMYFUNCTION("""COMPUTED_VALUE"""),485363.0)</f>
        <v>485363</v>
      </c>
      <c r="O81" s="329">
        <f>IFERROR(__xludf.DUMMYFUNCTION("""COMPUTED_VALUE"""),51.0)</f>
        <v>51</v>
      </c>
      <c r="P81" s="329">
        <f>IFERROR(__xludf.DUMMYFUNCTION("""COMPUTED_VALUE"""),4478.0)</f>
        <v>4478</v>
      </c>
      <c r="Q81" s="329">
        <f>IFERROR(__xludf.DUMMYFUNCTION("""COMPUTED_VALUE"""),35.0)</f>
        <v>35</v>
      </c>
      <c r="R81" s="329">
        <f>IFERROR(__xludf.DUMMYFUNCTION("""COMPUTED_VALUE"""),3586.0)</f>
        <v>3586</v>
      </c>
      <c r="S81" s="329">
        <f>IFERROR(__xludf.DUMMYFUNCTION("""COMPUTED_VALUE"""),4.0)</f>
        <v>4</v>
      </c>
      <c r="T81" s="329">
        <f>IFERROR(__xludf.DUMMYFUNCTION("""COMPUTED_VALUE"""),477.0)</f>
        <v>477</v>
      </c>
      <c r="U81" s="329">
        <f>IFERROR(__xludf.DUMMYFUNCTION("""COMPUTED_VALUE"""),415.0)</f>
        <v>415</v>
      </c>
      <c r="V81" s="329">
        <f>IFERROR(__xludf.DUMMYFUNCTION("""COMPUTED_VALUE"""),408.0)</f>
        <v>408</v>
      </c>
      <c r="W81" s="329">
        <f>IFERROR(__xludf.DUMMYFUNCTION("""COMPUTED_VALUE"""),47.0)</f>
        <v>47</v>
      </c>
      <c r="X81" s="329">
        <f>IFERROR(__xludf.DUMMYFUNCTION("""COMPUTED_VALUE"""),25.0)</f>
        <v>25</v>
      </c>
      <c r="Y81" s="329">
        <f>IFERROR(__xludf.DUMMYFUNCTION("""COMPUTED_VALUE"""),12.0)</f>
        <v>12</v>
      </c>
      <c r="Z81" s="329">
        <f>IFERROR(__xludf.DUMMYFUNCTION("""COMPUTED_VALUE"""),1387.0)</f>
        <v>1387</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IFERROR(__xludf.DUMMYFUNCTION("""COMPUTED_VALUE"""),44162.0)</f>
        <v>44162</v>
      </c>
      <c r="B82" s="329">
        <f>IFERROR(__xludf.DUMMYFUNCTION("""COMPUTED_VALUE"""),1044.0)</f>
        <v>1044</v>
      </c>
      <c r="C82" s="329">
        <f>IFERROR(__xludf.DUMMYFUNCTION("""COMPUTED_VALUE"""),955.0)</f>
        <v>955</v>
      </c>
      <c r="D82" s="329">
        <f>IFERROR(__xludf.DUMMYFUNCTION("""COMPUTED_VALUE"""),68626.0)</f>
        <v>68626</v>
      </c>
      <c r="E82" s="329">
        <f>IFERROR(__xludf.DUMMYFUNCTION("""COMPUTED_VALUE"""),9725.0)</f>
        <v>9725</v>
      </c>
      <c r="F82" s="258">
        <f>IFERROR(__xludf.DUMMYFUNCTION("""COMPUTED_VALUE"""),1462726.0)</f>
        <v>1462726</v>
      </c>
      <c r="G82" s="258">
        <f>IFERROR(__xludf.DUMMYFUNCTION("""COMPUTED_VALUE"""),10769.0)</f>
        <v>10769</v>
      </c>
      <c r="H82" s="258">
        <f>IFERROR(__xludf.DUMMYFUNCTION("""COMPUTED_VALUE"""),1531352.0)</f>
        <v>1531352</v>
      </c>
      <c r="I82" s="329">
        <f>IFERROR(__xludf.DUMMYFUNCTION("""COMPUTED_VALUE"""),974.0)</f>
        <v>974</v>
      </c>
      <c r="J82" s="329">
        <f>IFERROR(__xludf.DUMMYFUNCTION("""COMPUTED_VALUE"""),878.0)</f>
        <v>878</v>
      </c>
      <c r="K82" s="329">
        <f>IFERROR(__xludf.DUMMYFUNCTION("""COMPUTED_VALUE"""),55167.0)</f>
        <v>55167</v>
      </c>
      <c r="L82" s="329">
        <f>IFERROR(__xludf.DUMMYFUNCTION("""COMPUTED_VALUE"""),2376.0)</f>
        <v>2376</v>
      </c>
      <c r="M82" s="329">
        <f>IFERROR(__xludf.DUMMYFUNCTION("""COMPUTED_VALUE"""),433546.0)</f>
        <v>433546</v>
      </c>
      <c r="N82" s="329">
        <f>IFERROR(__xludf.DUMMYFUNCTION("""COMPUTED_VALUE"""),488713.0)</f>
        <v>488713</v>
      </c>
      <c r="O82" s="329">
        <f>IFERROR(__xludf.DUMMYFUNCTION("""COMPUTED_VALUE"""),52.0)</f>
        <v>52</v>
      </c>
      <c r="P82" s="329">
        <f>IFERROR(__xludf.DUMMYFUNCTION("""COMPUTED_VALUE"""),4530.0)</f>
        <v>4530</v>
      </c>
      <c r="Q82" s="329">
        <f>IFERROR(__xludf.DUMMYFUNCTION("""COMPUTED_VALUE"""),46.0)</f>
        <v>46</v>
      </c>
      <c r="R82" s="329">
        <f>IFERROR(__xludf.DUMMYFUNCTION("""COMPUTED_VALUE"""),3632.0)</f>
        <v>3632</v>
      </c>
      <c r="S82" s="329">
        <f>IFERROR(__xludf.DUMMYFUNCTION("""COMPUTED_VALUE"""),7.0)</f>
        <v>7</v>
      </c>
      <c r="T82" s="329">
        <f>IFERROR(__xludf.DUMMYFUNCTION("""COMPUTED_VALUE"""),484.0)</f>
        <v>484</v>
      </c>
      <c r="U82" s="329">
        <f>IFERROR(__xludf.DUMMYFUNCTION("""COMPUTED_VALUE"""),414.0)</f>
        <v>414</v>
      </c>
      <c r="V82" s="329">
        <f>IFERROR(__xludf.DUMMYFUNCTION("""COMPUTED_VALUE"""),411.0)</f>
        <v>411</v>
      </c>
      <c r="W82" s="329">
        <f>IFERROR(__xludf.DUMMYFUNCTION("""COMPUTED_VALUE"""),48.0)</f>
        <v>48</v>
      </c>
      <c r="X82" s="329">
        <f>IFERROR(__xludf.DUMMYFUNCTION("""COMPUTED_VALUE"""),22.0)</f>
        <v>22</v>
      </c>
      <c r="Y82" s="329">
        <f>IFERROR(__xludf.DUMMYFUNCTION("""COMPUTED_VALUE"""),9.0)</f>
        <v>9</v>
      </c>
      <c r="Z82" s="329">
        <f>IFERROR(__xludf.DUMMYFUNCTION("""COMPUTED_VALUE"""),1396.0)</f>
        <v>1396</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IFERROR(__xludf.DUMMYFUNCTION("""COMPUTED_VALUE"""),44163.0)</f>
        <v>44163</v>
      </c>
      <c r="B83" s="329">
        <f>IFERROR(__xludf.DUMMYFUNCTION("""COMPUTED_VALUE"""),1192.0)</f>
        <v>1192</v>
      </c>
      <c r="C83" s="329">
        <f>IFERROR(__xludf.DUMMYFUNCTION("""COMPUTED_VALUE"""),930.0)</f>
        <v>930</v>
      </c>
      <c r="D83" s="329">
        <f>IFERROR(__xludf.DUMMYFUNCTION("""COMPUTED_VALUE"""),69818.0)</f>
        <v>69818</v>
      </c>
      <c r="E83" s="329">
        <f>IFERROR(__xludf.DUMMYFUNCTION("""COMPUTED_VALUE"""),11963.0)</f>
        <v>11963</v>
      </c>
      <c r="F83" s="258">
        <f>IFERROR(__xludf.DUMMYFUNCTION("""COMPUTED_VALUE"""),1474689.0)</f>
        <v>1474689</v>
      </c>
      <c r="G83" s="258">
        <f>IFERROR(__xludf.DUMMYFUNCTION("""COMPUTED_VALUE"""),13155.0)</f>
        <v>13155</v>
      </c>
      <c r="H83" s="258">
        <f>IFERROR(__xludf.DUMMYFUNCTION("""COMPUTED_VALUE"""),1544507.0)</f>
        <v>1544507</v>
      </c>
      <c r="I83" s="329">
        <f>IFERROR(__xludf.DUMMYFUNCTION("""COMPUTED_VALUE"""),1098.0)</f>
        <v>1098</v>
      </c>
      <c r="J83" s="329">
        <f>IFERROR(__xludf.DUMMYFUNCTION("""COMPUTED_VALUE"""),849.0)</f>
        <v>849</v>
      </c>
      <c r="K83" s="329">
        <f>IFERROR(__xludf.DUMMYFUNCTION("""COMPUTED_VALUE"""),56265.0)</f>
        <v>56265</v>
      </c>
      <c r="L83" s="329">
        <f>IFERROR(__xludf.DUMMYFUNCTION("""COMPUTED_VALUE"""),2660.0)</f>
        <v>2660</v>
      </c>
      <c r="M83" s="329">
        <f>IFERROR(__xludf.DUMMYFUNCTION("""COMPUTED_VALUE"""),436206.0)</f>
        <v>436206</v>
      </c>
      <c r="N83" s="329">
        <f>IFERROR(__xludf.DUMMYFUNCTION("""COMPUTED_VALUE"""),492471.0)</f>
        <v>492471</v>
      </c>
      <c r="O83" s="329">
        <f>IFERROR(__xludf.DUMMYFUNCTION("""COMPUTED_VALUE"""),64.0)</f>
        <v>64</v>
      </c>
      <c r="P83" s="329">
        <f>IFERROR(__xludf.DUMMYFUNCTION("""COMPUTED_VALUE"""),4594.0)</f>
        <v>4594</v>
      </c>
      <c r="Q83" s="329">
        <f>IFERROR(__xludf.DUMMYFUNCTION("""COMPUTED_VALUE"""),39.0)</f>
        <v>39</v>
      </c>
      <c r="R83" s="329">
        <f>IFERROR(__xludf.DUMMYFUNCTION("""COMPUTED_VALUE"""),3671.0)</f>
        <v>3671</v>
      </c>
      <c r="S83" s="329">
        <f>IFERROR(__xludf.DUMMYFUNCTION("""COMPUTED_VALUE"""),0.0)</f>
        <v>0</v>
      </c>
      <c r="T83" s="329">
        <f>IFERROR(__xludf.DUMMYFUNCTION("""COMPUTED_VALUE"""),484.0)</f>
        <v>484</v>
      </c>
      <c r="U83" s="329">
        <f>IFERROR(__xludf.DUMMYFUNCTION("""COMPUTED_VALUE"""),439.0)</f>
        <v>439</v>
      </c>
      <c r="V83" s="329">
        <f>IFERROR(__xludf.DUMMYFUNCTION("""COMPUTED_VALUE"""),423.0)</f>
        <v>423</v>
      </c>
      <c r="W83" s="329">
        <f>IFERROR(__xludf.DUMMYFUNCTION("""COMPUTED_VALUE"""),49.0)</f>
        <v>49</v>
      </c>
      <c r="X83" s="329">
        <f>IFERROR(__xludf.DUMMYFUNCTION("""COMPUTED_VALUE"""),22.0)</f>
        <v>22</v>
      </c>
      <c r="Y83" s="329">
        <f>IFERROR(__xludf.DUMMYFUNCTION("""COMPUTED_VALUE"""),4.0)</f>
        <v>4</v>
      </c>
      <c r="Z83" s="329">
        <f>IFERROR(__xludf.DUMMYFUNCTION("""COMPUTED_VALUE"""),1400.0)</f>
        <v>1400</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IFERROR(__xludf.DUMMYFUNCTION("""COMPUTED_VALUE"""),44164.0)</f>
        <v>44164</v>
      </c>
      <c r="B84" s="329">
        <f>IFERROR(__xludf.DUMMYFUNCTION("""COMPUTED_VALUE"""),828.0)</f>
        <v>828</v>
      </c>
      <c r="C84" s="329">
        <f>IFERROR(__xludf.DUMMYFUNCTION("""COMPUTED_VALUE"""),1021.0)</f>
        <v>1021</v>
      </c>
      <c r="D84" s="329">
        <f>IFERROR(__xludf.DUMMYFUNCTION("""COMPUTED_VALUE"""),70646.0)</f>
        <v>70646</v>
      </c>
      <c r="E84" s="329">
        <f>IFERROR(__xludf.DUMMYFUNCTION("""COMPUTED_VALUE"""),6935.0)</f>
        <v>6935</v>
      </c>
      <c r="F84" s="258">
        <f>IFERROR(__xludf.DUMMYFUNCTION("""COMPUTED_VALUE"""),1481624.0)</f>
        <v>1481624</v>
      </c>
      <c r="G84" s="258">
        <f>IFERROR(__xludf.DUMMYFUNCTION("""COMPUTED_VALUE"""),7763.0)</f>
        <v>7763</v>
      </c>
      <c r="H84" s="258">
        <f>IFERROR(__xludf.DUMMYFUNCTION("""COMPUTED_VALUE"""),1552270.0)</f>
        <v>1552270</v>
      </c>
      <c r="I84" s="329">
        <f>IFERROR(__xludf.DUMMYFUNCTION("""COMPUTED_VALUE"""),755.0)</f>
        <v>755</v>
      </c>
      <c r="J84" s="329">
        <f>IFERROR(__xludf.DUMMYFUNCTION("""COMPUTED_VALUE"""),942.0)</f>
        <v>942</v>
      </c>
      <c r="K84" s="329">
        <f>IFERROR(__xludf.DUMMYFUNCTION("""COMPUTED_VALUE"""),57020.0)</f>
        <v>57020</v>
      </c>
      <c r="L84" s="329">
        <f>IFERROR(__xludf.DUMMYFUNCTION("""COMPUTED_VALUE"""),2194.0)</f>
        <v>2194</v>
      </c>
      <c r="M84" s="329">
        <f>IFERROR(__xludf.DUMMYFUNCTION("""COMPUTED_VALUE"""),438400.0)</f>
        <v>438400</v>
      </c>
      <c r="N84" s="329">
        <f>IFERROR(__xludf.DUMMYFUNCTION("""COMPUTED_VALUE"""),495420.0)</f>
        <v>495420</v>
      </c>
      <c r="O84" s="329">
        <f>IFERROR(__xludf.DUMMYFUNCTION("""COMPUTED_VALUE"""),62.0)</f>
        <v>62</v>
      </c>
      <c r="P84" s="329">
        <f>IFERROR(__xludf.DUMMYFUNCTION("""COMPUTED_VALUE"""),4656.0)</f>
        <v>4656</v>
      </c>
      <c r="Q84" s="329">
        <f>IFERROR(__xludf.DUMMYFUNCTION("""COMPUTED_VALUE"""),36.0)</f>
        <v>36</v>
      </c>
      <c r="R84" s="329">
        <f>IFERROR(__xludf.DUMMYFUNCTION("""COMPUTED_VALUE"""),3707.0)</f>
        <v>3707</v>
      </c>
      <c r="S84" s="329">
        <f>IFERROR(__xludf.DUMMYFUNCTION("""COMPUTED_VALUE"""),3.0)</f>
        <v>3</v>
      </c>
      <c r="T84" s="329">
        <f>IFERROR(__xludf.DUMMYFUNCTION("""COMPUTED_VALUE"""),487.0)</f>
        <v>487</v>
      </c>
      <c r="U84" s="329">
        <f>IFERROR(__xludf.DUMMYFUNCTION("""COMPUTED_VALUE"""),462.0)</f>
        <v>462</v>
      </c>
      <c r="V84" s="329">
        <f>IFERROR(__xludf.DUMMYFUNCTION("""COMPUTED_VALUE"""),438.0)</f>
        <v>438</v>
      </c>
      <c r="W84" s="329">
        <f>IFERROR(__xludf.DUMMYFUNCTION("""COMPUTED_VALUE"""),50.0)</f>
        <v>50</v>
      </c>
      <c r="X84" s="329">
        <f>IFERROR(__xludf.DUMMYFUNCTION("""COMPUTED_VALUE"""),24.0)</f>
        <v>24</v>
      </c>
      <c r="Y84" s="329">
        <f>IFERROR(__xludf.DUMMYFUNCTION("""COMPUTED_VALUE"""),9.0)</f>
        <v>9</v>
      </c>
      <c r="Z84" s="329">
        <f>IFERROR(__xludf.DUMMYFUNCTION("""COMPUTED_VALUE"""),1409.0)</f>
        <v>1409</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IFERROR(__xludf.DUMMYFUNCTION("""COMPUTED_VALUE"""),44165.0)</f>
        <v>44165</v>
      </c>
      <c r="B85" s="329">
        <f>IFERROR(__xludf.DUMMYFUNCTION("""COMPUTED_VALUE"""),1294.0)</f>
        <v>1294</v>
      </c>
      <c r="C85" s="329">
        <f>IFERROR(__xludf.DUMMYFUNCTION("""COMPUTED_VALUE"""),1105.0)</f>
        <v>1105</v>
      </c>
      <c r="D85" s="329">
        <f>IFERROR(__xludf.DUMMYFUNCTION("""COMPUTED_VALUE"""),71940.0)</f>
        <v>71940</v>
      </c>
      <c r="E85" s="329">
        <f>IFERROR(__xludf.DUMMYFUNCTION("""COMPUTED_VALUE"""),9934.0)</f>
        <v>9934</v>
      </c>
      <c r="F85" s="258">
        <f>IFERROR(__xludf.DUMMYFUNCTION("""COMPUTED_VALUE"""),1491558.0)</f>
        <v>1491558</v>
      </c>
      <c r="G85" s="258">
        <f>IFERROR(__xludf.DUMMYFUNCTION("""COMPUTED_VALUE"""),11228.0)</f>
        <v>11228</v>
      </c>
      <c r="H85" s="258">
        <f>IFERROR(__xludf.DUMMYFUNCTION("""COMPUTED_VALUE"""),1563498.0)</f>
        <v>1563498</v>
      </c>
      <c r="I85" s="329">
        <f>IFERROR(__xludf.DUMMYFUNCTION("""COMPUTED_VALUE"""),1170.0)</f>
        <v>1170</v>
      </c>
      <c r="J85" s="329">
        <f>IFERROR(__xludf.DUMMYFUNCTION("""COMPUTED_VALUE"""),1008.0)</f>
        <v>1008</v>
      </c>
      <c r="K85" s="329">
        <f>IFERROR(__xludf.DUMMYFUNCTION("""COMPUTED_VALUE"""),58190.0)</f>
        <v>58190</v>
      </c>
      <c r="L85" s="329">
        <f>IFERROR(__xludf.DUMMYFUNCTION("""COMPUTED_VALUE"""),2632.0)</f>
        <v>2632</v>
      </c>
      <c r="M85" s="329">
        <f>IFERROR(__xludf.DUMMYFUNCTION("""COMPUTED_VALUE"""),441032.0)</f>
        <v>441032</v>
      </c>
      <c r="N85" s="329">
        <f>IFERROR(__xludf.DUMMYFUNCTION("""COMPUTED_VALUE"""),499222.0)</f>
        <v>499222</v>
      </c>
      <c r="O85" s="329">
        <f>IFERROR(__xludf.DUMMYFUNCTION("""COMPUTED_VALUE"""),66.0)</f>
        <v>66</v>
      </c>
      <c r="P85" s="329">
        <f>IFERROR(__xludf.DUMMYFUNCTION("""COMPUTED_VALUE"""),4722.0)</f>
        <v>4722</v>
      </c>
      <c r="Q85" s="329">
        <f>IFERROR(__xludf.DUMMYFUNCTION("""COMPUTED_VALUE"""),58.0)</f>
        <v>58</v>
      </c>
      <c r="R85" s="329">
        <f>IFERROR(__xludf.DUMMYFUNCTION("""COMPUTED_VALUE"""),3765.0)</f>
        <v>3765</v>
      </c>
      <c r="S85" s="329">
        <f>IFERROR(__xludf.DUMMYFUNCTION("""COMPUTED_VALUE"""),2.0)</f>
        <v>2</v>
      </c>
      <c r="T85" s="329">
        <f>IFERROR(__xludf.DUMMYFUNCTION("""COMPUTED_VALUE"""),489.0)</f>
        <v>489</v>
      </c>
      <c r="U85" s="329">
        <f>IFERROR(__xludf.DUMMYFUNCTION("""COMPUTED_VALUE"""),468.0)</f>
        <v>468</v>
      </c>
      <c r="V85" s="329">
        <f>IFERROR(__xludf.DUMMYFUNCTION("""COMPUTED_VALUE"""),456.0)</f>
        <v>456</v>
      </c>
      <c r="W85" s="329">
        <f>IFERROR(__xludf.DUMMYFUNCTION("""COMPUTED_VALUE"""),53.0)</f>
        <v>53</v>
      </c>
      <c r="X85" s="329">
        <f>IFERROR(__xludf.DUMMYFUNCTION("""COMPUTED_VALUE"""),30.0)</f>
        <v>30</v>
      </c>
      <c r="Y85" s="329">
        <f>IFERROR(__xludf.DUMMYFUNCTION("""COMPUTED_VALUE"""),7.0)</f>
        <v>7</v>
      </c>
      <c r="Z85" s="329">
        <f>IFERROR(__xludf.DUMMYFUNCTION("""COMPUTED_VALUE"""),1416.0)</f>
        <v>1416</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IFERROR(__xludf.DUMMYFUNCTION("""COMPUTED_VALUE"""),44166.0)</f>
        <v>44166</v>
      </c>
      <c r="B86" s="329">
        <f>IFERROR(__xludf.DUMMYFUNCTION("""COMPUTED_VALUE"""),1567.0)</f>
        <v>1567</v>
      </c>
      <c r="C86" s="329">
        <f>IFERROR(__xludf.DUMMYFUNCTION("""COMPUTED_VALUE"""),1230.0)</f>
        <v>1230</v>
      </c>
      <c r="D86" s="329">
        <f>IFERROR(__xludf.DUMMYFUNCTION("""COMPUTED_VALUE"""),73507.0)</f>
        <v>73507</v>
      </c>
      <c r="E86" s="329">
        <f>IFERROR(__xludf.DUMMYFUNCTION("""COMPUTED_VALUE"""),14023.0)</f>
        <v>14023</v>
      </c>
      <c r="F86" s="258">
        <f>IFERROR(__xludf.DUMMYFUNCTION("""COMPUTED_VALUE"""),1505581.0)</f>
        <v>1505581</v>
      </c>
      <c r="G86" s="258">
        <f>IFERROR(__xludf.DUMMYFUNCTION("""COMPUTED_VALUE"""),15590.0)</f>
        <v>15590</v>
      </c>
      <c r="H86" s="258">
        <f>IFERROR(__xludf.DUMMYFUNCTION("""COMPUTED_VALUE"""),1579088.0)</f>
        <v>1579088</v>
      </c>
      <c r="I86" s="329">
        <f>IFERROR(__xludf.DUMMYFUNCTION("""COMPUTED_VALUE"""),1427.0)</f>
        <v>1427</v>
      </c>
      <c r="J86" s="329">
        <f>IFERROR(__xludf.DUMMYFUNCTION("""COMPUTED_VALUE"""),1117.0)</f>
        <v>1117</v>
      </c>
      <c r="K86" s="329">
        <f>IFERROR(__xludf.DUMMYFUNCTION("""COMPUTED_VALUE"""),59617.0)</f>
        <v>59617</v>
      </c>
      <c r="L86" s="329">
        <f>IFERROR(__xludf.DUMMYFUNCTION("""COMPUTED_VALUE"""),3212.0)</f>
        <v>3212</v>
      </c>
      <c r="M86" s="329">
        <f>IFERROR(__xludf.DUMMYFUNCTION("""COMPUTED_VALUE"""),444244.0)</f>
        <v>444244</v>
      </c>
      <c r="N86" s="329">
        <f>IFERROR(__xludf.DUMMYFUNCTION("""COMPUTED_VALUE"""),503861.0)</f>
        <v>503861</v>
      </c>
      <c r="O86" s="329">
        <f>IFERROR(__xludf.DUMMYFUNCTION("""COMPUTED_VALUE"""),62.0)</f>
        <v>62</v>
      </c>
      <c r="P86" s="329">
        <f>IFERROR(__xludf.DUMMYFUNCTION("""COMPUTED_VALUE"""),4784.0)</f>
        <v>4784</v>
      </c>
      <c r="Q86" s="329">
        <f>IFERROR(__xludf.DUMMYFUNCTION("""COMPUTED_VALUE"""),55.0)</f>
        <v>55</v>
      </c>
      <c r="R86" s="329">
        <f>IFERROR(__xludf.DUMMYFUNCTION("""COMPUTED_VALUE"""),3820.0)</f>
        <v>3820</v>
      </c>
      <c r="S86" s="329">
        <f>IFERROR(__xludf.DUMMYFUNCTION("""COMPUTED_VALUE"""),4.0)</f>
        <v>4</v>
      </c>
      <c r="T86" s="329">
        <f>IFERROR(__xludf.DUMMYFUNCTION("""COMPUTED_VALUE"""),493.0)</f>
        <v>493</v>
      </c>
      <c r="U86" s="329">
        <f>IFERROR(__xludf.DUMMYFUNCTION("""COMPUTED_VALUE"""),471.0)</f>
        <v>471</v>
      </c>
      <c r="V86" s="329">
        <f>IFERROR(__xludf.DUMMYFUNCTION("""COMPUTED_VALUE"""),467.0)</f>
        <v>467</v>
      </c>
      <c r="W86" s="329">
        <f>IFERROR(__xludf.DUMMYFUNCTION("""COMPUTED_VALUE"""),52.0)</f>
        <v>52</v>
      </c>
      <c r="X86" s="329">
        <f>IFERROR(__xludf.DUMMYFUNCTION("""COMPUTED_VALUE"""),31.0)</f>
        <v>31</v>
      </c>
      <c r="Y86" s="329">
        <f>IFERROR(__xludf.DUMMYFUNCTION("""COMPUTED_VALUE"""),13.0)</f>
        <v>13</v>
      </c>
      <c r="Z86" s="329">
        <f>IFERROR(__xludf.DUMMYFUNCTION("""COMPUTED_VALUE"""),1429.0)</f>
        <v>1429</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IFERROR(__xludf.DUMMYFUNCTION("""COMPUTED_VALUE"""),44167.0)</f>
        <v>44167</v>
      </c>
      <c r="B87" s="329">
        <f>IFERROR(__xludf.DUMMYFUNCTION("""COMPUTED_VALUE"""),1572.0)</f>
        <v>1572</v>
      </c>
      <c r="C87" s="329">
        <f>IFERROR(__xludf.DUMMYFUNCTION("""COMPUTED_VALUE"""),1478.0)</f>
        <v>1478</v>
      </c>
      <c r="D87" s="329">
        <f>IFERROR(__xludf.DUMMYFUNCTION("""COMPUTED_VALUE"""),75079.0)</f>
        <v>75079</v>
      </c>
      <c r="E87" s="329">
        <f>IFERROR(__xludf.DUMMYFUNCTION("""COMPUTED_VALUE"""),15522.0)</f>
        <v>15522</v>
      </c>
      <c r="F87" s="258">
        <f>IFERROR(__xludf.DUMMYFUNCTION("""COMPUTED_VALUE"""),1521103.0)</f>
        <v>1521103</v>
      </c>
      <c r="G87" s="258">
        <f>IFERROR(__xludf.DUMMYFUNCTION("""COMPUTED_VALUE"""),17094.0)</f>
        <v>17094</v>
      </c>
      <c r="H87" s="258">
        <f>IFERROR(__xludf.DUMMYFUNCTION("""COMPUTED_VALUE"""),1596182.0)</f>
        <v>1596182</v>
      </c>
      <c r="I87" s="329">
        <f>IFERROR(__xludf.DUMMYFUNCTION("""COMPUTED_VALUE"""),1450.0)</f>
        <v>1450</v>
      </c>
      <c r="J87" s="329">
        <f>IFERROR(__xludf.DUMMYFUNCTION("""COMPUTED_VALUE"""),1349.0)</f>
        <v>1349</v>
      </c>
      <c r="K87" s="329">
        <f>IFERROR(__xludf.DUMMYFUNCTION("""COMPUTED_VALUE"""),61067.0)</f>
        <v>61067</v>
      </c>
      <c r="L87" s="329">
        <f>IFERROR(__xludf.DUMMYFUNCTION("""COMPUTED_VALUE"""),3047.0)</f>
        <v>3047</v>
      </c>
      <c r="M87" s="329">
        <f>IFERROR(__xludf.DUMMYFUNCTION("""COMPUTED_VALUE"""),447291.0)</f>
        <v>447291</v>
      </c>
      <c r="N87" s="329">
        <f>IFERROR(__xludf.DUMMYFUNCTION("""COMPUTED_VALUE"""),508358.0)</f>
        <v>508358</v>
      </c>
      <c r="O87" s="329">
        <f>IFERROR(__xludf.DUMMYFUNCTION("""COMPUTED_VALUE"""),55.0)</f>
        <v>55</v>
      </c>
      <c r="P87" s="329">
        <f>IFERROR(__xludf.DUMMYFUNCTION("""COMPUTED_VALUE"""),4839.0)</f>
        <v>4839</v>
      </c>
      <c r="Q87" s="329">
        <f>IFERROR(__xludf.DUMMYFUNCTION("""COMPUTED_VALUE"""),51.0)</f>
        <v>51</v>
      </c>
      <c r="R87" s="329">
        <f>IFERROR(__xludf.DUMMYFUNCTION("""COMPUTED_VALUE"""),3871.0)</f>
        <v>3871</v>
      </c>
      <c r="S87" s="329">
        <f>IFERROR(__xludf.DUMMYFUNCTION("""COMPUTED_VALUE"""),7.0)</f>
        <v>7</v>
      </c>
      <c r="T87" s="329">
        <f>IFERROR(__xludf.DUMMYFUNCTION("""COMPUTED_VALUE"""),500.0)</f>
        <v>500</v>
      </c>
      <c r="U87" s="329">
        <f>IFERROR(__xludf.DUMMYFUNCTION("""COMPUTED_VALUE"""),468.0)</f>
        <v>468</v>
      </c>
      <c r="V87" s="329">
        <f>IFERROR(__xludf.DUMMYFUNCTION("""COMPUTED_VALUE"""),469.0)</f>
        <v>469</v>
      </c>
      <c r="W87" s="329">
        <f>IFERROR(__xludf.DUMMYFUNCTION("""COMPUTED_VALUE"""),53.0)</f>
        <v>53</v>
      </c>
      <c r="X87" s="329">
        <f>IFERROR(__xludf.DUMMYFUNCTION("""COMPUTED_VALUE"""),30.0)</f>
        <v>30</v>
      </c>
      <c r="Y87" s="329">
        <f>IFERROR(__xludf.DUMMYFUNCTION("""COMPUTED_VALUE"""),14.0)</f>
        <v>14</v>
      </c>
      <c r="Z87" s="329">
        <f>IFERROR(__xludf.DUMMYFUNCTION("""COMPUTED_VALUE"""),1443.0)</f>
        <v>1443</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IFERROR(__xludf.DUMMYFUNCTION("""COMPUTED_VALUE"""),44168.0)</f>
        <v>44168</v>
      </c>
      <c r="B88" s="329">
        <f>IFERROR(__xludf.DUMMYFUNCTION("""COMPUTED_VALUE"""),1776.0)</f>
        <v>1776</v>
      </c>
      <c r="C88" s="329">
        <f>IFERROR(__xludf.DUMMYFUNCTION("""COMPUTED_VALUE"""),1638.0)</f>
        <v>1638</v>
      </c>
      <c r="D88" s="329">
        <f>IFERROR(__xludf.DUMMYFUNCTION("""COMPUTED_VALUE"""),76855.0)</f>
        <v>76855</v>
      </c>
      <c r="E88" s="329">
        <f>IFERROR(__xludf.DUMMYFUNCTION("""COMPUTED_VALUE"""),14625.0)</f>
        <v>14625</v>
      </c>
      <c r="F88" s="258">
        <f>IFERROR(__xludf.DUMMYFUNCTION("""COMPUTED_VALUE"""),1535728.0)</f>
        <v>1535728</v>
      </c>
      <c r="G88" s="258">
        <f>IFERROR(__xludf.DUMMYFUNCTION("""COMPUTED_VALUE"""),16401.0)</f>
        <v>16401</v>
      </c>
      <c r="H88" s="258">
        <f>IFERROR(__xludf.DUMMYFUNCTION("""COMPUTED_VALUE"""),1612583.0)</f>
        <v>1612583</v>
      </c>
      <c r="I88" s="329">
        <f>IFERROR(__xludf.DUMMYFUNCTION("""COMPUTED_VALUE"""),1638.0)</f>
        <v>1638</v>
      </c>
      <c r="J88" s="329">
        <f>IFERROR(__xludf.DUMMYFUNCTION("""COMPUTED_VALUE"""),1505.0)</f>
        <v>1505</v>
      </c>
      <c r="K88" s="329">
        <f>IFERROR(__xludf.DUMMYFUNCTION("""COMPUTED_VALUE"""),62705.0)</f>
        <v>62705</v>
      </c>
      <c r="L88" s="329">
        <f>IFERROR(__xludf.DUMMYFUNCTION("""COMPUTED_VALUE"""),3119.0)</f>
        <v>3119</v>
      </c>
      <c r="M88" s="329">
        <f>IFERROR(__xludf.DUMMYFUNCTION("""COMPUTED_VALUE"""),450410.0)</f>
        <v>450410</v>
      </c>
      <c r="N88" s="329">
        <f>IFERROR(__xludf.DUMMYFUNCTION("""COMPUTED_VALUE"""),513115.0)</f>
        <v>513115</v>
      </c>
      <c r="O88" s="329">
        <f>IFERROR(__xludf.DUMMYFUNCTION("""COMPUTED_VALUE"""),64.0)</f>
        <v>64</v>
      </c>
      <c r="P88" s="329">
        <f>IFERROR(__xludf.DUMMYFUNCTION("""COMPUTED_VALUE"""),4903.0)</f>
        <v>4903</v>
      </c>
      <c r="Q88" s="329">
        <f>IFERROR(__xludf.DUMMYFUNCTION("""COMPUTED_VALUE"""),76.0)</f>
        <v>76</v>
      </c>
      <c r="R88" s="329">
        <f>IFERROR(__xludf.DUMMYFUNCTION("""COMPUTED_VALUE"""),3947.0)</f>
        <v>3947</v>
      </c>
      <c r="S88" s="329">
        <f>IFERROR(__xludf.DUMMYFUNCTION("""COMPUTED_VALUE"""),5.0)</f>
        <v>5</v>
      </c>
      <c r="T88" s="329">
        <f>IFERROR(__xludf.DUMMYFUNCTION("""COMPUTED_VALUE"""),505.0)</f>
        <v>505</v>
      </c>
      <c r="U88" s="329">
        <f>IFERROR(__xludf.DUMMYFUNCTION("""COMPUTED_VALUE"""),451.0)</f>
        <v>451</v>
      </c>
      <c r="V88" s="329">
        <f>IFERROR(__xludf.DUMMYFUNCTION("""COMPUTED_VALUE"""),463.0)</f>
        <v>463</v>
      </c>
      <c r="W88" s="329">
        <f>IFERROR(__xludf.DUMMYFUNCTION("""COMPUTED_VALUE"""),49.0)</f>
        <v>49</v>
      </c>
      <c r="X88" s="329">
        <f>IFERROR(__xludf.DUMMYFUNCTION("""COMPUTED_VALUE"""),31.0)</f>
        <v>31</v>
      </c>
      <c r="Y88" s="329">
        <f>IFERROR(__xludf.DUMMYFUNCTION("""COMPUTED_VALUE"""),12.0)</f>
        <v>12</v>
      </c>
      <c r="Z88" s="329">
        <f>IFERROR(__xludf.DUMMYFUNCTION("""COMPUTED_VALUE"""),1455.0)</f>
        <v>1455</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IFERROR(__xludf.DUMMYFUNCTION("""COMPUTED_VALUE"""),44169.0)</f>
        <v>44169</v>
      </c>
      <c r="B89" s="329">
        <f>IFERROR(__xludf.DUMMYFUNCTION("""COMPUTED_VALUE"""),1656.0)</f>
        <v>1656</v>
      </c>
      <c r="C89" s="329">
        <f>IFERROR(__xludf.DUMMYFUNCTION("""COMPUTED_VALUE"""),1668.0)</f>
        <v>1668</v>
      </c>
      <c r="D89" s="329">
        <f>IFERROR(__xludf.DUMMYFUNCTION("""COMPUTED_VALUE"""),78511.0)</f>
        <v>78511</v>
      </c>
      <c r="E89" s="329">
        <f>IFERROR(__xludf.DUMMYFUNCTION("""COMPUTED_VALUE"""),16510.0)</f>
        <v>16510</v>
      </c>
      <c r="F89" s="258">
        <f>IFERROR(__xludf.DUMMYFUNCTION("""COMPUTED_VALUE"""),1552238.0)</f>
        <v>1552238</v>
      </c>
      <c r="G89" s="258">
        <f>IFERROR(__xludf.DUMMYFUNCTION("""COMPUTED_VALUE"""),18166.0)</f>
        <v>18166</v>
      </c>
      <c r="H89" s="258">
        <f>IFERROR(__xludf.DUMMYFUNCTION("""COMPUTED_VALUE"""),1630749.0)</f>
        <v>1630749</v>
      </c>
      <c r="I89" s="329">
        <f>IFERROR(__xludf.DUMMYFUNCTION("""COMPUTED_VALUE"""),1527.0)</f>
        <v>1527</v>
      </c>
      <c r="J89" s="329">
        <f>IFERROR(__xludf.DUMMYFUNCTION("""COMPUTED_VALUE"""),1538.0)</f>
        <v>1538</v>
      </c>
      <c r="K89" s="329">
        <f>IFERROR(__xludf.DUMMYFUNCTION("""COMPUTED_VALUE"""),64232.0)</f>
        <v>64232</v>
      </c>
      <c r="L89" s="329">
        <f>IFERROR(__xludf.DUMMYFUNCTION("""COMPUTED_VALUE"""),3561.0)</f>
        <v>3561</v>
      </c>
      <c r="M89" s="329">
        <f>IFERROR(__xludf.DUMMYFUNCTION("""COMPUTED_VALUE"""),453971.0)</f>
        <v>453971</v>
      </c>
      <c r="N89" s="329">
        <f>IFERROR(__xludf.DUMMYFUNCTION("""COMPUTED_VALUE"""),518203.0)</f>
        <v>518203</v>
      </c>
      <c r="O89" s="329">
        <f>IFERROR(__xludf.DUMMYFUNCTION("""COMPUTED_VALUE"""),70.0)</f>
        <v>70</v>
      </c>
      <c r="P89" s="329">
        <f>IFERROR(__xludf.DUMMYFUNCTION("""COMPUTED_VALUE"""),4973.0)</f>
        <v>4973</v>
      </c>
      <c r="Q89" s="329">
        <f>IFERROR(__xludf.DUMMYFUNCTION("""COMPUTED_VALUE"""),48.0)</f>
        <v>48</v>
      </c>
      <c r="R89" s="329">
        <f>IFERROR(__xludf.DUMMYFUNCTION("""COMPUTED_VALUE"""),3995.0)</f>
        <v>3995</v>
      </c>
      <c r="S89" s="329">
        <f>IFERROR(__xludf.DUMMYFUNCTION("""COMPUTED_VALUE"""),7.0)</f>
        <v>7</v>
      </c>
      <c r="T89" s="329">
        <f>IFERROR(__xludf.DUMMYFUNCTION("""COMPUTED_VALUE"""),512.0)</f>
        <v>512</v>
      </c>
      <c r="U89" s="329">
        <f>IFERROR(__xludf.DUMMYFUNCTION("""COMPUTED_VALUE"""),466.0)</f>
        <v>466</v>
      </c>
      <c r="V89" s="329">
        <f>IFERROR(__xludf.DUMMYFUNCTION("""COMPUTED_VALUE"""),462.0)</f>
        <v>462</v>
      </c>
      <c r="W89" s="329">
        <f>IFERROR(__xludf.DUMMYFUNCTION("""COMPUTED_VALUE"""),46.0)</f>
        <v>46</v>
      </c>
      <c r="X89" s="329">
        <f>IFERROR(__xludf.DUMMYFUNCTION("""COMPUTED_VALUE"""),29.0)</f>
        <v>29</v>
      </c>
      <c r="Y89" s="329">
        <f>IFERROR(__xludf.DUMMYFUNCTION("""COMPUTED_VALUE"""),12.0)</f>
        <v>12</v>
      </c>
      <c r="Z89" s="329">
        <f>IFERROR(__xludf.DUMMYFUNCTION("""COMPUTED_VALUE"""),1467.0)</f>
        <v>1467</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IFERROR(__xludf.DUMMYFUNCTION("""COMPUTED_VALUE"""),44170.0)</f>
        <v>44170</v>
      </c>
      <c r="B90" s="329">
        <f>IFERROR(__xludf.DUMMYFUNCTION("""COMPUTED_VALUE"""),1200.0)</f>
        <v>1200</v>
      </c>
      <c r="C90" s="329">
        <f>IFERROR(__xludf.DUMMYFUNCTION("""COMPUTED_VALUE"""),1544.0)</f>
        <v>1544</v>
      </c>
      <c r="D90" s="329">
        <f>IFERROR(__xludf.DUMMYFUNCTION("""COMPUTED_VALUE"""),79711.0)</f>
        <v>79711</v>
      </c>
      <c r="E90" s="329">
        <f>IFERROR(__xludf.DUMMYFUNCTION("""COMPUTED_VALUE"""),12613.0)</f>
        <v>12613</v>
      </c>
      <c r="F90" s="258">
        <f>IFERROR(__xludf.DUMMYFUNCTION("""COMPUTED_VALUE"""),1564851.0)</f>
        <v>1564851</v>
      </c>
      <c r="G90" s="258">
        <f>IFERROR(__xludf.DUMMYFUNCTION("""COMPUTED_VALUE"""),13813.0)</f>
        <v>13813</v>
      </c>
      <c r="H90" s="258">
        <f>IFERROR(__xludf.DUMMYFUNCTION("""COMPUTED_VALUE"""),1644562.0)</f>
        <v>1644562</v>
      </c>
      <c r="I90" s="329">
        <f>IFERROR(__xludf.DUMMYFUNCTION("""COMPUTED_VALUE"""),1077.0)</f>
        <v>1077</v>
      </c>
      <c r="J90" s="329">
        <f>IFERROR(__xludf.DUMMYFUNCTION("""COMPUTED_VALUE"""),1414.0)</f>
        <v>1414</v>
      </c>
      <c r="K90" s="329">
        <f>IFERROR(__xludf.DUMMYFUNCTION("""COMPUTED_VALUE"""),65309.0)</f>
        <v>65309</v>
      </c>
      <c r="L90" s="329">
        <f>IFERROR(__xludf.DUMMYFUNCTION("""COMPUTED_VALUE"""),2723.0)</f>
        <v>2723</v>
      </c>
      <c r="M90" s="329">
        <f>IFERROR(__xludf.DUMMYFUNCTION("""COMPUTED_VALUE"""),456694.0)</f>
        <v>456694</v>
      </c>
      <c r="N90" s="329">
        <f>IFERROR(__xludf.DUMMYFUNCTION("""COMPUTED_VALUE"""),522003.0)</f>
        <v>522003</v>
      </c>
      <c r="O90" s="329">
        <f>IFERROR(__xludf.DUMMYFUNCTION("""COMPUTED_VALUE"""),68.0)</f>
        <v>68</v>
      </c>
      <c r="P90" s="329">
        <f>IFERROR(__xludf.DUMMYFUNCTION("""COMPUTED_VALUE"""),5041.0)</f>
        <v>5041</v>
      </c>
      <c r="Q90" s="329">
        <f>IFERROR(__xludf.DUMMYFUNCTION("""COMPUTED_VALUE"""),39.0)</f>
        <v>39</v>
      </c>
      <c r="R90" s="329">
        <f>IFERROR(__xludf.DUMMYFUNCTION("""COMPUTED_VALUE"""),4034.0)</f>
        <v>4034</v>
      </c>
      <c r="S90" s="329">
        <f>IFERROR(__xludf.DUMMYFUNCTION("""COMPUTED_VALUE"""),4.0)</f>
        <v>4</v>
      </c>
      <c r="T90" s="329">
        <f>IFERROR(__xludf.DUMMYFUNCTION("""COMPUTED_VALUE"""),516.0)</f>
        <v>516</v>
      </c>
      <c r="U90" s="329">
        <f>IFERROR(__xludf.DUMMYFUNCTION("""COMPUTED_VALUE"""),491.0)</f>
        <v>491</v>
      </c>
      <c r="V90" s="329">
        <f>IFERROR(__xludf.DUMMYFUNCTION("""COMPUTED_VALUE"""),469.0)</f>
        <v>469</v>
      </c>
      <c r="W90" s="329">
        <f>IFERROR(__xludf.DUMMYFUNCTION("""COMPUTED_VALUE"""),48.0)</f>
        <v>48</v>
      </c>
      <c r="X90" s="329">
        <f>IFERROR(__xludf.DUMMYFUNCTION("""COMPUTED_VALUE"""),29.0)</f>
        <v>29</v>
      </c>
      <c r="Y90" s="329">
        <f>IFERROR(__xludf.DUMMYFUNCTION("""COMPUTED_VALUE"""),16.0)</f>
        <v>16</v>
      </c>
      <c r="Z90" s="329">
        <f>IFERROR(__xludf.DUMMYFUNCTION("""COMPUTED_VALUE"""),1483.0)</f>
        <v>1483</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IFERROR(__xludf.DUMMYFUNCTION("""COMPUTED_VALUE"""),44171.0)</f>
        <v>44171</v>
      </c>
      <c r="B91" s="329">
        <f>IFERROR(__xludf.DUMMYFUNCTION("""COMPUTED_VALUE"""),1127.0)</f>
        <v>1127</v>
      </c>
      <c r="C91" s="329">
        <f>IFERROR(__xludf.DUMMYFUNCTION("""COMPUTED_VALUE"""),1328.0)</f>
        <v>1328</v>
      </c>
      <c r="D91" s="329">
        <f>IFERROR(__xludf.DUMMYFUNCTION("""COMPUTED_VALUE"""),80838.0)</f>
        <v>80838</v>
      </c>
      <c r="E91" s="329">
        <f>IFERROR(__xludf.DUMMYFUNCTION("""COMPUTED_VALUE"""),7849.0)</f>
        <v>7849</v>
      </c>
      <c r="F91" s="258">
        <f>IFERROR(__xludf.DUMMYFUNCTION("""COMPUTED_VALUE"""),1572700.0)</f>
        <v>1572700</v>
      </c>
      <c r="G91" s="258">
        <f>IFERROR(__xludf.DUMMYFUNCTION("""COMPUTED_VALUE"""),8976.0)</f>
        <v>8976</v>
      </c>
      <c r="H91" s="258">
        <f>IFERROR(__xludf.DUMMYFUNCTION("""COMPUTED_VALUE"""),1653538.0)</f>
        <v>1653538</v>
      </c>
      <c r="I91" s="329">
        <f>IFERROR(__xludf.DUMMYFUNCTION("""COMPUTED_VALUE"""),981.0)</f>
        <v>981</v>
      </c>
      <c r="J91" s="329">
        <f>IFERROR(__xludf.DUMMYFUNCTION("""COMPUTED_VALUE"""),1195.0)</f>
        <v>1195</v>
      </c>
      <c r="K91" s="329">
        <f>IFERROR(__xludf.DUMMYFUNCTION("""COMPUTED_VALUE"""),66290.0)</f>
        <v>66290</v>
      </c>
      <c r="L91" s="329">
        <f>IFERROR(__xludf.DUMMYFUNCTION("""COMPUTED_VALUE"""),2318.0)</f>
        <v>2318</v>
      </c>
      <c r="M91" s="329">
        <f>IFERROR(__xludf.DUMMYFUNCTION("""COMPUTED_VALUE"""),459012.0)</f>
        <v>459012</v>
      </c>
      <c r="N91" s="329">
        <f>IFERROR(__xludf.DUMMYFUNCTION("""COMPUTED_VALUE"""),525302.0)</f>
        <v>525302</v>
      </c>
      <c r="O91" s="329">
        <f>IFERROR(__xludf.DUMMYFUNCTION("""COMPUTED_VALUE"""),61.0)</f>
        <v>61</v>
      </c>
      <c r="P91" s="329">
        <f>IFERROR(__xludf.DUMMYFUNCTION("""COMPUTED_VALUE"""),5102.0)</f>
        <v>5102</v>
      </c>
      <c r="Q91" s="329">
        <f>IFERROR(__xludf.DUMMYFUNCTION("""COMPUTED_VALUE"""),45.0)</f>
        <v>45</v>
      </c>
      <c r="R91" s="329">
        <f>IFERROR(__xludf.DUMMYFUNCTION("""COMPUTED_VALUE"""),4079.0)</f>
        <v>4079</v>
      </c>
      <c r="S91" s="329">
        <f>IFERROR(__xludf.DUMMYFUNCTION("""COMPUTED_VALUE"""),10.0)</f>
        <v>10</v>
      </c>
      <c r="T91" s="329">
        <f>IFERROR(__xludf.DUMMYFUNCTION("""COMPUTED_VALUE"""),526.0)</f>
        <v>526</v>
      </c>
      <c r="U91" s="329">
        <f>IFERROR(__xludf.DUMMYFUNCTION("""COMPUTED_VALUE"""),497.0)</f>
        <v>497</v>
      </c>
      <c r="V91" s="329">
        <f>IFERROR(__xludf.DUMMYFUNCTION("""COMPUTED_VALUE"""),485.0)</f>
        <v>485</v>
      </c>
      <c r="W91" s="329">
        <f>IFERROR(__xludf.DUMMYFUNCTION("""COMPUTED_VALUE"""),49.0)</f>
        <v>49</v>
      </c>
      <c r="X91" s="329">
        <f>IFERROR(__xludf.DUMMYFUNCTION("""COMPUTED_VALUE"""),25.0)</f>
        <v>25</v>
      </c>
      <c r="Y91" s="329">
        <f>IFERROR(__xludf.DUMMYFUNCTION("""COMPUTED_VALUE"""),15.0)</f>
        <v>15</v>
      </c>
      <c r="Z91" s="329">
        <f>IFERROR(__xludf.DUMMYFUNCTION("""COMPUTED_VALUE"""),1498.0)</f>
        <v>1498</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IFERROR(__xludf.DUMMYFUNCTION("""COMPUTED_VALUE"""),44172.0)</f>
        <v>44172</v>
      </c>
      <c r="B92" s="329">
        <f>IFERROR(__xludf.DUMMYFUNCTION("""COMPUTED_VALUE"""),1397.0)</f>
        <v>1397</v>
      </c>
      <c r="C92" s="329">
        <f>IFERROR(__xludf.DUMMYFUNCTION("""COMPUTED_VALUE"""),1241.0)</f>
        <v>1241</v>
      </c>
      <c r="D92" s="329">
        <f>IFERROR(__xludf.DUMMYFUNCTION("""COMPUTED_VALUE"""),82235.0)</f>
        <v>82235</v>
      </c>
      <c r="E92" s="329">
        <f>IFERROR(__xludf.DUMMYFUNCTION("""COMPUTED_VALUE"""),10704.0)</f>
        <v>10704</v>
      </c>
      <c r="F92" s="258">
        <f>IFERROR(__xludf.DUMMYFUNCTION("""COMPUTED_VALUE"""),1583404.0)</f>
        <v>1583404</v>
      </c>
      <c r="G92" s="258">
        <f>IFERROR(__xludf.DUMMYFUNCTION("""COMPUTED_VALUE"""),12101.0)</f>
        <v>12101</v>
      </c>
      <c r="H92" s="258">
        <f>IFERROR(__xludf.DUMMYFUNCTION("""COMPUTED_VALUE"""),1665639.0)</f>
        <v>1665639</v>
      </c>
      <c r="I92" s="329">
        <f>IFERROR(__xludf.DUMMYFUNCTION("""COMPUTED_VALUE"""),1260.0)</f>
        <v>1260</v>
      </c>
      <c r="J92" s="329">
        <f>IFERROR(__xludf.DUMMYFUNCTION("""COMPUTED_VALUE"""),1106.0)</f>
        <v>1106</v>
      </c>
      <c r="K92" s="329">
        <f>IFERROR(__xludf.DUMMYFUNCTION("""COMPUTED_VALUE"""),67550.0)</f>
        <v>67550</v>
      </c>
      <c r="L92" s="329">
        <f>IFERROR(__xludf.DUMMYFUNCTION("""COMPUTED_VALUE"""),3159.0)</f>
        <v>3159</v>
      </c>
      <c r="M92" s="329">
        <f>IFERROR(__xludf.DUMMYFUNCTION("""COMPUTED_VALUE"""),462171.0)</f>
        <v>462171</v>
      </c>
      <c r="N92" s="329">
        <f>IFERROR(__xludf.DUMMYFUNCTION("""COMPUTED_VALUE"""),529721.0)</f>
        <v>529721</v>
      </c>
      <c r="O92" s="329">
        <f>IFERROR(__xludf.DUMMYFUNCTION("""COMPUTED_VALUE"""),71.0)</f>
        <v>71</v>
      </c>
      <c r="P92" s="329">
        <f>IFERROR(__xludf.DUMMYFUNCTION("""COMPUTED_VALUE"""),5173.0)</f>
        <v>5173</v>
      </c>
      <c r="Q92" s="329">
        <f>IFERROR(__xludf.DUMMYFUNCTION("""COMPUTED_VALUE"""),54.0)</f>
        <v>54</v>
      </c>
      <c r="R92" s="329">
        <f>IFERROR(__xludf.DUMMYFUNCTION("""COMPUTED_VALUE"""),4133.0)</f>
        <v>4133</v>
      </c>
      <c r="S92" s="329">
        <f>IFERROR(__xludf.DUMMYFUNCTION("""COMPUTED_VALUE"""),6.0)</f>
        <v>6</v>
      </c>
      <c r="T92" s="329">
        <f>IFERROR(__xludf.DUMMYFUNCTION("""COMPUTED_VALUE"""),532.0)</f>
        <v>532</v>
      </c>
      <c r="U92" s="329">
        <f>IFERROR(__xludf.DUMMYFUNCTION("""COMPUTED_VALUE"""),508.0)</f>
        <v>508</v>
      </c>
      <c r="V92" s="329">
        <f>IFERROR(__xludf.DUMMYFUNCTION("""COMPUTED_VALUE"""),499.0)</f>
        <v>499</v>
      </c>
      <c r="W92" s="329">
        <f>IFERROR(__xludf.DUMMYFUNCTION("""COMPUTED_VALUE"""),47.0)</f>
        <v>47</v>
      </c>
      <c r="X92" s="329">
        <f>IFERROR(__xludf.DUMMYFUNCTION("""COMPUTED_VALUE"""),25.0)</f>
        <v>25</v>
      </c>
      <c r="Y92" s="329">
        <f>IFERROR(__xludf.DUMMYFUNCTION("""COMPUTED_VALUE"""),24.0)</f>
        <v>24</v>
      </c>
      <c r="Z92" s="329">
        <f>IFERROR(__xludf.DUMMYFUNCTION("""COMPUTED_VALUE"""),1522.0)</f>
        <v>1522</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IFERROR(__xludf.DUMMYFUNCTION("""COMPUTED_VALUE"""),44173.0)</f>
        <v>44173</v>
      </c>
      <c r="B93" s="329">
        <f>IFERROR(__xludf.DUMMYFUNCTION("""COMPUTED_VALUE"""),1466.0)</f>
        <v>1466</v>
      </c>
      <c r="C93" s="329">
        <f>IFERROR(__xludf.DUMMYFUNCTION("""COMPUTED_VALUE"""),1330.0)</f>
        <v>1330</v>
      </c>
      <c r="D93" s="329">
        <f>IFERROR(__xludf.DUMMYFUNCTION("""COMPUTED_VALUE"""),83701.0)</f>
        <v>83701</v>
      </c>
      <c r="E93" s="329">
        <f>IFERROR(__xludf.DUMMYFUNCTION("""COMPUTED_VALUE"""),15324.0)</f>
        <v>15324</v>
      </c>
      <c r="F93" s="258">
        <f>IFERROR(__xludf.DUMMYFUNCTION("""COMPUTED_VALUE"""),1598728.0)</f>
        <v>1598728</v>
      </c>
      <c r="G93" s="258">
        <f>IFERROR(__xludf.DUMMYFUNCTION("""COMPUTED_VALUE"""),16790.0)</f>
        <v>16790</v>
      </c>
      <c r="H93" s="258">
        <f>IFERROR(__xludf.DUMMYFUNCTION("""COMPUTED_VALUE"""),1682429.0)</f>
        <v>1682429</v>
      </c>
      <c r="I93" s="329">
        <f>IFERROR(__xludf.DUMMYFUNCTION("""COMPUTED_VALUE"""),1322.0)</f>
        <v>1322</v>
      </c>
      <c r="J93" s="329">
        <f>IFERROR(__xludf.DUMMYFUNCTION("""COMPUTED_VALUE"""),1188.0)</f>
        <v>1188</v>
      </c>
      <c r="K93" s="329">
        <f>IFERROR(__xludf.DUMMYFUNCTION("""COMPUTED_VALUE"""),68872.0)</f>
        <v>68872</v>
      </c>
      <c r="L93" s="329">
        <f>IFERROR(__xludf.DUMMYFUNCTION("""COMPUTED_VALUE"""),3376.0)</f>
        <v>3376</v>
      </c>
      <c r="M93" s="329">
        <f>IFERROR(__xludf.DUMMYFUNCTION("""COMPUTED_VALUE"""),465547.0)</f>
        <v>465547</v>
      </c>
      <c r="N93" s="329">
        <f>IFERROR(__xludf.DUMMYFUNCTION("""COMPUTED_VALUE"""),534419.0)</f>
        <v>534419</v>
      </c>
      <c r="O93" s="329">
        <f>IFERROR(__xludf.DUMMYFUNCTION("""COMPUTED_VALUE"""),61.0)</f>
        <v>61</v>
      </c>
      <c r="P93" s="329">
        <f>IFERROR(__xludf.DUMMYFUNCTION("""COMPUTED_VALUE"""),5234.0)</f>
        <v>5234</v>
      </c>
      <c r="Q93" s="329">
        <f>IFERROR(__xludf.DUMMYFUNCTION("""COMPUTED_VALUE"""),59.0)</f>
        <v>59</v>
      </c>
      <c r="R93" s="329">
        <f>IFERROR(__xludf.DUMMYFUNCTION("""COMPUTED_VALUE"""),4192.0)</f>
        <v>4192</v>
      </c>
      <c r="S93" s="329">
        <f>IFERROR(__xludf.DUMMYFUNCTION("""COMPUTED_VALUE"""),5.0)</f>
        <v>5</v>
      </c>
      <c r="T93" s="329">
        <f>IFERROR(__xludf.DUMMYFUNCTION("""COMPUTED_VALUE"""),537.0)</f>
        <v>537</v>
      </c>
      <c r="U93" s="329">
        <f>IFERROR(__xludf.DUMMYFUNCTION("""COMPUTED_VALUE"""),505.0)</f>
        <v>505</v>
      </c>
      <c r="V93" s="329">
        <f>IFERROR(__xludf.DUMMYFUNCTION("""COMPUTED_VALUE"""),503.0)</f>
        <v>503</v>
      </c>
      <c r="W93" s="329">
        <f>IFERROR(__xludf.DUMMYFUNCTION("""COMPUTED_VALUE"""),52.0)</f>
        <v>52</v>
      </c>
      <c r="X93" s="329">
        <f>IFERROR(__xludf.DUMMYFUNCTION("""COMPUTED_VALUE"""),29.0)</f>
        <v>29</v>
      </c>
      <c r="Y93" s="329">
        <f>IFERROR(__xludf.DUMMYFUNCTION("""COMPUTED_VALUE"""),21.0)</f>
        <v>21</v>
      </c>
      <c r="Z93" s="329">
        <f>IFERROR(__xludf.DUMMYFUNCTION("""COMPUTED_VALUE"""),1543.0)</f>
        <v>1543</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IFERROR(__xludf.DUMMYFUNCTION("""COMPUTED_VALUE"""),44174.0)</f>
        <v>44174</v>
      </c>
      <c r="B94" s="329">
        <f>IFERROR(__xludf.DUMMYFUNCTION("""COMPUTED_VALUE"""),1500.0)</f>
        <v>1500</v>
      </c>
      <c r="C94" s="329">
        <f>IFERROR(__xludf.DUMMYFUNCTION("""COMPUTED_VALUE"""),1454.0)</f>
        <v>1454</v>
      </c>
      <c r="D94" s="329">
        <f>IFERROR(__xludf.DUMMYFUNCTION("""COMPUTED_VALUE"""),85201.0)</f>
        <v>85201</v>
      </c>
      <c r="E94" s="329">
        <f>IFERROR(__xludf.DUMMYFUNCTION("""COMPUTED_VALUE"""),16357.0)</f>
        <v>16357</v>
      </c>
      <c r="F94" s="258">
        <f>IFERROR(__xludf.DUMMYFUNCTION("""COMPUTED_VALUE"""),1615085.0)</f>
        <v>1615085</v>
      </c>
      <c r="G94" s="258">
        <f>IFERROR(__xludf.DUMMYFUNCTION("""COMPUTED_VALUE"""),17857.0)</f>
        <v>17857</v>
      </c>
      <c r="H94" s="258">
        <f>IFERROR(__xludf.DUMMYFUNCTION("""COMPUTED_VALUE"""),1700286.0)</f>
        <v>1700286</v>
      </c>
      <c r="I94" s="329">
        <f>IFERROR(__xludf.DUMMYFUNCTION("""COMPUTED_VALUE"""),1345.0)</f>
        <v>1345</v>
      </c>
      <c r="J94" s="329">
        <f>IFERROR(__xludf.DUMMYFUNCTION("""COMPUTED_VALUE"""),1309.0)</f>
        <v>1309</v>
      </c>
      <c r="K94" s="329">
        <f>IFERROR(__xludf.DUMMYFUNCTION("""COMPUTED_VALUE"""),70217.0)</f>
        <v>70217</v>
      </c>
      <c r="L94" s="329">
        <f>IFERROR(__xludf.DUMMYFUNCTION("""COMPUTED_VALUE"""),3037.0)</f>
        <v>3037</v>
      </c>
      <c r="M94" s="329">
        <f>IFERROR(__xludf.DUMMYFUNCTION("""COMPUTED_VALUE"""),468584.0)</f>
        <v>468584</v>
      </c>
      <c r="N94" s="329">
        <f>IFERROR(__xludf.DUMMYFUNCTION("""COMPUTED_VALUE"""),538801.0)</f>
        <v>538801</v>
      </c>
      <c r="O94" s="329">
        <f>IFERROR(__xludf.DUMMYFUNCTION("""COMPUTED_VALUE"""),57.0)</f>
        <v>57</v>
      </c>
      <c r="P94" s="329">
        <f>IFERROR(__xludf.DUMMYFUNCTION("""COMPUTED_VALUE"""),5291.0)</f>
        <v>5291</v>
      </c>
      <c r="Q94" s="329">
        <f>IFERROR(__xludf.DUMMYFUNCTION("""COMPUTED_VALUE"""),62.0)</f>
        <v>62</v>
      </c>
      <c r="R94" s="329">
        <f>IFERROR(__xludf.DUMMYFUNCTION("""COMPUTED_VALUE"""),4254.0)</f>
        <v>4254</v>
      </c>
      <c r="S94" s="329">
        <f>IFERROR(__xludf.DUMMYFUNCTION("""COMPUTED_VALUE"""),9.0)</f>
        <v>9</v>
      </c>
      <c r="T94" s="329">
        <f>IFERROR(__xludf.DUMMYFUNCTION("""COMPUTED_VALUE"""),546.0)</f>
        <v>546</v>
      </c>
      <c r="U94" s="329">
        <f>IFERROR(__xludf.DUMMYFUNCTION("""COMPUTED_VALUE"""),491.0)</f>
        <v>491</v>
      </c>
      <c r="V94" s="329">
        <f>IFERROR(__xludf.DUMMYFUNCTION("""COMPUTED_VALUE"""),501.0)</f>
        <v>501</v>
      </c>
      <c r="W94" s="329">
        <f>IFERROR(__xludf.DUMMYFUNCTION("""COMPUTED_VALUE"""),49.0)</f>
        <v>49</v>
      </c>
      <c r="X94" s="329">
        <f>IFERROR(__xludf.DUMMYFUNCTION("""COMPUTED_VALUE"""),31.0)</f>
        <v>31</v>
      </c>
      <c r="Y94" s="329">
        <f>IFERROR(__xludf.DUMMYFUNCTION("""COMPUTED_VALUE"""),15.0)</f>
        <v>15</v>
      </c>
      <c r="Z94" s="329">
        <f>IFERROR(__xludf.DUMMYFUNCTION("""COMPUTED_VALUE"""),1558.0)</f>
        <v>1558</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IFERROR(__xludf.DUMMYFUNCTION("""COMPUTED_VALUE"""),44175.0)</f>
        <v>44175</v>
      </c>
      <c r="B95" s="329">
        <f>IFERROR(__xludf.DUMMYFUNCTION("""COMPUTED_VALUE"""),1475.0)</f>
        <v>1475</v>
      </c>
      <c r="C95" s="329">
        <f>IFERROR(__xludf.DUMMYFUNCTION("""COMPUTED_VALUE"""),1480.0)</f>
        <v>1480</v>
      </c>
      <c r="D95" s="329">
        <f>IFERROR(__xludf.DUMMYFUNCTION("""COMPUTED_VALUE"""),86676.0)</f>
        <v>86676</v>
      </c>
      <c r="E95" s="329">
        <f>IFERROR(__xludf.DUMMYFUNCTION("""COMPUTED_VALUE"""),17282.0)</f>
        <v>17282</v>
      </c>
      <c r="F95" s="258">
        <f>IFERROR(__xludf.DUMMYFUNCTION("""COMPUTED_VALUE"""),1632367.0)</f>
        <v>1632367</v>
      </c>
      <c r="G95" s="258">
        <f>IFERROR(__xludf.DUMMYFUNCTION("""COMPUTED_VALUE"""),18757.0)</f>
        <v>18757</v>
      </c>
      <c r="H95" s="258">
        <f>IFERROR(__xludf.DUMMYFUNCTION("""COMPUTED_VALUE"""),1719043.0)</f>
        <v>1719043</v>
      </c>
      <c r="I95" s="329">
        <f>IFERROR(__xludf.DUMMYFUNCTION("""COMPUTED_VALUE"""),1264.0)</f>
        <v>1264</v>
      </c>
      <c r="J95" s="329">
        <f>IFERROR(__xludf.DUMMYFUNCTION("""COMPUTED_VALUE"""),1310.0)</f>
        <v>1310</v>
      </c>
      <c r="K95" s="329">
        <f>IFERROR(__xludf.DUMMYFUNCTION("""COMPUTED_VALUE"""),71481.0)</f>
        <v>71481</v>
      </c>
      <c r="L95" s="329">
        <f>IFERROR(__xludf.DUMMYFUNCTION("""COMPUTED_VALUE"""),3861.0)</f>
        <v>3861</v>
      </c>
      <c r="M95" s="329">
        <f>IFERROR(__xludf.DUMMYFUNCTION("""COMPUTED_VALUE"""),472445.0)</f>
        <v>472445</v>
      </c>
      <c r="N95" s="329">
        <f>IFERROR(__xludf.DUMMYFUNCTION("""COMPUTED_VALUE"""),543926.0)</f>
        <v>543926</v>
      </c>
      <c r="O95" s="329">
        <f>IFERROR(__xludf.DUMMYFUNCTION("""COMPUTED_VALUE"""),63.0)</f>
        <v>63</v>
      </c>
      <c r="P95" s="329">
        <f>IFERROR(__xludf.DUMMYFUNCTION("""COMPUTED_VALUE"""),5354.0)</f>
        <v>5354</v>
      </c>
      <c r="Q95" s="329">
        <f>IFERROR(__xludf.DUMMYFUNCTION("""COMPUTED_VALUE"""),57.0)</f>
        <v>57</v>
      </c>
      <c r="R95" s="329">
        <f>IFERROR(__xludf.DUMMYFUNCTION("""COMPUTED_VALUE"""),4311.0)</f>
        <v>4311</v>
      </c>
      <c r="S95" s="329">
        <f>IFERROR(__xludf.DUMMYFUNCTION("""COMPUTED_VALUE"""),7.0)</f>
        <v>7</v>
      </c>
      <c r="T95" s="329">
        <f>IFERROR(__xludf.DUMMYFUNCTION("""COMPUTED_VALUE"""),553.0)</f>
        <v>553</v>
      </c>
      <c r="U95" s="329">
        <f>IFERROR(__xludf.DUMMYFUNCTION("""COMPUTED_VALUE"""),490.0)</f>
        <v>490</v>
      </c>
      <c r="V95" s="329">
        <f>IFERROR(__xludf.DUMMYFUNCTION("""COMPUTED_VALUE"""),495.0)</f>
        <v>495</v>
      </c>
      <c r="W95" s="329">
        <f>IFERROR(__xludf.DUMMYFUNCTION("""COMPUTED_VALUE"""),56.0)</f>
        <v>56</v>
      </c>
      <c r="X95" s="329">
        <f>IFERROR(__xludf.DUMMYFUNCTION("""COMPUTED_VALUE"""),30.0)</f>
        <v>30</v>
      </c>
      <c r="Y95" s="329">
        <f>IFERROR(__xludf.DUMMYFUNCTION("""COMPUTED_VALUE"""),26.0)</f>
        <v>26</v>
      </c>
      <c r="Z95" s="329">
        <f>IFERROR(__xludf.DUMMYFUNCTION("""COMPUTED_VALUE"""),1584.0)</f>
        <v>1584</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IFERROR(__xludf.DUMMYFUNCTION("""COMPUTED_VALUE"""),44176.0)</f>
        <v>44176</v>
      </c>
      <c r="B96" s="329">
        <f>IFERROR(__xludf.DUMMYFUNCTION("""COMPUTED_VALUE"""),1490.0)</f>
        <v>1490</v>
      </c>
      <c r="C96" s="329">
        <f>IFERROR(__xludf.DUMMYFUNCTION("""COMPUTED_VALUE"""),1488.0)</f>
        <v>1488</v>
      </c>
      <c r="D96" s="329">
        <f>IFERROR(__xludf.DUMMYFUNCTION("""COMPUTED_VALUE"""),88166.0)</f>
        <v>88166</v>
      </c>
      <c r="E96" s="329">
        <f>IFERROR(__xludf.DUMMYFUNCTION("""COMPUTED_VALUE"""),17392.0)</f>
        <v>17392</v>
      </c>
      <c r="F96" s="258">
        <f>IFERROR(__xludf.DUMMYFUNCTION("""COMPUTED_VALUE"""),1649759.0)</f>
        <v>1649759</v>
      </c>
      <c r="G96" s="258">
        <f>IFERROR(__xludf.DUMMYFUNCTION("""COMPUTED_VALUE"""),18882.0)</f>
        <v>18882</v>
      </c>
      <c r="H96" s="258">
        <f>IFERROR(__xludf.DUMMYFUNCTION("""COMPUTED_VALUE"""),1737925.0)</f>
        <v>1737925</v>
      </c>
      <c r="I96" s="329">
        <f>IFERROR(__xludf.DUMMYFUNCTION("""COMPUTED_VALUE"""),1309.0)</f>
        <v>1309</v>
      </c>
      <c r="J96" s="329">
        <f>IFERROR(__xludf.DUMMYFUNCTION("""COMPUTED_VALUE"""),1306.0)</f>
        <v>1306</v>
      </c>
      <c r="K96" s="329">
        <f>IFERROR(__xludf.DUMMYFUNCTION("""COMPUTED_VALUE"""),72790.0)</f>
        <v>72790</v>
      </c>
      <c r="L96" s="329">
        <f>IFERROR(__xludf.DUMMYFUNCTION("""COMPUTED_VALUE"""),3425.0)</f>
        <v>3425</v>
      </c>
      <c r="M96" s="329">
        <f>IFERROR(__xludf.DUMMYFUNCTION("""COMPUTED_VALUE"""),475870.0)</f>
        <v>475870</v>
      </c>
      <c r="N96" s="329">
        <f>IFERROR(__xludf.DUMMYFUNCTION("""COMPUTED_VALUE"""),548660.0)</f>
        <v>548660</v>
      </c>
      <c r="O96" s="329">
        <f>IFERROR(__xludf.DUMMYFUNCTION("""COMPUTED_VALUE"""),69.0)</f>
        <v>69</v>
      </c>
      <c r="P96" s="329">
        <f>IFERROR(__xludf.DUMMYFUNCTION("""COMPUTED_VALUE"""),5423.0)</f>
        <v>5423</v>
      </c>
      <c r="Q96" s="329">
        <f>IFERROR(__xludf.DUMMYFUNCTION("""COMPUTED_VALUE"""),81.0)</f>
        <v>81</v>
      </c>
      <c r="R96" s="329">
        <f>IFERROR(__xludf.DUMMYFUNCTION("""COMPUTED_VALUE"""),4392.0)</f>
        <v>4392</v>
      </c>
      <c r="S96" s="329">
        <f>IFERROR(__xludf.DUMMYFUNCTION("""COMPUTED_VALUE"""),7.0)</f>
        <v>7</v>
      </c>
      <c r="T96" s="329">
        <f>IFERROR(__xludf.DUMMYFUNCTION("""COMPUTED_VALUE"""),560.0)</f>
        <v>560</v>
      </c>
      <c r="U96" s="329">
        <f>IFERROR(__xludf.DUMMYFUNCTION("""COMPUTED_VALUE"""),471.0)</f>
        <v>471</v>
      </c>
      <c r="V96" s="329">
        <f>IFERROR(__xludf.DUMMYFUNCTION("""COMPUTED_VALUE"""),484.0)</f>
        <v>484</v>
      </c>
      <c r="W96" s="329">
        <f>IFERROR(__xludf.DUMMYFUNCTION("""COMPUTED_VALUE"""),62.0)</f>
        <v>62</v>
      </c>
      <c r="X96" s="329">
        <f>IFERROR(__xludf.DUMMYFUNCTION("""COMPUTED_VALUE"""),33.0)</f>
        <v>33</v>
      </c>
      <c r="Y96" s="329">
        <f>IFERROR(__xludf.DUMMYFUNCTION("""COMPUTED_VALUE"""),20.0)</f>
        <v>20</v>
      </c>
      <c r="Z96" s="329">
        <f>IFERROR(__xludf.DUMMYFUNCTION("""COMPUTED_VALUE"""),1604.0)</f>
        <v>1604</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IFERROR(__xludf.DUMMYFUNCTION("""COMPUTED_VALUE"""),44177.0)</f>
        <v>44177</v>
      </c>
      <c r="B97" s="329">
        <f>IFERROR(__xludf.DUMMYFUNCTION("""COMPUTED_VALUE"""),1123.0)</f>
        <v>1123</v>
      </c>
      <c r="C97" s="329">
        <f>IFERROR(__xludf.DUMMYFUNCTION("""COMPUTED_VALUE"""),1363.0)</f>
        <v>1363</v>
      </c>
      <c r="D97" s="329">
        <f>IFERROR(__xludf.DUMMYFUNCTION("""COMPUTED_VALUE"""),89289.0)</f>
        <v>89289</v>
      </c>
      <c r="E97" s="329">
        <f>IFERROR(__xludf.DUMMYFUNCTION("""COMPUTED_VALUE"""),13074.0)</f>
        <v>13074</v>
      </c>
      <c r="F97" s="258">
        <f>IFERROR(__xludf.DUMMYFUNCTION("""COMPUTED_VALUE"""),1662833.0)</f>
        <v>1662833</v>
      </c>
      <c r="G97" s="258">
        <f>IFERROR(__xludf.DUMMYFUNCTION("""COMPUTED_VALUE"""),14197.0)</f>
        <v>14197</v>
      </c>
      <c r="H97" s="258">
        <f>IFERROR(__xludf.DUMMYFUNCTION("""COMPUTED_VALUE"""),1752122.0)</f>
        <v>1752122</v>
      </c>
      <c r="I97" s="329">
        <f>IFERROR(__xludf.DUMMYFUNCTION("""COMPUTED_VALUE"""),943.0)</f>
        <v>943</v>
      </c>
      <c r="J97" s="329">
        <f>IFERROR(__xludf.DUMMYFUNCTION("""COMPUTED_VALUE"""),1172.0)</f>
        <v>1172</v>
      </c>
      <c r="K97" s="329">
        <f>IFERROR(__xludf.DUMMYFUNCTION("""COMPUTED_VALUE"""),73733.0)</f>
        <v>73733</v>
      </c>
      <c r="L97" s="329">
        <f>IFERROR(__xludf.DUMMYFUNCTION("""COMPUTED_VALUE"""),2923.0)</f>
        <v>2923</v>
      </c>
      <c r="M97" s="329">
        <f>IFERROR(__xludf.DUMMYFUNCTION("""COMPUTED_VALUE"""),478793.0)</f>
        <v>478793</v>
      </c>
      <c r="N97" s="329">
        <f>IFERROR(__xludf.DUMMYFUNCTION("""COMPUTED_VALUE"""),552526.0)</f>
        <v>552526</v>
      </c>
      <c r="O97" s="329">
        <f>IFERROR(__xludf.DUMMYFUNCTION("""COMPUTED_VALUE"""),65.0)</f>
        <v>65</v>
      </c>
      <c r="P97" s="329">
        <f>IFERROR(__xludf.DUMMYFUNCTION("""COMPUTED_VALUE"""),5488.0)</f>
        <v>5488</v>
      </c>
      <c r="Q97" s="329">
        <f>IFERROR(__xludf.DUMMYFUNCTION("""COMPUTED_VALUE"""),54.0)</f>
        <v>54</v>
      </c>
      <c r="R97" s="329">
        <f>IFERROR(__xludf.DUMMYFUNCTION("""COMPUTED_VALUE"""),4446.0)</f>
        <v>4446</v>
      </c>
      <c r="S97" s="329">
        <f>IFERROR(__xludf.DUMMYFUNCTION("""COMPUTED_VALUE"""),9.0)</f>
        <v>9</v>
      </c>
      <c r="T97" s="329">
        <f>IFERROR(__xludf.DUMMYFUNCTION("""COMPUTED_VALUE"""),569.0)</f>
        <v>569</v>
      </c>
      <c r="U97" s="329">
        <f>IFERROR(__xludf.DUMMYFUNCTION("""COMPUTED_VALUE"""),473.0)</f>
        <v>473</v>
      </c>
      <c r="V97" s="329">
        <f>IFERROR(__xludf.DUMMYFUNCTION("""COMPUTED_VALUE"""),478.0)</f>
        <v>478</v>
      </c>
      <c r="W97" s="329">
        <f>IFERROR(__xludf.DUMMYFUNCTION("""COMPUTED_VALUE"""),55.0)</f>
        <v>55</v>
      </c>
      <c r="X97" s="329">
        <f>IFERROR(__xludf.DUMMYFUNCTION("""COMPUTED_VALUE"""),32.0)</f>
        <v>32</v>
      </c>
      <c r="Y97" s="329">
        <f>IFERROR(__xludf.DUMMYFUNCTION("""COMPUTED_VALUE"""),19.0)</f>
        <v>19</v>
      </c>
      <c r="Z97" s="329">
        <f>IFERROR(__xludf.DUMMYFUNCTION("""COMPUTED_VALUE"""),1623.0)</f>
        <v>1623</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IFERROR(__xludf.DUMMYFUNCTION("""COMPUTED_VALUE"""),44178.0)</f>
        <v>44178</v>
      </c>
      <c r="B98" s="329">
        <f>IFERROR(__xludf.DUMMYFUNCTION("""COMPUTED_VALUE"""),673.0)</f>
        <v>673</v>
      </c>
      <c r="C98" s="329">
        <f>IFERROR(__xludf.DUMMYFUNCTION("""COMPUTED_VALUE"""),1095.0)</f>
        <v>1095</v>
      </c>
      <c r="D98" s="329">
        <f>IFERROR(__xludf.DUMMYFUNCTION("""COMPUTED_VALUE"""),89962.0)</f>
        <v>89962</v>
      </c>
      <c r="E98" s="329">
        <f>IFERROR(__xludf.DUMMYFUNCTION("""COMPUTED_VALUE"""),7159.0)</f>
        <v>7159</v>
      </c>
      <c r="F98" s="258">
        <f>IFERROR(__xludf.DUMMYFUNCTION("""COMPUTED_VALUE"""),1669992.0)</f>
        <v>1669992</v>
      </c>
      <c r="G98" s="258">
        <f>IFERROR(__xludf.DUMMYFUNCTION("""COMPUTED_VALUE"""),7832.0)</f>
        <v>7832</v>
      </c>
      <c r="H98" s="258">
        <f>IFERROR(__xludf.DUMMYFUNCTION("""COMPUTED_VALUE"""),1759954.0)</f>
        <v>1759954</v>
      </c>
      <c r="I98" s="329">
        <f>IFERROR(__xludf.DUMMYFUNCTION("""COMPUTED_VALUE"""),561.0)</f>
        <v>561</v>
      </c>
      <c r="J98" s="329">
        <f>IFERROR(__xludf.DUMMYFUNCTION("""COMPUTED_VALUE"""),938.0)</f>
        <v>938</v>
      </c>
      <c r="K98" s="329">
        <f>IFERROR(__xludf.DUMMYFUNCTION("""COMPUTED_VALUE"""),74294.0)</f>
        <v>74294</v>
      </c>
      <c r="L98" s="329">
        <f>IFERROR(__xludf.DUMMYFUNCTION("""COMPUTED_VALUE"""),1903.0)</f>
        <v>1903</v>
      </c>
      <c r="M98" s="329">
        <f>IFERROR(__xludf.DUMMYFUNCTION("""COMPUTED_VALUE"""),480696.0)</f>
        <v>480696</v>
      </c>
      <c r="N98" s="329">
        <f>IFERROR(__xludf.DUMMYFUNCTION("""COMPUTED_VALUE"""),554990.0)</f>
        <v>554990</v>
      </c>
      <c r="O98" s="329">
        <f>IFERROR(__xludf.DUMMYFUNCTION("""COMPUTED_VALUE"""),74.0)</f>
        <v>74</v>
      </c>
      <c r="P98" s="329">
        <f>IFERROR(__xludf.DUMMYFUNCTION("""COMPUTED_VALUE"""),5562.0)</f>
        <v>5562</v>
      </c>
      <c r="Q98" s="329">
        <f>IFERROR(__xludf.DUMMYFUNCTION("""COMPUTED_VALUE"""),40.0)</f>
        <v>40</v>
      </c>
      <c r="R98" s="329">
        <f>IFERROR(__xludf.DUMMYFUNCTION("""COMPUTED_VALUE"""),4486.0)</f>
        <v>4486</v>
      </c>
      <c r="S98" s="329">
        <f>IFERROR(__xludf.DUMMYFUNCTION("""COMPUTED_VALUE"""),13.0)</f>
        <v>13</v>
      </c>
      <c r="T98" s="329">
        <f>IFERROR(__xludf.DUMMYFUNCTION("""COMPUTED_VALUE"""),582.0)</f>
        <v>582</v>
      </c>
      <c r="U98" s="329">
        <f>IFERROR(__xludf.DUMMYFUNCTION("""COMPUTED_VALUE"""),494.0)</f>
        <v>494</v>
      </c>
      <c r="V98" s="329">
        <f>IFERROR(__xludf.DUMMYFUNCTION("""COMPUTED_VALUE"""),479.0)</f>
        <v>479</v>
      </c>
      <c r="W98" s="329">
        <f>IFERROR(__xludf.DUMMYFUNCTION("""COMPUTED_VALUE"""),56.0)</f>
        <v>56</v>
      </c>
      <c r="X98" s="329">
        <f>IFERROR(__xludf.DUMMYFUNCTION("""COMPUTED_VALUE"""),30.0)</f>
        <v>30</v>
      </c>
      <c r="Y98" s="329">
        <f>IFERROR(__xludf.DUMMYFUNCTION("""COMPUTED_VALUE"""),30.0)</f>
        <v>30</v>
      </c>
      <c r="Z98" s="329">
        <f>IFERROR(__xludf.DUMMYFUNCTION("""COMPUTED_VALUE"""),1653.0)</f>
        <v>1653</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IFERROR(__xludf.DUMMYFUNCTION("""COMPUTED_VALUE"""),44179.0)</f>
        <v>44179</v>
      </c>
      <c r="B99" s="329">
        <f>IFERROR(__xludf.DUMMYFUNCTION("""COMPUTED_VALUE"""),1318.0)</f>
        <v>1318</v>
      </c>
      <c r="C99" s="329">
        <f>IFERROR(__xludf.DUMMYFUNCTION("""COMPUTED_VALUE"""),1038.0)</f>
        <v>1038</v>
      </c>
      <c r="D99" s="329">
        <f>IFERROR(__xludf.DUMMYFUNCTION("""COMPUTED_VALUE"""),91280.0)</f>
        <v>91280</v>
      </c>
      <c r="E99" s="329">
        <f>IFERROR(__xludf.DUMMYFUNCTION("""COMPUTED_VALUE"""),11247.0)</f>
        <v>11247</v>
      </c>
      <c r="F99" s="258">
        <f>IFERROR(__xludf.DUMMYFUNCTION("""COMPUTED_VALUE"""),1681239.0)</f>
        <v>1681239</v>
      </c>
      <c r="G99" s="258">
        <f>IFERROR(__xludf.DUMMYFUNCTION("""COMPUTED_VALUE"""),12565.0)</f>
        <v>12565</v>
      </c>
      <c r="H99" s="258">
        <f>IFERROR(__xludf.DUMMYFUNCTION("""COMPUTED_VALUE"""),1772519.0)</f>
        <v>1772519</v>
      </c>
      <c r="I99" s="329">
        <f>IFERROR(__xludf.DUMMYFUNCTION("""COMPUTED_VALUE"""),1145.0)</f>
        <v>1145</v>
      </c>
      <c r="J99" s="329">
        <f>IFERROR(__xludf.DUMMYFUNCTION("""COMPUTED_VALUE"""),883.0)</f>
        <v>883</v>
      </c>
      <c r="K99" s="329">
        <f>IFERROR(__xludf.DUMMYFUNCTION("""COMPUTED_VALUE"""),75439.0)</f>
        <v>75439</v>
      </c>
      <c r="L99" s="329">
        <f>IFERROR(__xludf.DUMMYFUNCTION("""COMPUTED_VALUE"""),3232.0)</f>
        <v>3232</v>
      </c>
      <c r="M99" s="329">
        <f>IFERROR(__xludf.DUMMYFUNCTION("""COMPUTED_VALUE"""),483928.0)</f>
        <v>483928</v>
      </c>
      <c r="N99" s="329">
        <f>IFERROR(__xludf.DUMMYFUNCTION("""COMPUTED_VALUE"""),559367.0)</f>
        <v>559367</v>
      </c>
      <c r="O99" s="329">
        <f>IFERROR(__xludf.DUMMYFUNCTION("""COMPUTED_VALUE"""),85.0)</f>
        <v>85</v>
      </c>
      <c r="P99" s="329">
        <f>IFERROR(__xludf.DUMMYFUNCTION("""COMPUTED_VALUE"""),5647.0)</f>
        <v>5647</v>
      </c>
      <c r="Q99" s="329">
        <f>IFERROR(__xludf.DUMMYFUNCTION("""COMPUTED_VALUE"""),63.0)</f>
        <v>63</v>
      </c>
      <c r="R99" s="329">
        <f>IFERROR(__xludf.DUMMYFUNCTION("""COMPUTED_VALUE"""),4549.0)</f>
        <v>4549</v>
      </c>
      <c r="S99" s="329">
        <f>IFERROR(__xludf.DUMMYFUNCTION("""COMPUTED_VALUE"""),10.0)</f>
        <v>10</v>
      </c>
      <c r="T99" s="329">
        <f>IFERROR(__xludf.DUMMYFUNCTION("""COMPUTED_VALUE"""),592.0)</f>
        <v>592</v>
      </c>
      <c r="U99" s="329">
        <f>IFERROR(__xludf.DUMMYFUNCTION("""COMPUTED_VALUE"""),506.0)</f>
        <v>506</v>
      </c>
      <c r="V99" s="329">
        <f>IFERROR(__xludf.DUMMYFUNCTION("""COMPUTED_VALUE"""),491.0)</f>
        <v>491</v>
      </c>
      <c r="W99" s="329">
        <f>IFERROR(__xludf.DUMMYFUNCTION("""COMPUTED_VALUE"""),66.0)</f>
        <v>66</v>
      </c>
      <c r="X99" s="329">
        <f>IFERROR(__xludf.DUMMYFUNCTION("""COMPUTED_VALUE"""),32.0)</f>
        <v>32</v>
      </c>
      <c r="Y99" s="329">
        <f>IFERROR(__xludf.DUMMYFUNCTION("""COMPUTED_VALUE"""),15.0)</f>
        <v>15</v>
      </c>
      <c r="Z99" s="329">
        <f>IFERROR(__xludf.DUMMYFUNCTION("""COMPUTED_VALUE"""),1668.0)</f>
        <v>1668</v>
      </c>
      <c r="AA99" s="258">
        <f>IFERROR(__xludf.DUMMYFUNCTION("""COMPUTED_VALUE"""),113.0)</f>
        <v>113</v>
      </c>
      <c r="AB99" s="258">
        <f>IFERROR(__xludf.DUMMYFUNCTION("""COMPUTED_VALUE"""),0.0)</f>
        <v>0</v>
      </c>
      <c r="AC99" s="258">
        <f>IFERROR(__xludf.DUMMYFUNCTION("""COMPUTED_VALUE"""),113.0)</f>
        <v>113</v>
      </c>
      <c r="AD99" s="258">
        <f>IFERROR(__xludf.DUMMYFUNCTION("""COMPUTED_VALUE"""),113.0)</f>
        <v>113</v>
      </c>
      <c r="AE99" s="258">
        <f>IFERROR(__xludf.DUMMYFUNCTION("""COMPUTED_VALUE"""),113.0)</f>
        <v>113</v>
      </c>
      <c r="AF99" s="258">
        <f>IFERROR(__xludf.DUMMYFUNCTION("""COMPUTED_VALUE"""),113.0)</f>
        <v>113</v>
      </c>
      <c r="AG99" s="258">
        <f>IFERROR(__xludf.DUMMYFUNCTION("""COMPUTED_VALUE"""),0.0)</f>
        <v>0</v>
      </c>
      <c r="AH99" s="258">
        <f>IFERROR(__xludf.DUMMYFUNCTION("""COMPUTED_VALUE"""),0.0)</f>
        <v>0</v>
      </c>
    </row>
    <row r="100">
      <c r="A100" s="328">
        <f>IFERROR(__xludf.DUMMYFUNCTION("""COMPUTED_VALUE"""),44180.0)</f>
        <v>44180</v>
      </c>
      <c r="B100" s="329">
        <f>IFERROR(__xludf.DUMMYFUNCTION("""COMPUTED_VALUE"""),1268.0)</f>
        <v>1268</v>
      </c>
      <c r="C100" s="329">
        <f>IFERROR(__xludf.DUMMYFUNCTION("""COMPUTED_VALUE"""),1086.0)</f>
        <v>1086</v>
      </c>
      <c r="D100" s="329">
        <f>IFERROR(__xludf.DUMMYFUNCTION("""COMPUTED_VALUE"""),92548.0)</f>
        <v>92548</v>
      </c>
      <c r="E100" s="329">
        <f>IFERROR(__xludf.DUMMYFUNCTION("""COMPUTED_VALUE"""),15133.0)</f>
        <v>15133</v>
      </c>
      <c r="F100" s="258">
        <f>IFERROR(__xludf.DUMMYFUNCTION("""COMPUTED_VALUE"""),1696372.0)</f>
        <v>1696372</v>
      </c>
      <c r="G100" s="258">
        <f>IFERROR(__xludf.DUMMYFUNCTION("""COMPUTED_VALUE"""),16401.0)</f>
        <v>16401</v>
      </c>
      <c r="H100" s="258">
        <f>IFERROR(__xludf.DUMMYFUNCTION("""COMPUTED_VALUE"""),1788920.0)</f>
        <v>1788920</v>
      </c>
      <c r="I100" s="329">
        <f>IFERROR(__xludf.DUMMYFUNCTION("""COMPUTED_VALUE"""),1064.0)</f>
        <v>1064</v>
      </c>
      <c r="J100" s="329">
        <f>IFERROR(__xludf.DUMMYFUNCTION("""COMPUTED_VALUE"""),923.0)</f>
        <v>923</v>
      </c>
      <c r="K100" s="329">
        <f>IFERROR(__xludf.DUMMYFUNCTION("""COMPUTED_VALUE"""),76503.0)</f>
        <v>76503</v>
      </c>
      <c r="L100" s="329">
        <f>IFERROR(__xludf.DUMMYFUNCTION("""COMPUTED_VALUE"""),2938.0)</f>
        <v>2938</v>
      </c>
      <c r="M100" s="329">
        <f>IFERROR(__xludf.DUMMYFUNCTION("""COMPUTED_VALUE"""),486866.0)</f>
        <v>486866</v>
      </c>
      <c r="N100" s="329">
        <f>IFERROR(__xludf.DUMMYFUNCTION("""COMPUTED_VALUE"""),563369.0)</f>
        <v>563369</v>
      </c>
      <c r="O100" s="329">
        <f>IFERROR(__xludf.DUMMYFUNCTION("""COMPUTED_VALUE"""),72.0)</f>
        <v>72</v>
      </c>
      <c r="P100" s="329">
        <f>IFERROR(__xludf.DUMMYFUNCTION("""COMPUTED_VALUE"""),5719.0)</f>
        <v>5719</v>
      </c>
      <c r="Q100" s="329">
        <f>IFERROR(__xludf.DUMMYFUNCTION("""COMPUTED_VALUE"""),56.0)</f>
        <v>56</v>
      </c>
      <c r="R100" s="329">
        <f>IFERROR(__xludf.DUMMYFUNCTION("""COMPUTED_VALUE"""),4605.0)</f>
        <v>4605</v>
      </c>
      <c r="S100" s="329">
        <f>IFERROR(__xludf.DUMMYFUNCTION("""COMPUTED_VALUE"""),5.0)</f>
        <v>5</v>
      </c>
      <c r="T100" s="329">
        <f>IFERROR(__xludf.DUMMYFUNCTION("""COMPUTED_VALUE"""),597.0)</f>
        <v>597</v>
      </c>
      <c r="U100" s="329">
        <f>IFERROR(__xludf.DUMMYFUNCTION("""COMPUTED_VALUE"""),517.0)</f>
        <v>517</v>
      </c>
      <c r="V100" s="329">
        <f>IFERROR(__xludf.DUMMYFUNCTION("""COMPUTED_VALUE"""),506.0)</f>
        <v>506</v>
      </c>
      <c r="W100" s="329">
        <f>IFERROR(__xludf.DUMMYFUNCTION("""COMPUTED_VALUE"""),63.0)</f>
        <v>63</v>
      </c>
      <c r="X100" s="329">
        <f>IFERROR(__xludf.DUMMYFUNCTION("""COMPUTED_VALUE"""),32.0)</f>
        <v>32</v>
      </c>
      <c r="Y100" s="329">
        <f>IFERROR(__xludf.DUMMYFUNCTION("""COMPUTED_VALUE"""),16.0)</f>
        <v>16</v>
      </c>
      <c r="Z100" s="329">
        <f>IFERROR(__xludf.DUMMYFUNCTION("""COMPUTED_VALUE"""),1684.0)</f>
        <v>1684</v>
      </c>
      <c r="AA100" s="258">
        <f>IFERROR(__xludf.DUMMYFUNCTION("""COMPUTED_VALUE"""),426.0)</f>
        <v>426</v>
      </c>
      <c r="AB100" s="258">
        <f>IFERROR(__xludf.DUMMYFUNCTION("""COMPUTED_VALUE"""),0.0)</f>
        <v>0</v>
      </c>
      <c r="AC100" s="258">
        <f>IFERROR(__xludf.DUMMYFUNCTION("""COMPUTED_VALUE"""),426.0)</f>
        <v>426</v>
      </c>
      <c r="AD100" s="258">
        <f>IFERROR(__xludf.DUMMYFUNCTION("""COMPUTED_VALUE"""),539.0)</f>
        <v>539</v>
      </c>
      <c r="AE100" s="258">
        <f>IFERROR(__xludf.DUMMYFUNCTION("""COMPUTED_VALUE"""),426.0)</f>
        <v>426</v>
      </c>
      <c r="AF100" s="258">
        <f>IFERROR(__xludf.DUMMYFUNCTION("""COMPUTED_VALUE"""),539.0)</f>
        <v>539</v>
      </c>
      <c r="AG100" s="258">
        <f>IFERROR(__xludf.DUMMYFUNCTION("""COMPUTED_VALUE"""),0.0)</f>
        <v>0</v>
      </c>
      <c r="AH100" s="258">
        <f>IFERROR(__xludf.DUMMYFUNCTION("""COMPUTED_VALUE"""),0.0)</f>
        <v>0</v>
      </c>
    </row>
    <row r="101">
      <c r="A101" s="328">
        <f>IFERROR(__xludf.DUMMYFUNCTION("""COMPUTED_VALUE"""),44181.0)</f>
        <v>44181</v>
      </c>
      <c r="B101" s="329">
        <f>IFERROR(__xludf.DUMMYFUNCTION("""COMPUTED_VALUE"""),1281.0)</f>
        <v>1281</v>
      </c>
      <c r="C101" s="329">
        <f>IFERROR(__xludf.DUMMYFUNCTION("""COMPUTED_VALUE"""),1289.0)</f>
        <v>1289</v>
      </c>
      <c r="D101" s="329">
        <f>IFERROR(__xludf.DUMMYFUNCTION("""COMPUTED_VALUE"""),93829.0)</f>
        <v>93829</v>
      </c>
      <c r="E101" s="329">
        <f>IFERROR(__xludf.DUMMYFUNCTION("""COMPUTED_VALUE"""),19138.0)</f>
        <v>19138</v>
      </c>
      <c r="F101" s="258">
        <f>IFERROR(__xludf.DUMMYFUNCTION("""COMPUTED_VALUE"""),1715510.0)</f>
        <v>1715510</v>
      </c>
      <c r="G101" s="258">
        <f>IFERROR(__xludf.DUMMYFUNCTION("""COMPUTED_VALUE"""),20419.0)</f>
        <v>20419</v>
      </c>
      <c r="H101" s="258">
        <f>IFERROR(__xludf.DUMMYFUNCTION("""COMPUTED_VALUE"""),1809339.0)</f>
        <v>1809339</v>
      </c>
      <c r="I101" s="329">
        <f>IFERROR(__xludf.DUMMYFUNCTION("""COMPUTED_VALUE"""),1088.0)</f>
        <v>1088</v>
      </c>
      <c r="J101" s="329">
        <f>IFERROR(__xludf.DUMMYFUNCTION("""COMPUTED_VALUE"""),1099.0)</f>
        <v>1099</v>
      </c>
      <c r="K101" s="329">
        <f>IFERROR(__xludf.DUMMYFUNCTION("""COMPUTED_VALUE"""),77591.0)</f>
        <v>77591</v>
      </c>
      <c r="L101" s="329">
        <f>IFERROR(__xludf.DUMMYFUNCTION("""COMPUTED_VALUE"""),3533.0)</f>
        <v>3533</v>
      </c>
      <c r="M101" s="329">
        <f>IFERROR(__xludf.DUMMYFUNCTION("""COMPUTED_VALUE"""),490399.0)</f>
        <v>490399</v>
      </c>
      <c r="N101" s="329">
        <f>IFERROR(__xludf.DUMMYFUNCTION("""COMPUTED_VALUE"""),567990.0)</f>
        <v>567990</v>
      </c>
      <c r="O101" s="329">
        <f>IFERROR(__xludf.DUMMYFUNCTION("""COMPUTED_VALUE"""),57.0)</f>
        <v>57</v>
      </c>
      <c r="P101" s="329">
        <f>IFERROR(__xludf.DUMMYFUNCTION("""COMPUTED_VALUE"""),5776.0)</f>
        <v>5776</v>
      </c>
      <c r="Q101" s="329">
        <f>IFERROR(__xludf.DUMMYFUNCTION("""COMPUTED_VALUE"""),73.0)</f>
        <v>73</v>
      </c>
      <c r="R101" s="329">
        <f>IFERROR(__xludf.DUMMYFUNCTION("""COMPUTED_VALUE"""),4678.0)</f>
        <v>4678</v>
      </c>
      <c r="S101" s="329">
        <f>IFERROR(__xludf.DUMMYFUNCTION("""COMPUTED_VALUE"""),11.0)</f>
        <v>11</v>
      </c>
      <c r="T101" s="329">
        <f>IFERROR(__xludf.DUMMYFUNCTION("""COMPUTED_VALUE"""),608.0)</f>
        <v>608</v>
      </c>
      <c r="U101" s="329">
        <f>IFERROR(__xludf.DUMMYFUNCTION("""COMPUTED_VALUE"""),490.0)</f>
        <v>490</v>
      </c>
      <c r="V101" s="329">
        <f>IFERROR(__xludf.DUMMYFUNCTION("""COMPUTED_VALUE"""),504.0)</f>
        <v>504</v>
      </c>
      <c r="W101" s="329">
        <f>IFERROR(__xludf.DUMMYFUNCTION("""COMPUTED_VALUE"""),62.0)</f>
        <v>62</v>
      </c>
      <c r="X101" s="329">
        <f>IFERROR(__xludf.DUMMYFUNCTION("""COMPUTED_VALUE"""),34.0)</f>
        <v>34</v>
      </c>
      <c r="Y101" s="329">
        <f>IFERROR(__xludf.DUMMYFUNCTION("""COMPUTED_VALUE"""),19.0)</f>
        <v>19</v>
      </c>
      <c r="Z101" s="329">
        <f>IFERROR(__xludf.DUMMYFUNCTION("""COMPUTED_VALUE"""),1703.0)</f>
        <v>1703</v>
      </c>
      <c r="AA101" s="258">
        <f>IFERROR(__xludf.DUMMYFUNCTION("""COMPUTED_VALUE"""),419.0)</f>
        <v>419</v>
      </c>
      <c r="AB101" s="258">
        <f>IFERROR(__xludf.DUMMYFUNCTION("""COMPUTED_VALUE"""),0.0)</f>
        <v>0</v>
      </c>
      <c r="AC101" s="258">
        <f>IFERROR(__xludf.DUMMYFUNCTION("""COMPUTED_VALUE"""),419.0)</f>
        <v>419</v>
      </c>
      <c r="AD101" s="258">
        <f>IFERROR(__xludf.DUMMYFUNCTION("""COMPUTED_VALUE"""),958.0)</f>
        <v>958</v>
      </c>
      <c r="AE101" s="258">
        <f>IFERROR(__xludf.DUMMYFUNCTION("""COMPUTED_VALUE"""),419.0)</f>
        <v>419</v>
      </c>
      <c r="AF101" s="258">
        <f>IFERROR(__xludf.DUMMYFUNCTION("""COMPUTED_VALUE"""),958.0)</f>
        <v>958</v>
      </c>
      <c r="AG101" s="258">
        <f>IFERROR(__xludf.DUMMYFUNCTION("""COMPUTED_VALUE"""),0.0)</f>
        <v>0</v>
      </c>
      <c r="AH101" s="258">
        <f>IFERROR(__xludf.DUMMYFUNCTION("""COMPUTED_VALUE"""),0.0)</f>
        <v>0</v>
      </c>
    </row>
    <row r="102">
      <c r="A102" s="328">
        <f>IFERROR(__xludf.DUMMYFUNCTION("""COMPUTED_VALUE"""),44182.0)</f>
        <v>44182</v>
      </c>
      <c r="B102" s="329">
        <f>IFERROR(__xludf.DUMMYFUNCTION("""COMPUTED_VALUE"""),483.0)</f>
        <v>483</v>
      </c>
      <c r="C102" s="329">
        <f>IFERROR(__xludf.DUMMYFUNCTION("""COMPUTED_VALUE"""),1011.0)</f>
        <v>1011</v>
      </c>
      <c r="D102" s="329">
        <f>IFERROR(__xludf.DUMMYFUNCTION("""COMPUTED_VALUE"""),94312.0)</f>
        <v>94312</v>
      </c>
      <c r="E102" s="329">
        <f>IFERROR(__xludf.DUMMYFUNCTION("""COMPUTED_VALUE"""),8774.0)</f>
        <v>8774</v>
      </c>
      <c r="F102" s="258">
        <f>IFERROR(__xludf.DUMMYFUNCTION("""COMPUTED_VALUE"""),1724284.0)</f>
        <v>1724284</v>
      </c>
      <c r="G102" s="258">
        <f>IFERROR(__xludf.DUMMYFUNCTION("""COMPUTED_VALUE"""),9257.0)</f>
        <v>9257</v>
      </c>
      <c r="H102" s="258">
        <f>IFERROR(__xludf.DUMMYFUNCTION("""COMPUTED_VALUE"""),1818596.0)</f>
        <v>1818596</v>
      </c>
      <c r="I102" s="329">
        <f>IFERROR(__xludf.DUMMYFUNCTION("""COMPUTED_VALUE"""),432.0)</f>
        <v>432</v>
      </c>
      <c r="J102" s="329">
        <f>IFERROR(__xludf.DUMMYFUNCTION("""COMPUTED_VALUE"""),861.0)</f>
        <v>861</v>
      </c>
      <c r="K102" s="329">
        <f>IFERROR(__xludf.DUMMYFUNCTION("""COMPUTED_VALUE"""),78023.0)</f>
        <v>78023</v>
      </c>
      <c r="L102" s="329">
        <f>IFERROR(__xludf.DUMMYFUNCTION("""COMPUTED_VALUE"""),1200.0)</f>
        <v>1200</v>
      </c>
      <c r="M102" s="329">
        <f>IFERROR(__xludf.DUMMYFUNCTION("""COMPUTED_VALUE"""),491599.0)</f>
        <v>491599</v>
      </c>
      <c r="N102" s="329">
        <f>IFERROR(__xludf.DUMMYFUNCTION("""COMPUTED_VALUE"""),569622.0)</f>
        <v>569622</v>
      </c>
      <c r="O102" s="329">
        <f>IFERROR(__xludf.DUMMYFUNCTION("""COMPUTED_VALUE"""),46.0)</f>
        <v>46</v>
      </c>
      <c r="P102" s="329">
        <f>IFERROR(__xludf.DUMMYFUNCTION("""COMPUTED_VALUE"""),5822.0)</f>
        <v>5822</v>
      </c>
      <c r="Q102" s="329">
        <f>IFERROR(__xludf.DUMMYFUNCTION("""COMPUTED_VALUE"""),54.0)</f>
        <v>54</v>
      </c>
      <c r="R102" s="329">
        <f>IFERROR(__xludf.DUMMYFUNCTION("""COMPUTED_VALUE"""),4732.0)</f>
        <v>4732</v>
      </c>
      <c r="S102" s="329">
        <f>IFERROR(__xludf.DUMMYFUNCTION("""COMPUTED_VALUE"""),8.0)</f>
        <v>8</v>
      </c>
      <c r="T102" s="329">
        <f>IFERROR(__xludf.DUMMYFUNCTION("""COMPUTED_VALUE"""),616.0)</f>
        <v>616</v>
      </c>
      <c r="U102" s="329">
        <f>IFERROR(__xludf.DUMMYFUNCTION("""COMPUTED_VALUE"""),474.0)</f>
        <v>474</v>
      </c>
      <c r="V102" s="329">
        <f>IFERROR(__xludf.DUMMYFUNCTION("""COMPUTED_VALUE"""),494.0)</f>
        <v>494</v>
      </c>
      <c r="W102" s="329">
        <f>IFERROR(__xludf.DUMMYFUNCTION("""COMPUTED_VALUE"""),61.0)</f>
        <v>61</v>
      </c>
      <c r="X102" s="329">
        <f>IFERROR(__xludf.DUMMYFUNCTION("""COMPUTED_VALUE"""),34.0)</f>
        <v>34</v>
      </c>
      <c r="Y102" s="329">
        <f>IFERROR(__xludf.DUMMYFUNCTION("""COMPUTED_VALUE"""),17.0)</f>
        <v>17</v>
      </c>
      <c r="Z102" s="329">
        <f>IFERROR(__xludf.DUMMYFUNCTION("""COMPUTED_VALUE"""),1720.0)</f>
        <v>1720</v>
      </c>
      <c r="AA102" s="258">
        <f>IFERROR(__xludf.DUMMYFUNCTION("""COMPUTED_VALUE"""),350.0)</f>
        <v>350</v>
      </c>
      <c r="AB102" s="258">
        <f>IFERROR(__xludf.DUMMYFUNCTION("""COMPUTED_VALUE"""),0.0)</f>
        <v>0</v>
      </c>
      <c r="AC102" s="258">
        <f>IFERROR(__xludf.DUMMYFUNCTION("""COMPUTED_VALUE"""),350.0)</f>
        <v>350</v>
      </c>
      <c r="AD102" s="258">
        <f>IFERROR(__xludf.DUMMYFUNCTION("""COMPUTED_VALUE"""),1308.0)</f>
        <v>1308</v>
      </c>
      <c r="AE102" s="258">
        <f>IFERROR(__xludf.DUMMYFUNCTION("""COMPUTED_VALUE"""),350.0)</f>
        <v>350</v>
      </c>
      <c r="AF102" s="258">
        <f>IFERROR(__xludf.DUMMYFUNCTION("""COMPUTED_VALUE"""),1308.0)</f>
        <v>1308</v>
      </c>
      <c r="AG102" s="258">
        <f>IFERROR(__xludf.DUMMYFUNCTION("""COMPUTED_VALUE"""),0.0)</f>
        <v>0</v>
      </c>
      <c r="AH102" s="258">
        <f>IFERROR(__xludf.DUMMYFUNCTION("""COMPUTED_VALUE"""),0.0)</f>
        <v>0</v>
      </c>
    </row>
    <row r="103">
      <c r="A103" s="328">
        <f>IFERROR(__xludf.DUMMYFUNCTION("""COMPUTED_VALUE"""),44183.0)</f>
        <v>44183</v>
      </c>
      <c r="B103" s="329">
        <f>IFERROR(__xludf.DUMMYFUNCTION("""COMPUTED_VALUE"""),1114.0)</f>
        <v>1114</v>
      </c>
      <c r="C103" s="329">
        <f>IFERROR(__xludf.DUMMYFUNCTION("""COMPUTED_VALUE"""),959.0)</f>
        <v>959</v>
      </c>
      <c r="D103" s="329">
        <f>IFERROR(__xludf.DUMMYFUNCTION("""COMPUTED_VALUE"""),95426.0)</f>
        <v>95426</v>
      </c>
      <c r="E103" s="329">
        <f>IFERROR(__xludf.DUMMYFUNCTION("""COMPUTED_VALUE"""),13649.0)</f>
        <v>13649</v>
      </c>
      <c r="F103" s="258">
        <f>IFERROR(__xludf.DUMMYFUNCTION("""COMPUTED_VALUE"""),1737933.0)</f>
        <v>1737933</v>
      </c>
      <c r="G103" s="258">
        <f>IFERROR(__xludf.DUMMYFUNCTION("""COMPUTED_VALUE"""),14763.0)</f>
        <v>14763</v>
      </c>
      <c r="H103" s="258">
        <f>IFERROR(__xludf.DUMMYFUNCTION("""COMPUTED_VALUE"""),1833359.0)</f>
        <v>1833359</v>
      </c>
      <c r="I103" s="329">
        <f>IFERROR(__xludf.DUMMYFUNCTION("""COMPUTED_VALUE"""),947.0)</f>
        <v>947</v>
      </c>
      <c r="J103" s="329">
        <f>IFERROR(__xludf.DUMMYFUNCTION("""COMPUTED_VALUE"""),822.0)</f>
        <v>822</v>
      </c>
      <c r="K103" s="329">
        <f>IFERROR(__xludf.DUMMYFUNCTION("""COMPUTED_VALUE"""),78970.0)</f>
        <v>78970</v>
      </c>
      <c r="L103" s="329">
        <f>IFERROR(__xludf.DUMMYFUNCTION("""COMPUTED_VALUE"""),2695.0)</f>
        <v>2695</v>
      </c>
      <c r="M103" s="329">
        <f>IFERROR(__xludf.DUMMYFUNCTION("""COMPUTED_VALUE"""),494294.0)</f>
        <v>494294</v>
      </c>
      <c r="N103" s="329">
        <f>IFERROR(__xludf.DUMMYFUNCTION("""COMPUTED_VALUE"""),573264.0)</f>
        <v>573264</v>
      </c>
      <c r="O103" s="329">
        <f>IFERROR(__xludf.DUMMYFUNCTION("""COMPUTED_VALUE"""),56.0)</f>
        <v>56</v>
      </c>
      <c r="P103" s="329">
        <f>IFERROR(__xludf.DUMMYFUNCTION("""COMPUTED_VALUE"""),5878.0)</f>
        <v>5878</v>
      </c>
      <c r="Q103" s="329">
        <f>IFERROR(__xludf.DUMMYFUNCTION("""COMPUTED_VALUE"""),66.0)</f>
        <v>66</v>
      </c>
      <c r="R103" s="329">
        <f>IFERROR(__xludf.DUMMYFUNCTION("""COMPUTED_VALUE"""),4798.0)</f>
        <v>4798</v>
      </c>
      <c r="S103" s="329">
        <f>IFERROR(__xludf.DUMMYFUNCTION("""COMPUTED_VALUE"""),11.0)</f>
        <v>11</v>
      </c>
      <c r="T103" s="329">
        <f>IFERROR(__xludf.DUMMYFUNCTION("""COMPUTED_VALUE"""),627.0)</f>
        <v>627</v>
      </c>
      <c r="U103" s="329">
        <f>IFERROR(__xludf.DUMMYFUNCTION("""COMPUTED_VALUE"""),453.0)</f>
        <v>453</v>
      </c>
      <c r="V103" s="329">
        <f>IFERROR(__xludf.DUMMYFUNCTION("""COMPUTED_VALUE"""),472.0)</f>
        <v>472</v>
      </c>
      <c r="W103" s="329">
        <f>IFERROR(__xludf.DUMMYFUNCTION("""COMPUTED_VALUE"""),61.0)</f>
        <v>61</v>
      </c>
      <c r="X103" s="329">
        <f>IFERROR(__xludf.DUMMYFUNCTION("""COMPUTED_VALUE"""),35.0)</f>
        <v>35</v>
      </c>
      <c r="Y103" s="329">
        <f>IFERROR(__xludf.DUMMYFUNCTION("""COMPUTED_VALUE"""),15.0)</f>
        <v>15</v>
      </c>
      <c r="Z103" s="329">
        <f>IFERROR(__xludf.DUMMYFUNCTION("""COMPUTED_VALUE"""),1735.0)</f>
        <v>1735</v>
      </c>
      <c r="AA103" s="258">
        <f>IFERROR(__xludf.DUMMYFUNCTION("""COMPUTED_VALUE"""),1671.0)</f>
        <v>1671</v>
      </c>
      <c r="AB103" s="258">
        <f>IFERROR(__xludf.DUMMYFUNCTION("""COMPUTED_VALUE"""),0.0)</f>
        <v>0</v>
      </c>
      <c r="AC103" s="258">
        <f>IFERROR(__xludf.DUMMYFUNCTION("""COMPUTED_VALUE"""),1671.0)</f>
        <v>1671</v>
      </c>
      <c r="AD103" s="258">
        <f>IFERROR(__xludf.DUMMYFUNCTION("""COMPUTED_VALUE"""),2979.0)</f>
        <v>2979</v>
      </c>
      <c r="AE103" s="258">
        <f>IFERROR(__xludf.DUMMYFUNCTION("""COMPUTED_VALUE"""),1671.0)</f>
        <v>1671</v>
      </c>
      <c r="AF103" s="258">
        <f>IFERROR(__xludf.DUMMYFUNCTION("""COMPUTED_VALUE"""),2979.0)</f>
        <v>2979</v>
      </c>
      <c r="AG103" s="258">
        <f>IFERROR(__xludf.DUMMYFUNCTION("""COMPUTED_VALUE"""),0.0)</f>
        <v>0</v>
      </c>
      <c r="AH103" s="258">
        <f>IFERROR(__xludf.DUMMYFUNCTION("""COMPUTED_VALUE"""),0.0)</f>
        <v>0</v>
      </c>
    </row>
    <row r="104">
      <c r="A104" s="328">
        <f>IFERROR(__xludf.DUMMYFUNCTION("""COMPUTED_VALUE"""),44184.0)</f>
        <v>44184</v>
      </c>
      <c r="B104" s="329">
        <f>IFERROR(__xludf.DUMMYFUNCTION("""COMPUTED_VALUE"""),1317.0)</f>
        <v>1317</v>
      </c>
      <c r="C104" s="329">
        <f>IFERROR(__xludf.DUMMYFUNCTION("""COMPUTED_VALUE"""),971.0)</f>
        <v>971</v>
      </c>
      <c r="D104" s="329">
        <f>IFERROR(__xludf.DUMMYFUNCTION("""COMPUTED_VALUE"""),96743.0)</f>
        <v>96743</v>
      </c>
      <c r="E104" s="329">
        <f>IFERROR(__xludf.DUMMYFUNCTION("""COMPUTED_VALUE"""),16377.0)</f>
        <v>16377</v>
      </c>
      <c r="F104" s="258">
        <f>IFERROR(__xludf.DUMMYFUNCTION("""COMPUTED_VALUE"""),1754310.0)</f>
        <v>1754310</v>
      </c>
      <c r="G104" s="258">
        <f>IFERROR(__xludf.DUMMYFUNCTION("""COMPUTED_VALUE"""),17694.0)</f>
        <v>17694</v>
      </c>
      <c r="H104" s="258">
        <f>IFERROR(__xludf.DUMMYFUNCTION("""COMPUTED_VALUE"""),1851053.0)</f>
        <v>1851053</v>
      </c>
      <c r="I104" s="329">
        <f>IFERROR(__xludf.DUMMYFUNCTION("""COMPUTED_VALUE"""),1085.0)</f>
        <v>1085</v>
      </c>
      <c r="J104" s="329">
        <f>IFERROR(__xludf.DUMMYFUNCTION("""COMPUTED_VALUE"""),821.0)</f>
        <v>821</v>
      </c>
      <c r="K104" s="329">
        <f>IFERROR(__xludf.DUMMYFUNCTION("""COMPUTED_VALUE"""),80055.0)</f>
        <v>80055</v>
      </c>
      <c r="L104" s="329">
        <f>IFERROR(__xludf.DUMMYFUNCTION("""COMPUTED_VALUE"""),2973.0)</f>
        <v>2973</v>
      </c>
      <c r="M104" s="329">
        <f>IFERROR(__xludf.DUMMYFUNCTION("""COMPUTED_VALUE"""),497267.0)</f>
        <v>497267</v>
      </c>
      <c r="N104" s="329">
        <f>IFERROR(__xludf.DUMMYFUNCTION("""COMPUTED_VALUE"""),577322.0)</f>
        <v>577322</v>
      </c>
      <c r="O104" s="329">
        <f>IFERROR(__xludf.DUMMYFUNCTION("""COMPUTED_VALUE"""),60.0)</f>
        <v>60</v>
      </c>
      <c r="P104" s="329">
        <f>IFERROR(__xludf.DUMMYFUNCTION("""COMPUTED_VALUE"""),5938.0)</f>
        <v>5938</v>
      </c>
      <c r="Q104" s="329">
        <f>IFERROR(__xludf.DUMMYFUNCTION("""COMPUTED_VALUE"""),41.0)</f>
        <v>41</v>
      </c>
      <c r="R104" s="329">
        <f>IFERROR(__xludf.DUMMYFUNCTION("""COMPUTED_VALUE"""),4839.0)</f>
        <v>4839</v>
      </c>
      <c r="S104" s="329">
        <f>IFERROR(__xludf.DUMMYFUNCTION("""COMPUTED_VALUE"""),9.0)</f>
        <v>9</v>
      </c>
      <c r="T104" s="329">
        <f>IFERROR(__xludf.DUMMYFUNCTION("""COMPUTED_VALUE"""),636.0)</f>
        <v>636</v>
      </c>
      <c r="U104" s="329">
        <f>IFERROR(__xludf.DUMMYFUNCTION("""COMPUTED_VALUE"""),463.0)</f>
        <v>463</v>
      </c>
      <c r="V104" s="329">
        <f>IFERROR(__xludf.DUMMYFUNCTION("""COMPUTED_VALUE"""),463.0)</f>
        <v>463</v>
      </c>
      <c r="W104" s="329">
        <f>IFERROR(__xludf.DUMMYFUNCTION("""COMPUTED_VALUE"""),62.0)</f>
        <v>62</v>
      </c>
      <c r="X104" s="329">
        <f>IFERROR(__xludf.DUMMYFUNCTION("""COMPUTED_VALUE"""),40.0)</f>
        <v>40</v>
      </c>
      <c r="Y104" s="329">
        <f>IFERROR(__xludf.DUMMYFUNCTION("""COMPUTED_VALUE"""),20.0)</f>
        <v>20</v>
      </c>
      <c r="Z104" s="329">
        <f>IFERROR(__xludf.DUMMYFUNCTION("""COMPUTED_VALUE"""),1755.0)</f>
        <v>1755</v>
      </c>
      <c r="AA104" s="258">
        <f>IFERROR(__xludf.DUMMYFUNCTION("""COMPUTED_VALUE"""),1177.0)</f>
        <v>1177</v>
      </c>
      <c r="AB104" s="258">
        <f>IFERROR(__xludf.DUMMYFUNCTION("""COMPUTED_VALUE"""),0.0)</f>
        <v>0</v>
      </c>
      <c r="AC104" s="258">
        <f>IFERROR(__xludf.DUMMYFUNCTION("""COMPUTED_VALUE"""),1177.0)</f>
        <v>1177</v>
      </c>
      <c r="AD104" s="258">
        <f>IFERROR(__xludf.DUMMYFUNCTION("""COMPUTED_VALUE"""),4156.0)</f>
        <v>4156</v>
      </c>
      <c r="AE104" s="258">
        <f>IFERROR(__xludf.DUMMYFUNCTION("""COMPUTED_VALUE"""),1177.0)</f>
        <v>1177</v>
      </c>
      <c r="AF104" s="258">
        <f>IFERROR(__xludf.DUMMYFUNCTION("""COMPUTED_VALUE"""),4156.0)</f>
        <v>4156</v>
      </c>
      <c r="AG104" s="258">
        <f>IFERROR(__xludf.DUMMYFUNCTION("""COMPUTED_VALUE"""),0.0)</f>
        <v>0</v>
      </c>
      <c r="AH104" s="258">
        <f>IFERROR(__xludf.DUMMYFUNCTION("""COMPUTED_VALUE"""),0.0)</f>
        <v>0</v>
      </c>
    </row>
    <row r="105">
      <c r="A105" s="328">
        <f>IFERROR(__xludf.DUMMYFUNCTION("""COMPUTED_VALUE"""),44185.0)</f>
        <v>44185</v>
      </c>
      <c r="B105" s="329">
        <f>IFERROR(__xludf.DUMMYFUNCTION("""COMPUTED_VALUE"""),537.0)</f>
        <v>537</v>
      </c>
      <c r="C105" s="329">
        <f>IFERROR(__xludf.DUMMYFUNCTION("""COMPUTED_VALUE"""),989.0)</f>
        <v>989</v>
      </c>
      <c r="D105" s="329">
        <f>IFERROR(__xludf.DUMMYFUNCTION("""COMPUTED_VALUE"""),97280.0)</f>
        <v>97280</v>
      </c>
      <c r="E105" s="329">
        <f>IFERROR(__xludf.DUMMYFUNCTION("""COMPUTED_VALUE"""),6826.0)</f>
        <v>6826</v>
      </c>
      <c r="F105" s="258">
        <f>IFERROR(__xludf.DUMMYFUNCTION("""COMPUTED_VALUE"""),1761136.0)</f>
        <v>1761136</v>
      </c>
      <c r="G105" s="258">
        <f>IFERROR(__xludf.DUMMYFUNCTION("""COMPUTED_VALUE"""),7363.0)</f>
        <v>7363</v>
      </c>
      <c r="H105" s="258">
        <f>IFERROR(__xludf.DUMMYFUNCTION("""COMPUTED_VALUE"""),1858416.0)</f>
        <v>1858416</v>
      </c>
      <c r="I105" s="329">
        <f>IFERROR(__xludf.DUMMYFUNCTION("""COMPUTED_VALUE"""),440.0)</f>
        <v>440</v>
      </c>
      <c r="J105" s="329">
        <f>IFERROR(__xludf.DUMMYFUNCTION("""COMPUTED_VALUE"""),824.0)</f>
        <v>824</v>
      </c>
      <c r="K105" s="329">
        <f>IFERROR(__xludf.DUMMYFUNCTION("""COMPUTED_VALUE"""),80495.0)</f>
        <v>80495</v>
      </c>
      <c r="L105" s="329">
        <f>IFERROR(__xludf.DUMMYFUNCTION("""COMPUTED_VALUE"""),1602.0)</f>
        <v>1602</v>
      </c>
      <c r="M105" s="329">
        <f>IFERROR(__xludf.DUMMYFUNCTION("""COMPUTED_VALUE"""),498869.0)</f>
        <v>498869</v>
      </c>
      <c r="N105" s="329">
        <f>IFERROR(__xludf.DUMMYFUNCTION("""COMPUTED_VALUE"""),579364.0)</f>
        <v>579364</v>
      </c>
      <c r="O105" s="329">
        <f>IFERROR(__xludf.DUMMYFUNCTION("""COMPUTED_VALUE"""),59.0)</f>
        <v>59</v>
      </c>
      <c r="P105" s="329">
        <f>IFERROR(__xludf.DUMMYFUNCTION("""COMPUTED_VALUE"""),5997.0)</f>
        <v>5997</v>
      </c>
      <c r="Q105" s="329">
        <f>IFERROR(__xludf.DUMMYFUNCTION("""COMPUTED_VALUE"""),41.0)</f>
        <v>41</v>
      </c>
      <c r="R105" s="329">
        <f>IFERROR(__xludf.DUMMYFUNCTION("""COMPUTED_VALUE"""),4880.0)</f>
        <v>4880</v>
      </c>
      <c r="S105" s="329">
        <f>IFERROR(__xludf.DUMMYFUNCTION("""COMPUTED_VALUE"""),8.0)</f>
        <v>8</v>
      </c>
      <c r="T105" s="329">
        <f>IFERROR(__xludf.DUMMYFUNCTION("""COMPUTED_VALUE"""),644.0)</f>
        <v>644</v>
      </c>
      <c r="U105" s="329">
        <f>IFERROR(__xludf.DUMMYFUNCTION("""COMPUTED_VALUE"""),473.0)</f>
        <v>473</v>
      </c>
      <c r="V105" s="329">
        <f>IFERROR(__xludf.DUMMYFUNCTION("""COMPUTED_VALUE"""),463.0)</f>
        <v>463</v>
      </c>
      <c r="W105" s="329">
        <f>IFERROR(__xludf.DUMMYFUNCTION("""COMPUTED_VALUE"""),64.0)</f>
        <v>64</v>
      </c>
      <c r="X105" s="329">
        <f>IFERROR(__xludf.DUMMYFUNCTION("""COMPUTED_VALUE"""),43.0)</f>
        <v>43</v>
      </c>
      <c r="Y105" s="329">
        <f>IFERROR(__xludf.DUMMYFUNCTION("""COMPUTED_VALUE"""),14.0)</f>
        <v>14</v>
      </c>
      <c r="Z105" s="329">
        <f>IFERROR(__xludf.DUMMYFUNCTION("""COMPUTED_VALUE"""),1769.0)</f>
        <v>1769</v>
      </c>
      <c r="AA105" s="258">
        <f>IFERROR(__xludf.DUMMYFUNCTION("""COMPUTED_VALUE"""),805.0)</f>
        <v>805</v>
      </c>
      <c r="AB105" s="258">
        <f>IFERROR(__xludf.DUMMYFUNCTION("""COMPUTED_VALUE"""),0.0)</f>
        <v>0</v>
      </c>
      <c r="AC105" s="258">
        <f>IFERROR(__xludf.DUMMYFUNCTION("""COMPUTED_VALUE"""),805.0)</f>
        <v>805</v>
      </c>
      <c r="AD105" s="258">
        <f>IFERROR(__xludf.DUMMYFUNCTION("""COMPUTED_VALUE"""),4961.0)</f>
        <v>4961</v>
      </c>
      <c r="AE105" s="258">
        <f>IFERROR(__xludf.DUMMYFUNCTION("""COMPUTED_VALUE"""),805.0)</f>
        <v>805</v>
      </c>
      <c r="AF105" s="258">
        <f>IFERROR(__xludf.DUMMYFUNCTION("""COMPUTED_VALUE"""),4961.0)</f>
        <v>4961</v>
      </c>
      <c r="AG105" s="258">
        <f>IFERROR(__xludf.DUMMYFUNCTION("""COMPUTED_VALUE"""),0.0)</f>
        <v>0</v>
      </c>
      <c r="AH105" s="258">
        <f>IFERROR(__xludf.DUMMYFUNCTION("""COMPUTED_VALUE"""),0.0)</f>
        <v>0</v>
      </c>
    </row>
    <row r="106">
      <c r="A106" s="328">
        <f>IFERROR(__xludf.DUMMYFUNCTION("""COMPUTED_VALUE"""),44186.0)</f>
        <v>44186</v>
      </c>
      <c r="B106" s="329">
        <f>IFERROR(__xludf.DUMMYFUNCTION("""COMPUTED_VALUE"""),1108.0)</f>
        <v>1108</v>
      </c>
      <c r="C106" s="329">
        <f>IFERROR(__xludf.DUMMYFUNCTION("""COMPUTED_VALUE"""),987.0)</f>
        <v>987</v>
      </c>
      <c r="D106" s="329">
        <f>IFERROR(__xludf.DUMMYFUNCTION("""COMPUTED_VALUE"""),98388.0)</f>
        <v>98388</v>
      </c>
      <c r="E106" s="329">
        <f>IFERROR(__xludf.DUMMYFUNCTION("""COMPUTED_VALUE"""),12163.0)</f>
        <v>12163</v>
      </c>
      <c r="F106" s="258">
        <f>IFERROR(__xludf.DUMMYFUNCTION("""COMPUTED_VALUE"""),1773299.0)</f>
        <v>1773299</v>
      </c>
      <c r="G106" s="258">
        <f>IFERROR(__xludf.DUMMYFUNCTION("""COMPUTED_VALUE"""),13271.0)</f>
        <v>13271</v>
      </c>
      <c r="H106" s="258">
        <f>IFERROR(__xludf.DUMMYFUNCTION("""COMPUTED_VALUE"""),1871687.0)</f>
        <v>1871687</v>
      </c>
      <c r="I106" s="329">
        <f>IFERROR(__xludf.DUMMYFUNCTION("""COMPUTED_VALUE"""),932.0)</f>
        <v>932</v>
      </c>
      <c r="J106" s="329">
        <f>IFERROR(__xludf.DUMMYFUNCTION("""COMPUTED_VALUE"""),819.0)</f>
        <v>819</v>
      </c>
      <c r="K106" s="329">
        <f>IFERROR(__xludf.DUMMYFUNCTION("""COMPUTED_VALUE"""),81427.0)</f>
        <v>81427</v>
      </c>
      <c r="L106" s="329">
        <f>IFERROR(__xludf.DUMMYFUNCTION("""COMPUTED_VALUE"""),3448.0)</f>
        <v>3448</v>
      </c>
      <c r="M106" s="329">
        <f>IFERROR(__xludf.DUMMYFUNCTION("""COMPUTED_VALUE"""),502317.0)</f>
        <v>502317</v>
      </c>
      <c r="N106" s="329">
        <f>IFERROR(__xludf.DUMMYFUNCTION("""COMPUTED_VALUE"""),583744.0)</f>
        <v>583744</v>
      </c>
      <c r="O106" s="329">
        <f>IFERROR(__xludf.DUMMYFUNCTION("""COMPUTED_VALUE"""),73.0)</f>
        <v>73</v>
      </c>
      <c r="P106" s="329">
        <f>IFERROR(__xludf.DUMMYFUNCTION("""COMPUTED_VALUE"""),6070.0)</f>
        <v>6070</v>
      </c>
      <c r="Q106" s="329">
        <f>IFERROR(__xludf.DUMMYFUNCTION("""COMPUTED_VALUE"""),52.0)</f>
        <v>52</v>
      </c>
      <c r="R106" s="329">
        <f>IFERROR(__xludf.DUMMYFUNCTION("""COMPUTED_VALUE"""),4932.0)</f>
        <v>4932</v>
      </c>
      <c r="S106" s="329">
        <f>IFERROR(__xludf.DUMMYFUNCTION("""COMPUTED_VALUE"""),7.0)</f>
        <v>7</v>
      </c>
      <c r="T106" s="329">
        <f>IFERROR(__xludf.DUMMYFUNCTION("""COMPUTED_VALUE"""),651.0)</f>
        <v>651</v>
      </c>
      <c r="U106" s="329">
        <f>IFERROR(__xludf.DUMMYFUNCTION("""COMPUTED_VALUE"""),487.0)</f>
        <v>487</v>
      </c>
      <c r="V106" s="329">
        <f>IFERROR(__xludf.DUMMYFUNCTION("""COMPUTED_VALUE"""),474.0)</f>
        <v>474</v>
      </c>
      <c r="W106" s="329">
        <f>IFERROR(__xludf.DUMMYFUNCTION("""COMPUTED_VALUE"""),58.0)</f>
        <v>58</v>
      </c>
      <c r="X106" s="329">
        <f>IFERROR(__xludf.DUMMYFUNCTION("""COMPUTED_VALUE"""),40.0)</f>
        <v>40</v>
      </c>
      <c r="Y106" s="329">
        <f>IFERROR(__xludf.DUMMYFUNCTION("""COMPUTED_VALUE"""),11.0)</f>
        <v>11</v>
      </c>
      <c r="Z106" s="329">
        <f>IFERROR(__xludf.DUMMYFUNCTION("""COMPUTED_VALUE"""),1780.0)</f>
        <v>1780</v>
      </c>
      <c r="AA106" s="258">
        <f>IFERROR(__xludf.DUMMYFUNCTION("""COMPUTED_VALUE"""),1767.0)</f>
        <v>1767</v>
      </c>
      <c r="AB106" s="258">
        <f>IFERROR(__xludf.DUMMYFUNCTION("""COMPUTED_VALUE"""),0.0)</f>
        <v>0</v>
      </c>
      <c r="AC106" s="258">
        <f>IFERROR(__xludf.DUMMYFUNCTION("""COMPUTED_VALUE"""),1767.0)</f>
        <v>1767</v>
      </c>
      <c r="AD106" s="258">
        <f>IFERROR(__xludf.DUMMYFUNCTION("""COMPUTED_VALUE"""),6728.0)</f>
        <v>6728</v>
      </c>
      <c r="AE106" s="258">
        <f>IFERROR(__xludf.DUMMYFUNCTION("""COMPUTED_VALUE"""),1767.0)</f>
        <v>1767</v>
      </c>
      <c r="AF106" s="258">
        <f>IFERROR(__xludf.DUMMYFUNCTION("""COMPUTED_VALUE"""),6728.0)</f>
        <v>6728</v>
      </c>
      <c r="AG106" s="258">
        <f>IFERROR(__xludf.DUMMYFUNCTION("""COMPUTED_VALUE"""),0.0)</f>
        <v>0</v>
      </c>
      <c r="AH106" s="258">
        <f>IFERROR(__xludf.DUMMYFUNCTION("""COMPUTED_VALUE"""),0.0)</f>
        <v>0</v>
      </c>
    </row>
    <row r="107">
      <c r="A107" s="328">
        <f>IFERROR(__xludf.DUMMYFUNCTION("""COMPUTED_VALUE"""),44187.0)</f>
        <v>44187</v>
      </c>
      <c r="B107" s="329">
        <f>IFERROR(__xludf.DUMMYFUNCTION("""COMPUTED_VALUE"""),1079.0)</f>
        <v>1079</v>
      </c>
      <c r="C107" s="329">
        <f>IFERROR(__xludf.DUMMYFUNCTION("""COMPUTED_VALUE"""),908.0)</f>
        <v>908</v>
      </c>
      <c r="D107" s="329">
        <f>IFERROR(__xludf.DUMMYFUNCTION("""COMPUTED_VALUE"""),99467.0)</f>
        <v>99467</v>
      </c>
      <c r="E107" s="329">
        <f>IFERROR(__xludf.DUMMYFUNCTION("""COMPUTED_VALUE"""),16605.0)</f>
        <v>16605</v>
      </c>
      <c r="F107" s="258">
        <f>IFERROR(__xludf.DUMMYFUNCTION("""COMPUTED_VALUE"""),1789904.0)</f>
        <v>1789904</v>
      </c>
      <c r="G107" s="258">
        <f>IFERROR(__xludf.DUMMYFUNCTION("""COMPUTED_VALUE"""),17684.0)</f>
        <v>17684</v>
      </c>
      <c r="H107" s="258">
        <f>IFERROR(__xludf.DUMMYFUNCTION("""COMPUTED_VALUE"""),1889371.0)</f>
        <v>1889371</v>
      </c>
      <c r="I107" s="329">
        <f>IFERROR(__xludf.DUMMYFUNCTION("""COMPUTED_VALUE"""),928.0)</f>
        <v>928</v>
      </c>
      <c r="J107" s="329">
        <f>IFERROR(__xludf.DUMMYFUNCTION("""COMPUTED_VALUE"""),767.0)</f>
        <v>767</v>
      </c>
      <c r="K107" s="329">
        <f>IFERROR(__xludf.DUMMYFUNCTION("""COMPUTED_VALUE"""),82355.0)</f>
        <v>82355</v>
      </c>
      <c r="L107" s="329">
        <f>IFERROR(__xludf.DUMMYFUNCTION("""COMPUTED_VALUE"""),3294.0)</f>
        <v>3294</v>
      </c>
      <c r="M107" s="329">
        <f>IFERROR(__xludf.DUMMYFUNCTION("""COMPUTED_VALUE"""),505611.0)</f>
        <v>505611</v>
      </c>
      <c r="N107" s="329">
        <f>IFERROR(__xludf.DUMMYFUNCTION("""COMPUTED_VALUE"""),587966.0)</f>
        <v>587966</v>
      </c>
      <c r="O107" s="329">
        <f>IFERROR(__xludf.DUMMYFUNCTION("""COMPUTED_VALUE"""),51.0)</f>
        <v>51</v>
      </c>
      <c r="P107" s="329">
        <f>IFERROR(__xludf.DUMMYFUNCTION("""COMPUTED_VALUE"""),6121.0)</f>
        <v>6121</v>
      </c>
      <c r="Q107" s="329">
        <f>IFERROR(__xludf.DUMMYFUNCTION("""COMPUTED_VALUE"""),78.0)</f>
        <v>78</v>
      </c>
      <c r="R107" s="329">
        <f>IFERROR(__xludf.DUMMYFUNCTION("""COMPUTED_VALUE"""),5010.0)</f>
        <v>5010</v>
      </c>
      <c r="S107" s="329">
        <f>IFERROR(__xludf.DUMMYFUNCTION("""COMPUTED_VALUE"""),10.0)</f>
        <v>10</v>
      </c>
      <c r="T107" s="329">
        <f>IFERROR(__xludf.DUMMYFUNCTION("""COMPUTED_VALUE"""),661.0)</f>
        <v>661</v>
      </c>
      <c r="U107" s="329">
        <f>IFERROR(__xludf.DUMMYFUNCTION("""COMPUTED_VALUE"""),450.0)</f>
        <v>450</v>
      </c>
      <c r="V107" s="329">
        <f>IFERROR(__xludf.DUMMYFUNCTION("""COMPUTED_VALUE"""),470.0)</f>
        <v>470</v>
      </c>
      <c r="W107" s="329">
        <f>IFERROR(__xludf.DUMMYFUNCTION("""COMPUTED_VALUE"""),58.0)</f>
        <v>58</v>
      </c>
      <c r="X107" s="329">
        <f>IFERROR(__xludf.DUMMYFUNCTION("""COMPUTED_VALUE"""),40.0)</f>
        <v>40</v>
      </c>
      <c r="Y107" s="329">
        <f>IFERROR(__xludf.DUMMYFUNCTION("""COMPUTED_VALUE"""),18.0)</f>
        <v>18</v>
      </c>
      <c r="Z107" s="329">
        <f>IFERROR(__xludf.DUMMYFUNCTION("""COMPUTED_VALUE"""),1798.0)</f>
        <v>1798</v>
      </c>
      <c r="AA107" s="258">
        <f>IFERROR(__xludf.DUMMYFUNCTION("""COMPUTED_VALUE"""),1530.0)</f>
        <v>1530</v>
      </c>
      <c r="AB107" s="258">
        <f>IFERROR(__xludf.DUMMYFUNCTION("""COMPUTED_VALUE"""),0.0)</f>
        <v>0</v>
      </c>
      <c r="AC107" s="258">
        <f>IFERROR(__xludf.DUMMYFUNCTION("""COMPUTED_VALUE"""),1530.0)</f>
        <v>1530</v>
      </c>
      <c r="AD107" s="258">
        <f>IFERROR(__xludf.DUMMYFUNCTION("""COMPUTED_VALUE"""),8258.0)</f>
        <v>8258</v>
      </c>
      <c r="AE107" s="258">
        <f>IFERROR(__xludf.DUMMYFUNCTION("""COMPUTED_VALUE"""),1530.0)</f>
        <v>1530</v>
      </c>
      <c r="AF107" s="258">
        <f>IFERROR(__xludf.DUMMYFUNCTION("""COMPUTED_VALUE"""),8258.0)</f>
        <v>8258</v>
      </c>
      <c r="AG107" s="258">
        <f>IFERROR(__xludf.DUMMYFUNCTION("""COMPUTED_VALUE"""),0.0)</f>
        <v>0</v>
      </c>
      <c r="AH107" s="258">
        <f>IFERROR(__xludf.DUMMYFUNCTION("""COMPUTED_VALUE"""),0.0)</f>
        <v>0</v>
      </c>
    </row>
    <row r="108">
      <c r="A108" s="328">
        <f>IFERROR(__xludf.DUMMYFUNCTION("""COMPUTED_VALUE"""),44188.0)</f>
        <v>44188</v>
      </c>
      <c r="B108" s="329">
        <f>IFERROR(__xludf.DUMMYFUNCTION("""COMPUTED_VALUE"""),1092.0)</f>
        <v>1092</v>
      </c>
      <c r="C108" s="329">
        <f>IFERROR(__xludf.DUMMYFUNCTION("""COMPUTED_VALUE"""),1093.0)</f>
        <v>1093</v>
      </c>
      <c r="D108" s="329">
        <f>IFERROR(__xludf.DUMMYFUNCTION("""COMPUTED_VALUE"""),100559.0)</f>
        <v>100559</v>
      </c>
      <c r="E108" s="329">
        <f>IFERROR(__xludf.DUMMYFUNCTION("""COMPUTED_VALUE"""),19917.0)</f>
        <v>19917</v>
      </c>
      <c r="F108" s="258">
        <f>IFERROR(__xludf.DUMMYFUNCTION("""COMPUTED_VALUE"""),1809821.0)</f>
        <v>1809821</v>
      </c>
      <c r="G108" s="258">
        <f>IFERROR(__xludf.DUMMYFUNCTION("""COMPUTED_VALUE"""),21009.0)</f>
        <v>21009</v>
      </c>
      <c r="H108" s="258">
        <f>IFERROR(__xludf.DUMMYFUNCTION("""COMPUTED_VALUE"""),1910380.0)</f>
        <v>1910380</v>
      </c>
      <c r="I108" s="329">
        <f>IFERROR(__xludf.DUMMYFUNCTION("""COMPUTED_VALUE"""),953.0)</f>
        <v>953</v>
      </c>
      <c r="J108" s="329">
        <f>IFERROR(__xludf.DUMMYFUNCTION("""COMPUTED_VALUE"""),938.0)</f>
        <v>938</v>
      </c>
      <c r="K108" s="329">
        <f>IFERROR(__xludf.DUMMYFUNCTION("""COMPUTED_VALUE"""),83308.0)</f>
        <v>83308</v>
      </c>
      <c r="L108" s="329">
        <f>IFERROR(__xludf.DUMMYFUNCTION("""COMPUTED_VALUE"""),3674.0)</f>
        <v>3674</v>
      </c>
      <c r="M108" s="329">
        <f>IFERROR(__xludf.DUMMYFUNCTION("""COMPUTED_VALUE"""),509285.0)</f>
        <v>509285</v>
      </c>
      <c r="N108" s="329">
        <f>IFERROR(__xludf.DUMMYFUNCTION("""COMPUTED_VALUE"""),592593.0)</f>
        <v>592593</v>
      </c>
      <c r="O108" s="329">
        <f>IFERROR(__xludf.DUMMYFUNCTION("""COMPUTED_VALUE"""),61.0)</f>
        <v>61</v>
      </c>
      <c r="P108" s="329">
        <f>IFERROR(__xludf.DUMMYFUNCTION("""COMPUTED_VALUE"""),6182.0)</f>
        <v>6182</v>
      </c>
      <c r="Q108" s="329">
        <f>IFERROR(__xludf.DUMMYFUNCTION("""COMPUTED_VALUE"""),63.0)</f>
        <v>63</v>
      </c>
      <c r="R108" s="329">
        <f>IFERROR(__xludf.DUMMYFUNCTION("""COMPUTED_VALUE"""),5073.0)</f>
        <v>5073</v>
      </c>
      <c r="S108" s="329">
        <f>IFERROR(__xludf.DUMMYFUNCTION("""COMPUTED_VALUE"""),5.0)</f>
        <v>5</v>
      </c>
      <c r="T108" s="329">
        <f>IFERROR(__xludf.DUMMYFUNCTION("""COMPUTED_VALUE"""),666.0)</f>
        <v>666</v>
      </c>
      <c r="U108" s="329">
        <f>IFERROR(__xludf.DUMMYFUNCTION("""COMPUTED_VALUE"""),443.0)</f>
        <v>443</v>
      </c>
      <c r="V108" s="329">
        <f>IFERROR(__xludf.DUMMYFUNCTION("""COMPUTED_VALUE"""),460.0)</f>
        <v>460</v>
      </c>
      <c r="W108" s="329">
        <f>IFERROR(__xludf.DUMMYFUNCTION("""COMPUTED_VALUE"""),64.0)</f>
        <v>64</v>
      </c>
      <c r="X108" s="329">
        <f>IFERROR(__xludf.DUMMYFUNCTION("""COMPUTED_VALUE"""),41.0)</f>
        <v>41</v>
      </c>
      <c r="Y108" s="329">
        <f>IFERROR(__xludf.DUMMYFUNCTION("""COMPUTED_VALUE"""),10.0)</f>
        <v>10</v>
      </c>
      <c r="Z108" s="329">
        <f>IFERROR(__xludf.DUMMYFUNCTION("""COMPUTED_VALUE"""),1808.0)</f>
        <v>1808</v>
      </c>
      <c r="AA108" s="258">
        <f>IFERROR(__xludf.DUMMYFUNCTION("""COMPUTED_VALUE"""),1587.0)</f>
        <v>1587</v>
      </c>
      <c r="AB108" s="258">
        <f>IFERROR(__xludf.DUMMYFUNCTION("""COMPUTED_VALUE"""),0.0)</f>
        <v>0</v>
      </c>
      <c r="AC108" s="258">
        <f>IFERROR(__xludf.DUMMYFUNCTION("""COMPUTED_VALUE"""),1587.0)</f>
        <v>1587</v>
      </c>
      <c r="AD108" s="258">
        <f>IFERROR(__xludf.DUMMYFUNCTION("""COMPUTED_VALUE"""),9845.0)</f>
        <v>9845</v>
      </c>
      <c r="AE108" s="258">
        <f>IFERROR(__xludf.DUMMYFUNCTION("""COMPUTED_VALUE"""),1587.0)</f>
        <v>1587</v>
      </c>
      <c r="AF108" s="258">
        <f>IFERROR(__xludf.DUMMYFUNCTION("""COMPUTED_VALUE"""),9845.0)</f>
        <v>9845</v>
      </c>
      <c r="AG108" s="258">
        <f>IFERROR(__xludf.DUMMYFUNCTION("""COMPUTED_VALUE"""),0.0)</f>
        <v>0</v>
      </c>
      <c r="AH108" s="258">
        <f>IFERROR(__xludf.DUMMYFUNCTION("""COMPUTED_VALUE"""),0.0)</f>
        <v>0</v>
      </c>
    </row>
    <row r="109">
      <c r="A109" s="328">
        <f>IFERROR(__xludf.DUMMYFUNCTION("""COMPUTED_VALUE"""),44189.0)</f>
        <v>44189</v>
      </c>
      <c r="B109" s="329">
        <f>IFERROR(__xludf.DUMMYFUNCTION("""COMPUTED_VALUE"""),1076.0)</f>
        <v>1076</v>
      </c>
      <c r="C109" s="329">
        <f>IFERROR(__xludf.DUMMYFUNCTION("""COMPUTED_VALUE"""),1082.0)</f>
        <v>1082</v>
      </c>
      <c r="D109" s="329">
        <f>IFERROR(__xludf.DUMMYFUNCTION("""COMPUTED_VALUE"""),101635.0)</f>
        <v>101635</v>
      </c>
      <c r="E109" s="329">
        <f>IFERROR(__xludf.DUMMYFUNCTION("""COMPUTED_VALUE"""),17039.0)</f>
        <v>17039</v>
      </c>
      <c r="F109" s="258">
        <f>IFERROR(__xludf.DUMMYFUNCTION("""COMPUTED_VALUE"""),1826860.0)</f>
        <v>1826860</v>
      </c>
      <c r="G109" s="258">
        <f>IFERROR(__xludf.DUMMYFUNCTION("""COMPUTED_VALUE"""),18115.0)</f>
        <v>18115</v>
      </c>
      <c r="H109" s="258">
        <f>IFERROR(__xludf.DUMMYFUNCTION("""COMPUTED_VALUE"""),1928495.0)</f>
        <v>1928495</v>
      </c>
      <c r="I109" s="329">
        <f>IFERROR(__xludf.DUMMYFUNCTION("""COMPUTED_VALUE"""),892.0)</f>
        <v>892</v>
      </c>
      <c r="J109" s="329">
        <f>IFERROR(__xludf.DUMMYFUNCTION("""COMPUTED_VALUE"""),924.0)</f>
        <v>924</v>
      </c>
      <c r="K109" s="329">
        <f>IFERROR(__xludf.DUMMYFUNCTION("""COMPUTED_VALUE"""),84200.0)</f>
        <v>84200</v>
      </c>
      <c r="L109" s="329">
        <f>IFERROR(__xludf.DUMMYFUNCTION("""COMPUTED_VALUE"""),3339.0)</f>
        <v>3339</v>
      </c>
      <c r="M109" s="329">
        <f>IFERROR(__xludf.DUMMYFUNCTION("""COMPUTED_VALUE"""),512624.0)</f>
        <v>512624</v>
      </c>
      <c r="N109" s="329">
        <f>IFERROR(__xludf.DUMMYFUNCTION("""COMPUTED_VALUE"""),596824.0)</f>
        <v>596824</v>
      </c>
      <c r="O109" s="329">
        <f>IFERROR(__xludf.DUMMYFUNCTION("""COMPUTED_VALUE"""),52.0)</f>
        <v>52</v>
      </c>
      <c r="P109" s="329">
        <f>IFERROR(__xludf.DUMMYFUNCTION("""COMPUTED_VALUE"""),6234.0)</f>
        <v>6234</v>
      </c>
      <c r="Q109" s="329">
        <f>IFERROR(__xludf.DUMMYFUNCTION("""COMPUTED_VALUE"""),55.0)</f>
        <v>55</v>
      </c>
      <c r="R109" s="329">
        <f>IFERROR(__xludf.DUMMYFUNCTION("""COMPUTED_VALUE"""),5128.0)</f>
        <v>5128</v>
      </c>
      <c r="S109" s="329">
        <f>IFERROR(__xludf.DUMMYFUNCTION("""COMPUTED_VALUE"""),6.0)</f>
        <v>6</v>
      </c>
      <c r="T109" s="329">
        <f>IFERROR(__xludf.DUMMYFUNCTION("""COMPUTED_VALUE"""),672.0)</f>
        <v>672</v>
      </c>
      <c r="U109" s="329">
        <f>IFERROR(__xludf.DUMMYFUNCTION("""COMPUTED_VALUE"""),434.0)</f>
        <v>434</v>
      </c>
      <c r="V109" s="329">
        <f>IFERROR(__xludf.DUMMYFUNCTION("""COMPUTED_VALUE"""),442.0)</f>
        <v>442</v>
      </c>
      <c r="W109" s="329">
        <f>IFERROR(__xludf.DUMMYFUNCTION("""COMPUTED_VALUE"""),67.0)</f>
        <v>67</v>
      </c>
      <c r="X109" s="329">
        <f>IFERROR(__xludf.DUMMYFUNCTION("""COMPUTED_VALUE"""),44.0)</f>
        <v>44</v>
      </c>
      <c r="Y109" s="329">
        <f>IFERROR(__xludf.DUMMYFUNCTION("""COMPUTED_VALUE"""),17.0)</f>
        <v>17</v>
      </c>
      <c r="Z109" s="329">
        <f>IFERROR(__xludf.DUMMYFUNCTION("""COMPUTED_VALUE"""),1825.0)</f>
        <v>1825</v>
      </c>
      <c r="AA109" s="258">
        <f>IFERROR(__xludf.DUMMYFUNCTION("""COMPUTED_VALUE"""),636.0)</f>
        <v>636</v>
      </c>
      <c r="AB109" s="258">
        <f>IFERROR(__xludf.DUMMYFUNCTION("""COMPUTED_VALUE"""),0.0)</f>
        <v>0</v>
      </c>
      <c r="AC109" s="258">
        <f>IFERROR(__xludf.DUMMYFUNCTION("""COMPUTED_VALUE"""),636.0)</f>
        <v>636</v>
      </c>
      <c r="AD109" s="258">
        <f>IFERROR(__xludf.DUMMYFUNCTION("""COMPUTED_VALUE"""),10481.0)</f>
        <v>10481</v>
      </c>
      <c r="AE109" s="258">
        <f>IFERROR(__xludf.DUMMYFUNCTION("""COMPUTED_VALUE"""),636.0)</f>
        <v>636</v>
      </c>
      <c r="AF109" s="258">
        <f>IFERROR(__xludf.DUMMYFUNCTION("""COMPUTED_VALUE"""),10481.0)</f>
        <v>10481</v>
      </c>
      <c r="AG109" s="258">
        <f>IFERROR(__xludf.DUMMYFUNCTION("""COMPUTED_VALUE"""),0.0)</f>
        <v>0</v>
      </c>
      <c r="AH109" s="258">
        <f>IFERROR(__xludf.DUMMYFUNCTION("""COMPUTED_VALUE"""),0.0)</f>
        <v>0</v>
      </c>
    </row>
    <row r="110">
      <c r="A110" s="328">
        <f>IFERROR(__xludf.DUMMYFUNCTION("""COMPUTED_VALUE"""),44190.0)</f>
        <v>44190</v>
      </c>
      <c r="B110" s="329">
        <f>IFERROR(__xludf.DUMMYFUNCTION("""COMPUTED_VALUE"""),306.0)</f>
        <v>306</v>
      </c>
      <c r="C110" s="329">
        <f>IFERROR(__xludf.DUMMYFUNCTION("""COMPUTED_VALUE"""),825.0)</f>
        <v>825</v>
      </c>
      <c r="D110" s="329">
        <f>IFERROR(__xludf.DUMMYFUNCTION("""COMPUTED_VALUE"""),101941.0)</f>
        <v>101941</v>
      </c>
      <c r="E110" s="329">
        <f>IFERROR(__xludf.DUMMYFUNCTION("""COMPUTED_VALUE"""),3396.0)</f>
        <v>3396</v>
      </c>
      <c r="F110" s="258">
        <f>IFERROR(__xludf.DUMMYFUNCTION("""COMPUTED_VALUE"""),1830256.0)</f>
        <v>1830256</v>
      </c>
      <c r="G110" s="258">
        <f>IFERROR(__xludf.DUMMYFUNCTION("""COMPUTED_VALUE"""),3702.0)</f>
        <v>3702</v>
      </c>
      <c r="H110" s="258">
        <f>IFERROR(__xludf.DUMMYFUNCTION("""COMPUTED_VALUE"""),1932197.0)</f>
        <v>1932197</v>
      </c>
      <c r="I110" s="329">
        <f>IFERROR(__xludf.DUMMYFUNCTION("""COMPUTED_VALUE"""),244.0)</f>
        <v>244</v>
      </c>
      <c r="J110" s="329">
        <f>IFERROR(__xludf.DUMMYFUNCTION("""COMPUTED_VALUE"""),696.0)</f>
        <v>696</v>
      </c>
      <c r="K110" s="329">
        <f>IFERROR(__xludf.DUMMYFUNCTION("""COMPUTED_VALUE"""),84444.0)</f>
        <v>84444</v>
      </c>
      <c r="L110" s="329">
        <f>IFERROR(__xludf.DUMMYFUNCTION("""COMPUTED_VALUE"""),625.0)</f>
        <v>625</v>
      </c>
      <c r="M110" s="329">
        <f>IFERROR(__xludf.DUMMYFUNCTION("""COMPUTED_VALUE"""),513249.0)</f>
        <v>513249</v>
      </c>
      <c r="N110" s="329">
        <f>IFERROR(__xludf.DUMMYFUNCTION("""COMPUTED_VALUE"""),597693.0)</f>
        <v>597693</v>
      </c>
      <c r="O110" s="329">
        <f>IFERROR(__xludf.DUMMYFUNCTION("""COMPUTED_VALUE"""),51.0)</f>
        <v>51</v>
      </c>
      <c r="P110" s="329">
        <f>IFERROR(__xludf.DUMMYFUNCTION("""COMPUTED_VALUE"""),6285.0)</f>
        <v>6285</v>
      </c>
      <c r="Q110" s="329">
        <f>IFERROR(__xludf.DUMMYFUNCTION("""COMPUTED_VALUE"""),26.0)</f>
        <v>26</v>
      </c>
      <c r="R110" s="329">
        <f>IFERROR(__xludf.DUMMYFUNCTION("""COMPUTED_VALUE"""),5154.0)</f>
        <v>5154</v>
      </c>
      <c r="S110" s="329">
        <f>IFERROR(__xludf.DUMMYFUNCTION("""COMPUTED_VALUE"""),13.0)</f>
        <v>13</v>
      </c>
      <c r="T110" s="329">
        <f>IFERROR(__xludf.DUMMYFUNCTION("""COMPUTED_VALUE"""),685.0)</f>
        <v>685</v>
      </c>
      <c r="U110" s="329">
        <f>IFERROR(__xludf.DUMMYFUNCTION("""COMPUTED_VALUE"""),446.0)</f>
        <v>446</v>
      </c>
      <c r="V110" s="329">
        <f>IFERROR(__xludf.DUMMYFUNCTION("""COMPUTED_VALUE"""),441.0)</f>
        <v>441</v>
      </c>
      <c r="W110" s="329">
        <f>IFERROR(__xludf.DUMMYFUNCTION("""COMPUTED_VALUE"""),64.0)</f>
        <v>64</v>
      </c>
      <c r="X110" s="329">
        <f>IFERROR(__xludf.DUMMYFUNCTION("""COMPUTED_VALUE"""),45.0)</f>
        <v>45</v>
      </c>
      <c r="Y110" s="329">
        <f>IFERROR(__xludf.DUMMYFUNCTION("""COMPUTED_VALUE"""),21.0)</f>
        <v>21</v>
      </c>
      <c r="Z110" s="329">
        <f>IFERROR(__xludf.DUMMYFUNCTION("""COMPUTED_VALUE"""),1846.0)</f>
        <v>1846</v>
      </c>
      <c r="AA110" s="258">
        <f>IFERROR(__xludf.DUMMYFUNCTION("""COMPUTED_VALUE"""),1.0)</f>
        <v>1</v>
      </c>
      <c r="AB110" s="258">
        <f>IFERROR(__xludf.DUMMYFUNCTION("""COMPUTED_VALUE"""),0.0)</f>
        <v>0</v>
      </c>
      <c r="AC110" s="258">
        <f>IFERROR(__xludf.DUMMYFUNCTION("""COMPUTED_VALUE"""),1.0)</f>
        <v>1</v>
      </c>
      <c r="AD110" s="258">
        <f>IFERROR(__xludf.DUMMYFUNCTION("""COMPUTED_VALUE"""),10482.0)</f>
        <v>10482</v>
      </c>
      <c r="AE110" s="258">
        <f>IFERROR(__xludf.DUMMYFUNCTION("""COMPUTED_VALUE"""),1.0)</f>
        <v>1</v>
      </c>
      <c r="AF110" s="258">
        <f>IFERROR(__xludf.DUMMYFUNCTION("""COMPUTED_VALUE"""),10482.0)</f>
        <v>10482</v>
      </c>
      <c r="AG110" s="258">
        <f>IFERROR(__xludf.DUMMYFUNCTION("""COMPUTED_VALUE"""),0.0)</f>
        <v>0</v>
      </c>
      <c r="AH110" s="258">
        <f>IFERROR(__xludf.DUMMYFUNCTION("""COMPUTED_VALUE"""),0.0)</f>
        <v>0</v>
      </c>
    </row>
    <row r="111">
      <c r="A111" s="328">
        <f>IFERROR(__xludf.DUMMYFUNCTION("""COMPUTED_VALUE"""),44191.0)</f>
        <v>44191</v>
      </c>
      <c r="B111" s="329">
        <f>IFERROR(__xludf.DUMMYFUNCTION("""COMPUTED_VALUE"""),945.0)</f>
        <v>945</v>
      </c>
      <c r="C111" s="329">
        <f>IFERROR(__xludf.DUMMYFUNCTION("""COMPUTED_VALUE"""),776.0)</f>
        <v>776</v>
      </c>
      <c r="D111" s="329">
        <f>IFERROR(__xludf.DUMMYFUNCTION("""COMPUTED_VALUE"""),102886.0)</f>
        <v>102886</v>
      </c>
      <c r="E111" s="329">
        <f>IFERROR(__xludf.DUMMYFUNCTION("""COMPUTED_VALUE"""),10663.0)</f>
        <v>10663</v>
      </c>
      <c r="F111" s="258">
        <f>IFERROR(__xludf.DUMMYFUNCTION("""COMPUTED_VALUE"""),1840919.0)</f>
        <v>1840919</v>
      </c>
      <c r="G111" s="258">
        <f>IFERROR(__xludf.DUMMYFUNCTION("""COMPUTED_VALUE"""),11608.0)</f>
        <v>11608</v>
      </c>
      <c r="H111" s="258">
        <f>IFERROR(__xludf.DUMMYFUNCTION("""COMPUTED_VALUE"""),1943805.0)</f>
        <v>1943805</v>
      </c>
      <c r="I111" s="329">
        <f>IFERROR(__xludf.DUMMYFUNCTION("""COMPUTED_VALUE"""),815.0)</f>
        <v>815</v>
      </c>
      <c r="J111" s="329">
        <f>IFERROR(__xludf.DUMMYFUNCTION("""COMPUTED_VALUE"""),650.0)</f>
        <v>650</v>
      </c>
      <c r="K111" s="329">
        <f>IFERROR(__xludf.DUMMYFUNCTION("""COMPUTED_VALUE"""),85259.0)</f>
        <v>85259</v>
      </c>
      <c r="L111" s="329">
        <f>IFERROR(__xludf.DUMMYFUNCTION("""COMPUTED_VALUE"""),2156.0)</f>
        <v>2156</v>
      </c>
      <c r="M111" s="329">
        <f>IFERROR(__xludf.DUMMYFUNCTION("""COMPUTED_VALUE"""),515405.0)</f>
        <v>515405</v>
      </c>
      <c r="N111" s="329">
        <f>IFERROR(__xludf.DUMMYFUNCTION("""COMPUTED_VALUE"""),600664.0)</f>
        <v>600664</v>
      </c>
      <c r="O111" s="329">
        <f>IFERROR(__xludf.DUMMYFUNCTION("""COMPUTED_VALUE"""),57.0)</f>
        <v>57</v>
      </c>
      <c r="P111" s="329">
        <f>IFERROR(__xludf.DUMMYFUNCTION("""COMPUTED_VALUE"""),6342.0)</f>
        <v>6342</v>
      </c>
      <c r="Q111" s="329">
        <f>IFERROR(__xludf.DUMMYFUNCTION("""COMPUTED_VALUE"""),40.0)</f>
        <v>40</v>
      </c>
      <c r="R111" s="329">
        <f>IFERROR(__xludf.DUMMYFUNCTION("""COMPUTED_VALUE"""),5194.0)</f>
        <v>5194</v>
      </c>
      <c r="S111" s="329">
        <f>IFERROR(__xludf.DUMMYFUNCTION("""COMPUTED_VALUE"""),5.0)</f>
        <v>5</v>
      </c>
      <c r="T111" s="329">
        <f>IFERROR(__xludf.DUMMYFUNCTION("""COMPUTED_VALUE"""),690.0)</f>
        <v>690</v>
      </c>
      <c r="U111" s="329">
        <f>IFERROR(__xludf.DUMMYFUNCTION("""COMPUTED_VALUE"""),458.0)</f>
        <v>458</v>
      </c>
      <c r="V111" s="329">
        <f>IFERROR(__xludf.DUMMYFUNCTION("""COMPUTED_VALUE"""),446.0)</f>
        <v>446</v>
      </c>
      <c r="W111" s="329">
        <f>IFERROR(__xludf.DUMMYFUNCTION("""COMPUTED_VALUE"""),67.0)</f>
        <v>67</v>
      </c>
      <c r="X111" s="329">
        <f>IFERROR(__xludf.DUMMYFUNCTION("""COMPUTED_VALUE"""),54.0)</f>
        <v>54</v>
      </c>
      <c r="Y111" s="329">
        <f>IFERROR(__xludf.DUMMYFUNCTION("""COMPUTED_VALUE"""),11.0)</f>
        <v>11</v>
      </c>
      <c r="Z111" s="329">
        <f>IFERROR(__xludf.DUMMYFUNCTION("""COMPUTED_VALUE"""),1857.0)</f>
        <v>1857</v>
      </c>
      <c r="AA111" s="258">
        <f>IFERROR(__xludf.DUMMYFUNCTION("""COMPUTED_VALUE"""),974.0)</f>
        <v>974</v>
      </c>
      <c r="AB111" s="258">
        <f>IFERROR(__xludf.DUMMYFUNCTION("""COMPUTED_VALUE"""),0.0)</f>
        <v>0</v>
      </c>
      <c r="AC111" s="258">
        <f>IFERROR(__xludf.DUMMYFUNCTION("""COMPUTED_VALUE"""),974.0)</f>
        <v>974</v>
      </c>
      <c r="AD111" s="258">
        <f>IFERROR(__xludf.DUMMYFUNCTION("""COMPUTED_VALUE"""),11456.0)</f>
        <v>11456</v>
      </c>
      <c r="AE111" s="258">
        <f>IFERROR(__xludf.DUMMYFUNCTION("""COMPUTED_VALUE"""),974.0)</f>
        <v>974</v>
      </c>
      <c r="AF111" s="258">
        <f>IFERROR(__xludf.DUMMYFUNCTION("""COMPUTED_VALUE"""),11456.0)</f>
        <v>11456</v>
      </c>
      <c r="AG111" s="258">
        <f>IFERROR(__xludf.DUMMYFUNCTION("""COMPUTED_VALUE"""),0.0)</f>
        <v>0</v>
      </c>
      <c r="AH111" s="258">
        <f>IFERROR(__xludf.DUMMYFUNCTION("""COMPUTED_VALUE"""),0.0)</f>
        <v>0</v>
      </c>
    </row>
    <row r="112">
      <c r="A112" s="328">
        <f>IFERROR(__xludf.DUMMYFUNCTION("""COMPUTED_VALUE"""),44192.0)</f>
        <v>44192</v>
      </c>
      <c r="B112" s="329">
        <f>IFERROR(__xludf.DUMMYFUNCTION("""COMPUTED_VALUE"""),791.0)</f>
        <v>791</v>
      </c>
      <c r="C112" s="329">
        <f>IFERROR(__xludf.DUMMYFUNCTION("""COMPUTED_VALUE"""),681.0)</f>
        <v>681</v>
      </c>
      <c r="D112" s="329">
        <f>IFERROR(__xludf.DUMMYFUNCTION("""COMPUTED_VALUE"""),103677.0)</f>
        <v>103677</v>
      </c>
      <c r="E112" s="329">
        <f>IFERROR(__xludf.DUMMYFUNCTION("""COMPUTED_VALUE"""),7566.0)</f>
        <v>7566</v>
      </c>
      <c r="F112" s="258">
        <f>IFERROR(__xludf.DUMMYFUNCTION("""COMPUTED_VALUE"""),1848485.0)</f>
        <v>1848485</v>
      </c>
      <c r="G112" s="258">
        <f>IFERROR(__xludf.DUMMYFUNCTION("""COMPUTED_VALUE"""),8357.0)</f>
        <v>8357</v>
      </c>
      <c r="H112" s="258">
        <f>IFERROR(__xludf.DUMMYFUNCTION("""COMPUTED_VALUE"""),1952162.0)</f>
        <v>1952162</v>
      </c>
      <c r="I112" s="329">
        <f>IFERROR(__xludf.DUMMYFUNCTION("""COMPUTED_VALUE"""),689.0)</f>
        <v>689</v>
      </c>
      <c r="J112" s="329">
        <f>IFERROR(__xludf.DUMMYFUNCTION("""COMPUTED_VALUE"""),583.0)</f>
        <v>583</v>
      </c>
      <c r="K112" s="329">
        <f>IFERROR(__xludf.DUMMYFUNCTION("""COMPUTED_VALUE"""),85948.0)</f>
        <v>85948</v>
      </c>
      <c r="L112" s="329">
        <f>IFERROR(__xludf.DUMMYFUNCTION("""COMPUTED_VALUE"""),1896.0)</f>
        <v>1896</v>
      </c>
      <c r="M112" s="329">
        <f>IFERROR(__xludf.DUMMYFUNCTION("""COMPUTED_VALUE"""),517301.0)</f>
        <v>517301</v>
      </c>
      <c r="N112" s="329">
        <f>IFERROR(__xludf.DUMMYFUNCTION("""COMPUTED_VALUE"""),603249.0)</f>
        <v>603249</v>
      </c>
      <c r="O112" s="329">
        <f>IFERROR(__xludf.DUMMYFUNCTION("""COMPUTED_VALUE"""),45.0)</f>
        <v>45</v>
      </c>
      <c r="P112" s="329">
        <f>IFERROR(__xludf.DUMMYFUNCTION("""COMPUTED_VALUE"""),6387.0)</f>
        <v>6387</v>
      </c>
      <c r="Q112" s="329">
        <f>IFERROR(__xludf.DUMMYFUNCTION("""COMPUTED_VALUE"""),22.0)</f>
        <v>22</v>
      </c>
      <c r="R112" s="329">
        <f>IFERROR(__xludf.DUMMYFUNCTION("""COMPUTED_VALUE"""),5216.0)</f>
        <v>5216</v>
      </c>
      <c r="S112" s="329">
        <f>IFERROR(__xludf.DUMMYFUNCTION("""COMPUTED_VALUE"""),8.0)</f>
        <v>8</v>
      </c>
      <c r="T112" s="329">
        <f>IFERROR(__xludf.DUMMYFUNCTION("""COMPUTED_VALUE"""),698.0)</f>
        <v>698</v>
      </c>
      <c r="U112" s="329">
        <f>IFERROR(__xludf.DUMMYFUNCTION("""COMPUTED_VALUE"""),473.0)</f>
        <v>473</v>
      </c>
      <c r="V112" s="329">
        <f>IFERROR(__xludf.DUMMYFUNCTION("""COMPUTED_VALUE"""),459.0)</f>
        <v>459</v>
      </c>
      <c r="W112" s="329">
        <f>IFERROR(__xludf.DUMMYFUNCTION("""COMPUTED_VALUE"""),68.0)</f>
        <v>68</v>
      </c>
      <c r="X112" s="329">
        <f>IFERROR(__xludf.DUMMYFUNCTION("""COMPUTED_VALUE"""),51.0)</f>
        <v>51</v>
      </c>
      <c r="Y112" s="329">
        <f>IFERROR(__xludf.DUMMYFUNCTION("""COMPUTED_VALUE"""),13.0)</f>
        <v>13</v>
      </c>
      <c r="Z112" s="329">
        <f>IFERROR(__xludf.DUMMYFUNCTION("""COMPUTED_VALUE"""),1870.0)</f>
        <v>1870</v>
      </c>
      <c r="AA112" s="258">
        <f>IFERROR(__xludf.DUMMYFUNCTION("""COMPUTED_VALUE"""),835.0)</f>
        <v>835</v>
      </c>
      <c r="AB112" s="258">
        <f>IFERROR(__xludf.DUMMYFUNCTION("""COMPUTED_VALUE"""),0.0)</f>
        <v>0</v>
      </c>
      <c r="AC112" s="258">
        <f>IFERROR(__xludf.DUMMYFUNCTION("""COMPUTED_VALUE"""),835.0)</f>
        <v>835</v>
      </c>
      <c r="AD112" s="258">
        <f>IFERROR(__xludf.DUMMYFUNCTION("""COMPUTED_VALUE"""),12291.0)</f>
        <v>12291</v>
      </c>
      <c r="AE112" s="258">
        <f>IFERROR(__xludf.DUMMYFUNCTION("""COMPUTED_VALUE"""),835.0)</f>
        <v>835</v>
      </c>
      <c r="AF112" s="258">
        <f>IFERROR(__xludf.DUMMYFUNCTION("""COMPUTED_VALUE"""),12291.0)</f>
        <v>12291</v>
      </c>
      <c r="AG112" s="258">
        <f>IFERROR(__xludf.DUMMYFUNCTION("""COMPUTED_VALUE"""),0.0)</f>
        <v>0</v>
      </c>
      <c r="AH112" s="258">
        <f>IFERROR(__xludf.DUMMYFUNCTION("""COMPUTED_VALUE"""),0.0)</f>
        <v>0</v>
      </c>
    </row>
    <row r="113">
      <c r="A113" s="328">
        <f>IFERROR(__xludf.DUMMYFUNCTION("""COMPUTED_VALUE"""),44193.0)</f>
        <v>44193</v>
      </c>
      <c r="B113" s="329">
        <f>IFERROR(__xludf.DUMMYFUNCTION("""COMPUTED_VALUE"""),1500.0)</f>
        <v>1500</v>
      </c>
      <c r="C113" s="329">
        <f>IFERROR(__xludf.DUMMYFUNCTION("""COMPUTED_VALUE"""),1079.0)</f>
        <v>1079</v>
      </c>
      <c r="D113" s="329">
        <f>IFERROR(__xludf.DUMMYFUNCTION("""COMPUTED_VALUE"""),105177.0)</f>
        <v>105177</v>
      </c>
      <c r="E113" s="329">
        <f>IFERROR(__xludf.DUMMYFUNCTION("""COMPUTED_VALUE"""),12164.0)</f>
        <v>12164</v>
      </c>
      <c r="F113" s="258">
        <f>IFERROR(__xludf.DUMMYFUNCTION("""COMPUTED_VALUE"""),1860649.0)</f>
        <v>1860649</v>
      </c>
      <c r="G113" s="258">
        <f>IFERROR(__xludf.DUMMYFUNCTION("""COMPUTED_VALUE"""),13664.0)</f>
        <v>13664</v>
      </c>
      <c r="H113" s="258">
        <f>IFERROR(__xludf.DUMMYFUNCTION("""COMPUTED_VALUE"""),1965826.0)</f>
        <v>1965826</v>
      </c>
      <c r="I113" s="329">
        <f>IFERROR(__xludf.DUMMYFUNCTION("""COMPUTED_VALUE"""),1288.0)</f>
        <v>1288</v>
      </c>
      <c r="J113" s="329">
        <f>IFERROR(__xludf.DUMMYFUNCTION("""COMPUTED_VALUE"""),931.0)</f>
        <v>931</v>
      </c>
      <c r="K113" s="329">
        <f>IFERROR(__xludf.DUMMYFUNCTION("""COMPUTED_VALUE"""),87236.0)</f>
        <v>87236</v>
      </c>
      <c r="L113" s="329">
        <f>IFERROR(__xludf.DUMMYFUNCTION("""COMPUTED_VALUE"""),3204.0)</f>
        <v>3204</v>
      </c>
      <c r="M113" s="329">
        <f>IFERROR(__xludf.DUMMYFUNCTION("""COMPUTED_VALUE"""),520505.0)</f>
        <v>520505</v>
      </c>
      <c r="N113" s="329">
        <f>IFERROR(__xludf.DUMMYFUNCTION("""COMPUTED_VALUE"""),607741.0)</f>
        <v>607741</v>
      </c>
      <c r="O113" s="329">
        <f>IFERROR(__xludf.DUMMYFUNCTION("""COMPUTED_VALUE"""),56.0)</f>
        <v>56</v>
      </c>
      <c r="P113" s="329">
        <f>IFERROR(__xludf.DUMMYFUNCTION("""COMPUTED_VALUE"""),6443.0)</f>
        <v>6443</v>
      </c>
      <c r="Q113" s="329">
        <f>IFERROR(__xludf.DUMMYFUNCTION("""COMPUTED_VALUE"""),44.0)</f>
        <v>44</v>
      </c>
      <c r="R113" s="329">
        <f>IFERROR(__xludf.DUMMYFUNCTION("""COMPUTED_VALUE"""),5260.0)</f>
        <v>5260</v>
      </c>
      <c r="S113" s="329">
        <f>IFERROR(__xludf.DUMMYFUNCTION("""COMPUTED_VALUE"""),5.0)</f>
        <v>5</v>
      </c>
      <c r="T113" s="329">
        <f>IFERROR(__xludf.DUMMYFUNCTION("""COMPUTED_VALUE"""),703.0)</f>
        <v>703</v>
      </c>
      <c r="U113" s="329">
        <f>IFERROR(__xludf.DUMMYFUNCTION("""COMPUTED_VALUE"""),480.0)</f>
        <v>480</v>
      </c>
      <c r="V113" s="329">
        <f>IFERROR(__xludf.DUMMYFUNCTION("""COMPUTED_VALUE"""),470.0)</f>
        <v>470</v>
      </c>
      <c r="W113" s="329">
        <f>IFERROR(__xludf.DUMMYFUNCTION("""COMPUTED_VALUE"""),72.0)</f>
        <v>72</v>
      </c>
      <c r="X113" s="329">
        <f>IFERROR(__xludf.DUMMYFUNCTION("""COMPUTED_VALUE"""),50.0)</f>
        <v>50</v>
      </c>
      <c r="Y113" s="329">
        <f>IFERROR(__xludf.DUMMYFUNCTION("""COMPUTED_VALUE"""),14.0)</f>
        <v>14</v>
      </c>
      <c r="Z113" s="329">
        <f>IFERROR(__xludf.DUMMYFUNCTION("""COMPUTED_VALUE"""),1884.0)</f>
        <v>1884</v>
      </c>
      <c r="AA113" s="258">
        <f>IFERROR(__xludf.DUMMYFUNCTION("""COMPUTED_VALUE"""),3565.0)</f>
        <v>3565</v>
      </c>
      <c r="AB113" s="258">
        <f>IFERROR(__xludf.DUMMYFUNCTION("""COMPUTED_VALUE"""),0.0)</f>
        <v>0</v>
      </c>
      <c r="AC113" s="258">
        <f>IFERROR(__xludf.DUMMYFUNCTION("""COMPUTED_VALUE"""),3565.0)</f>
        <v>3565</v>
      </c>
      <c r="AD113" s="258">
        <f>IFERROR(__xludf.DUMMYFUNCTION("""COMPUTED_VALUE"""),15856.0)</f>
        <v>15856</v>
      </c>
      <c r="AE113" s="258">
        <f>IFERROR(__xludf.DUMMYFUNCTION("""COMPUTED_VALUE"""),3565.0)</f>
        <v>3565</v>
      </c>
      <c r="AF113" s="258">
        <f>IFERROR(__xludf.DUMMYFUNCTION("""COMPUTED_VALUE"""),15856.0)</f>
        <v>15856</v>
      </c>
      <c r="AG113" s="258">
        <f>IFERROR(__xludf.DUMMYFUNCTION("""COMPUTED_VALUE"""),0.0)</f>
        <v>0</v>
      </c>
      <c r="AH113" s="258">
        <f>IFERROR(__xludf.DUMMYFUNCTION("""COMPUTED_VALUE"""),0.0)</f>
        <v>0</v>
      </c>
    </row>
    <row r="114">
      <c r="A114" s="328">
        <f>IFERROR(__xludf.DUMMYFUNCTION("""COMPUTED_VALUE"""),44194.0)</f>
        <v>44194</v>
      </c>
      <c r="B114" s="329">
        <f>IFERROR(__xludf.DUMMYFUNCTION("""COMPUTED_VALUE"""),1357.0)</f>
        <v>1357</v>
      </c>
      <c r="C114" s="329">
        <f>IFERROR(__xludf.DUMMYFUNCTION("""COMPUTED_VALUE"""),1216.0)</f>
        <v>1216</v>
      </c>
      <c r="D114" s="329">
        <f>IFERROR(__xludf.DUMMYFUNCTION("""COMPUTED_VALUE"""),106534.0)</f>
        <v>106534</v>
      </c>
      <c r="E114" s="329">
        <f>IFERROR(__xludf.DUMMYFUNCTION("""COMPUTED_VALUE"""),13787.0)</f>
        <v>13787</v>
      </c>
      <c r="F114" s="258">
        <f>IFERROR(__xludf.DUMMYFUNCTION("""COMPUTED_VALUE"""),1874436.0)</f>
        <v>1874436</v>
      </c>
      <c r="G114" s="258">
        <f>IFERROR(__xludf.DUMMYFUNCTION("""COMPUTED_VALUE"""),15144.0)</f>
        <v>15144</v>
      </c>
      <c r="H114" s="258">
        <f>IFERROR(__xludf.DUMMYFUNCTION("""COMPUTED_VALUE"""),1980970.0)</f>
        <v>1980970</v>
      </c>
      <c r="I114" s="329">
        <f>IFERROR(__xludf.DUMMYFUNCTION("""COMPUTED_VALUE"""),1220.0)</f>
        <v>1220</v>
      </c>
      <c r="J114" s="329">
        <f>IFERROR(__xludf.DUMMYFUNCTION("""COMPUTED_VALUE"""),1066.0)</f>
        <v>1066</v>
      </c>
      <c r="K114" s="329">
        <f>IFERROR(__xludf.DUMMYFUNCTION("""COMPUTED_VALUE"""),88456.0)</f>
        <v>88456</v>
      </c>
      <c r="L114" s="329">
        <f>IFERROR(__xludf.DUMMYFUNCTION("""COMPUTED_VALUE"""),2750.0)</f>
        <v>2750</v>
      </c>
      <c r="M114" s="329">
        <f>IFERROR(__xludf.DUMMYFUNCTION("""COMPUTED_VALUE"""),523255.0)</f>
        <v>523255</v>
      </c>
      <c r="N114" s="329">
        <f>IFERROR(__xludf.DUMMYFUNCTION("""COMPUTED_VALUE"""),611711.0)</f>
        <v>611711</v>
      </c>
      <c r="O114" s="329">
        <f>IFERROR(__xludf.DUMMYFUNCTION("""COMPUTED_VALUE"""),59.0)</f>
        <v>59</v>
      </c>
      <c r="P114" s="329">
        <f>IFERROR(__xludf.DUMMYFUNCTION("""COMPUTED_VALUE"""),6502.0)</f>
        <v>6502</v>
      </c>
      <c r="Q114" s="329">
        <f>IFERROR(__xludf.DUMMYFUNCTION("""COMPUTED_VALUE"""),56.0)</f>
        <v>56</v>
      </c>
      <c r="R114" s="329">
        <f>IFERROR(__xludf.DUMMYFUNCTION("""COMPUTED_VALUE"""),5316.0)</f>
        <v>5316</v>
      </c>
      <c r="S114" s="329">
        <f>IFERROR(__xludf.DUMMYFUNCTION("""COMPUTED_VALUE"""),6.0)</f>
        <v>6</v>
      </c>
      <c r="T114" s="329">
        <f>IFERROR(__xludf.DUMMYFUNCTION("""COMPUTED_VALUE"""),709.0)</f>
        <v>709</v>
      </c>
      <c r="U114" s="329">
        <f>IFERROR(__xludf.DUMMYFUNCTION("""COMPUTED_VALUE"""),477.0)</f>
        <v>477</v>
      </c>
      <c r="V114" s="329">
        <f>IFERROR(__xludf.DUMMYFUNCTION("""COMPUTED_VALUE"""),477.0)</f>
        <v>477</v>
      </c>
      <c r="W114" s="329">
        <f>IFERROR(__xludf.DUMMYFUNCTION("""COMPUTED_VALUE"""),70.0)</f>
        <v>70</v>
      </c>
      <c r="X114" s="329">
        <f>IFERROR(__xludf.DUMMYFUNCTION("""COMPUTED_VALUE"""),53.0)</f>
        <v>53</v>
      </c>
      <c r="Y114" s="329">
        <f>IFERROR(__xludf.DUMMYFUNCTION("""COMPUTED_VALUE"""),17.0)</f>
        <v>17</v>
      </c>
      <c r="Z114" s="329">
        <f>IFERROR(__xludf.DUMMYFUNCTION("""COMPUTED_VALUE"""),1901.0)</f>
        <v>1901</v>
      </c>
      <c r="AA114" s="258">
        <f>IFERROR(__xludf.DUMMYFUNCTION("""COMPUTED_VALUE"""),3081.0)</f>
        <v>3081</v>
      </c>
      <c r="AB114" s="258">
        <f>IFERROR(__xludf.DUMMYFUNCTION("""COMPUTED_VALUE"""),0.0)</f>
        <v>0</v>
      </c>
      <c r="AC114" s="258">
        <f>IFERROR(__xludf.DUMMYFUNCTION("""COMPUTED_VALUE"""),3081.0)</f>
        <v>3081</v>
      </c>
      <c r="AD114" s="258">
        <f>IFERROR(__xludf.DUMMYFUNCTION("""COMPUTED_VALUE"""),18937.0)</f>
        <v>18937</v>
      </c>
      <c r="AE114" s="258">
        <f>IFERROR(__xludf.DUMMYFUNCTION("""COMPUTED_VALUE"""),3081.0)</f>
        <v>3081</v>
      </c>
      <c r="AF114" s="258">
        <f>IFERROR(__xludf.DUMMYFUNCTION("""COMPUTED_VALUE"""),18937.0)</f>
        <v>18937</v>
      </c>
      <c r="AG114" s="258">
        <f>IFERROR(__xludf.DUMMYFUNCTION("""COMPUTED_VALUE"""),0.0)</f>
        <v>0</v>
      </c>
      <c r="AH114" s="258">
        <f>IFERROR(__xludf.DUMMYFUNCTION("""COMPUTED_VALUE"""),0.0)</f>
        <v>0</v>
      </c>
    </row>
    <row r="115">
      <c r="A115" s="328">
        <f>IFERROR(__xludf.DUMMYFUNCTION("""COMPUTED_VALUE"""),44195.0)</f>
        <v>44195</v>
      </c>
      <c r="B115" s="329">
        <f>IFERROR(__xludf.DUMMYFUNCTION("""COMPUTED_VALUE"""),1539.0)</f>
        <v>1539</v>
      </c>
      <c r="C115" s="329">
        <f>IFERROR(__xludf.DUMMYFUNCTION("""COMPUTED_VALUE"""),1465.0)</f>
        <v>1465</v>
      </c>
      <c r="D115" s="329">
        <f>IFERROR(__xludf.DUMMYFUNCTION("""COMPUTED_VALUE"""),108073.0)</f>
        <v>108073</v>
      </c>
      <c r="E115" s="329">
        <f>IFERROR(__xludf.DUMMYFUNCTION("""COMPUTED_VALUE"""),20035.0)</f>
        <v>20035</v>
      </c>
      <c r="F115" s="258">
        <f>IFERROR(__xludf.DUMMYFUNCTION("""COMPUTED_VALUE"""),1894471.0)</f>
        <v>1894471</v>
      </c>
      <c r="G115" s="258">
        <f>IFERROR(__xludf.DUMMYFUNCTION("""COMPUTED_VALUE"""),21574.0)</f>
        <v>21574</v>
      </c>
      <c r="H115" s="258">
        <f>IFERROR(__xludf.DUMMYFUNCTION("""COMPUTED_VALUE"""),2002544.0)</f>
        <v>2002544</v>
      </c>
      <c r="I115" s="329">
        <f>IFERROR(__xludf.DUMMYFUNCTION("""COMPUTED_VALUE"""),1352.0)</f>
        <v>1352</v>
      </c>
      <c r="J115" s="329">
        <f>IFERROR(__xludf.DUMMYFUNCTION("""COMPUTED_VALUE"""),1287.0)</f>
        <v>1287</v>
      </c>
      <c r="K115" s="329">
        <f>IFERROR(__xludf.DUMMYFUNCTION("""COMPUTED_VALUE"""),89808.0)</f>
        <v>89808</v>
      </c>
      <c r="L115" s="329">
        <f>IFERROR(__xludf.DUMMYFUNCTION("""COMPUTED_VALUE"""),3463.0)</f>
        <v>3463</v>
      </c>
      <c r="M115" s="329">
        <f>IFERROR(__xludf.DUMMYFUNCTION("""COMPUTED_VALUE"""),526718.0)</f>
        <v>526718</v>
      </c>
      <c r="N115" s="329">
        <f>IFERROR(__xludf.DUMMYFUNCTION("""COMPUTED_VALUE"""),616526.0)</f>
        <v>616526</v>
      </c>
      <c r="O115" s="329">
        <f>IFERROR(__xludf.DUMMYFUNCTION("""COMPUTED_VALUE"""),60.0)</f>
        <v>60</v>
      </c>
      <c r="P115" s="329">
        <f>IFERROR(__xludf.DUMMYFUNCTION("""COMPUTED_VALUE"""),6562.0)</f>
        <v>6562</v>
      </c>
      <c r="Q115" s="329">
        <f>IFERROR(__xludf.DUMMYFUNCTION("""COMPUTED_VALUE"""),57.0)</f>
        <v>57</v>
      </c>
      <c r="R115" s="329">
        <f>IFERROR(__xludf.DUMMYFUNCTION("""COMPUTED_VALUE"""),5373.0)</f>
        <v>5373</v>
      </c>
      <c r="S115" s="329">
        <f>IFERROR(__xludf.DUMMYFUNCTION("""COMPUTED_VALUE"""),5.0)</f>
        <v>5</v>
      </c>
      <c r="T115" s="329">
        <f>IFERROR(__xludf.DUMMYFUNCTION("""COMPUTED_VALUE"""),714.0)</f>
        <v>714</v>
      </c>
      <c r="U115" s="329">
        <f>IFERROR(__xludf.DUMMYFUNCTION("""COMPUTED_VALUE"""),475.0)</f>
        <v>475</v>
      </c>
      <c r="V115" s="329">
        <f>IFERROR(__xludf.DUMMYFUNCTION("""COMPUTED_VALUE"""),477.0)</f>
        <v>477</v>
      </c>
      <c r="W115" s="329">
        <f>IFERROR(__xludf.DUMMYFUNCTION("""COMPUTED_VALUE"""),66.0)</f>
        <v>66</v>
      </c>
      <c r="X115" s="329">
        <f>IFERROR(__xludf.DUMMYFUNCTION("""COMPUTED_VALUE"""),49.0)</f>
        <v>49</v>
      </c>
      <c r="Y115" s="329">
        <f>IFERROR(__xludf.DUMMYFUNCTION("""COMPUTED_VALUE"""),11.0)</f>
        <v>11</v>
      </c>
      <c r="Z115" s="329">
        <f>IFERROR(__xludf.DUMMYFUNCTION("""COMPUTED_VALUE"""),1912.0)</f>
        <v>1912</v>
      </c>
      <c r="AA115" s="258">
        <f>IFERROR(__xludf.DUMMYFUNCTION("""COMPUTED_VALUE"""),3221.0)</f>
        <v>3221</v>
      </c>
      <c r="AB115" s="258">
        <f>IFERROR(__xludf.DUMMYFUNCTION("""COMPUTED_VALUE"""),0.0)</f>
        <v>0</v>
      </c>
      <c r="AC115" s="258">
        <f>IFERROR(__xludf.DUMMYFUNCTION("""COMPUTED_VALUE"""),3221.0)</f>
        <v>3221</v>
      </c>
      <c r="AD115" s="258">
        <f>IFERROR(__xludf.DUMMYFUNCTION("""COMPUTED_VALUE"""),22158.0)</f>
        <v>22158</v>
      </c>
      <c r="AE115" s="258">
        <f>IFERROR(__xludf.DUMMYFUNCTION("""COMPUTED_VALUE"""),3221.0)</f>
        <v>3221</v>
      </c>
      <c r="AF115" s="258">
        <f>IFERROR(__xludf.DUMMYFUNCTION("""COMPUTED_VALUE"""),22158.0)</f>
        <v>22158</v>
      </c>
      <c r="AG115" s="258">
        <f>IFERROR(__xludf.DUMMYFUNCTION("""COMPUTED_VALUE"""),0.0)</f>
        <v>0</v>
      </c>
      <c r="AH115" s="258">
        <f>IFERROR(__xludf.DUMMYFUNCTION("""COMPUTED_VALUE"""),0.0)</f>
        <v>0</v>
      </c>
    </row>
    <row r="116">
      <c r="A116" s="328">
        <f>IFERROR(__xludf.DUMMYFUNCTION("""COMPUTED_VALUE"""),44196.0)</f>
        <v>44196</v>
      </c>
      <c r="B116" s="329">
        <f>IFERROR(__xludf.DUMMYFUNCTION("""COMPUTED_VALUE"""),1008.0)</f>
        <v>1008</v>
      </c>
      <c r="C116" s="329">
        <f>IFERROR(__xludf.DUMMYFUNCTION("""COMPUTED_VALUE"""),1301.0)</f>
        <v>1301</v>
      </c>
      <c r="D116" s="329">
        <f>IFERROR(__xludf.DUMMYFUNCTION("""COMPUTED_VALUE"""),109081.0)</f>
        <v>109081</v>
      </c>
      <c r="E116" s="329">
        <f>IFERROR(__xludf.DUMMYFUNCTION("""COMPUTED_VALUE"""),13998.0)</f>
        <v>13998</v>
      </c>
      <c r="F116" s="258">
        <f>IFERROR(__xludf.DUMMYFUNCTION("""COMPUTED_VALUE"""),1908469.0)</f>
        <v>1908469</v>
      </c>
      <c r="G116" s="258">
        <f>IFERROR(__xludf.DUMMYFUNCTION("""COMPUTED_VALUE"""),15006.0)</f>
        <v>15006</v>
      </c>
      <c r="H116" s="258">
        <f>IFERROR(__xludf.DUMMYFUNCTION("""COMPUTED_VALUE"""),2017550.0)</f>
        <v>2017550</v>
      </c>
      <c r="I116" s="329">
        <f>IFERROR(__xludf.DUMMYFUNCTION("""COMPUTED_VALUE"""),874.0)</f>
        <v>874</v>
      </c>
      <c r="J116" s="329">
        <f>IFERROR(__xludf.DUMMYFUNCTION("""COMPUTED_VALUE"""),1149.0)</f>
        <v>1149</v>
      </c>
      <c r="K116" s="329">
        <f>IFERROR(__xludf.DUMMYFUNCTION("""COMPUTED_VALUE"""),90682.0)</f>
        <v>90682</v>
      </c>
      <c r="L116" s="329">
        <f>IFERROR(__xludf.DUMMYFUNCTION("""COMPUTED_VALUE"""),2908.0)</f>
        <v>2908</v>
      </c>
      <c r="M116" s="329">
        <f>IFERROR(__xludf.DUMMYFUNCTION("""COMPUTED_VALUE"""),529626.0)</f>
        <v>529626</v>
      </c>
      <c r="N116" s="329">
        <f>IFERROR(__xludf.DUMMYFUNCTION("""COMPUTED_VALUE"""),620308.0)</f>
        <v>620308</v>
      </c>
      <c r="O116" s="329">
        <f>IFERROR(__xludf.DUMMYFUNCTION("""COMPUTED_VALUE"""),57.0)</f>
        <v>57</v>
      </c>
      <c r="P116" s="329">
        <f>IFERROR(__xludf.DUMMYFUNCTION("""COMPUTED_VALUE"""),6619.0)</f>
        <v>6619</v>
      </c>
      <c r="Q116" s="329">
        <f>IFERROR(__xludf.DUMMYFUNCTION("""COMPUTED_VALUE"""),60.0)</f>
        <v>60</v>
      </c>
      <c r="R116" s="329">
        <f>IFERROR(__xludf.DUMMYFUNCTION("""COMPUTED_VALUE"""),5433.0)</f>
        <v>5433</v>
      </c>
      <c r="S116" s="329">
        <f>IFERROR(__xludf.DUMMYFUNCTION("""COMPUTED_VALUE"""),14.0)</f>
        <v>14</v>
      </c>
      <c r="T116" s="329">
        <f>IFERROR(__xludf.DUMMYFUNCTION("""COMPUTED_VALUE"""),728.0)</f>
        <v>728</v>
      </c>
      <c r="U116" s="329">
        <f>IFERROR(__xludf.DUMMYFUNCTION("""COMPUTED_VALUE"""),458.0)</f>
        <v>458</v>
      </c>
      <c r="V116" s="329">
        <f>IFERROR(__xludf.DUMMYFUNCTION("""COMPUTED_VALUE"""),470.0)</f>
        <v>470</v>
      </c>
      <c r="W116" s="329">
        <f>IFERROR(__xludf.DUMMYFUNCTION("""COMPUTED_VALUE"""),60.0)</f>
        <v>60</v>
      </c>
      <c r="X116" s="329">
        <f>IFERROR(__xludf.DUMMYFUNCTION("""COMPUTED_VALUE"""),44.0)</f>
        <v>44</v>
      </c>
      <c r="Y116" s="329">
        <f>IFERROR(__xludf.DUMMYFUNCTION("""COMPUTED_VALUE"""),19.0)</f>
        <v>19</v>
      </c>
      <c r="Z116" s="329">
        <f>IFERROR(__xludf.DUMMYFUNCTION("""COMPUTED_VALUE"""),1931.0)</f>
        <v>1931</v>
      </c>
      <c r="AA116" s="258">
        <f>IFERROR(__xludf.DUMMYFUNCTION("""COMPUTED_VALUE"""),776.0)</f>
        <v>776</v>
      </c>
      <c r="AB116" s="258">
        <f>IFERROR(__xludf.DUMMYFUNCTION("""COMPUTED_VALUE"""),0.0)</f>
        <v>0</v>
      </c>
      <c r="AC116" s="258">
        <f>IFERROR(__xludf.DUMMYFUNCTION("""COMPUTED_VALUE"""),776.0)</f>
        <v>776</v>
      </c>
      <c r="AD116" s="258">
        <f>IFERROR(__xludf.DUMMYFUNCTION("""COMPUTED_VALUE"""),22934.0)</f>
        <v>22934</v>
      </c>
      <c r="AE116" s="258">
        <f>IFERROR(__xludf.DUMMYFUNCTION("""COMPUTED_VALUE"""),776.0)</f>
        <v>776</v>
      </c>
      <c r="AF116" s="258">
        <f>IFERROR(__xludf.DUMMYFUNCTION("""COMPUTED_VALUE"""),22934.0)</f>
        <v>22934</v>
      </c>
      <c r="AG116" s="258">
        <f>IFERROR(__xludf.DUMMYFUNCTION("""COMPUTED_VALUE"""),0.0)</f>
        <v>0</v>
      </c>
      <c r="AH116" s="258">
        <f>IFERROR(__xludf.DUMMYFUNCTION("""COMPUTED_VALUE"""),0.0)</f>
        <v>0</v>
      </c>
    </row>
    <row r="117">
      <c r="A117" s="328">
        <f>IFERROR(__xludf.DUMMYFUNCTION("""COMPUTED_VALUE"""),44197.0)</f>
        <v>44197</v>
      </c>
      <c r="B117" s="329">
        <f>IFERROR(__xludf.DUMMYFUNCTION("""COMPUTED_VALUE"""),928.0)</f>
        <v>928</v>
      </c>
      <c r="C117" s="329">
        <f>IFERROR(__xludf.DUMMYFUNCTION("""COMPUTED_VALUE"""),1158.0)</f>
        <v>1158</v>
      </c>
      <c r="D117" s="329">
        <f>IFERROR(__xludf.DUMMYFUNCTION("""COMPUTED_VALUE"""),110009.0)</f>
        <v>110009</v>
      </c>
      <c r="E117" s="329">
        <f>IFERROR(__xludf.DUMMYFUNCTION("""COMPUTED_VALUE"""),10823.0)</f>
        <v>10823</v>
      </c>
      <c r="F117" s="258">
        <f>IFERROR(__xludf.DUMMYFUNCTION("""COMPUTED_VALUE"""),1919292.0)</f>
        <v>1919292</v>
      </c>
      <c r="G117" s="258">
        <f>IFERROR(__xludf.DUMMYFUNCTION("""COMPUTED_VALUE"""),11751.0)</f>
        <v>11751</v>
      </c>
      <c r="H117" s="258">
        <f>IFERROR(__xludf.DUMMYFUNCTION("""COMPUTED_VALUE"""),2029301.0)</f>
        <v>2029301</v>
      </c>
      <c r="I117" s="329">
        <f>IFERROR(__xludf.DUMMYFUNCTION("""COMPUTED_VALUE"""),807.0)</f>
        <v>807</v>
      </c>
      <c r="J117" s="329">
        <f>IFERROR(__xludf.DUMMYFUNCTION("""COMPUTED_VALUE"""),1011.0)</f>
        <v>1011</v>
      </c>
      <c r="K117" s="329">
        <f>IFERROR(__xludf.DUMMYFUNCTION("""COMPUTED_VALUE"""),91489.0)</f>
        <v>91489</v>
      </c>
      <c r="L117" s="329">
        <f>IFERROR(__xludf.DUMMYFUNCTION("""COMPUTED_VALUE"""),1919.0)</f>
        <v>1919</v>
      </c>
      <c r="M117" s="329">
        <f>IFERROR(__xludf.DUMMYFUNCTION("""COMPUTED_VALUE"""),531545.0)</f>
        <v>531545</v>
      </c>
      <c r="N117" s="329">
        <f>IFERROR(__xludf.DUMMYFUNCTION("""COMPUTED_VALUE"""),623034.0)</f>
        <v>623034</v>
      </c>
      <c r="O117" s="329">
        <f>IFERROR(__xludf.DUMMYFUNCTION("""COMPUTED_VALUE"""),50.0)</f>
        <v>50</v>
      </c>
      <c r="P117" s="329">
        <f>IFERROR(__xludf.DUMMYFUNCTION("""COMPUTED_VALUE"""),6669.0)</f>
        <v>6669</v>
      </c>
      <c r="Q117" s="329">
        <f>IFERROR(__xludf.DUMMYFUNCTION("""COMPUTED_VALUE"""),45.0)</f>
        <v>45</v>
      </c>
      <c r="R117" s="329">
        <f>IFERROR(__xludf.DUMMYFUNCTION("""COMPUTED_VALUE"""),5478.0)</f>
        <v>5478</v>
      </c>
      <c r="S117" s="329">
        <f>IFERROR(__xludf.DUMMYFUNCTION("""COMPUTED_VALUE"""),9.0)</f>
        <v>9</v>
      </c>
      <c r="T117" s="329">
        <f>IFERROR(__xludf.DUMMYFUNCTION("""COMPUTED_VALUE"""),737.0)</f>
        <v>737</v>
      </c>
      <c r="U117" s="329">
        <f>IFERROR(__xludf.DUMMYFUNCTION("""COMPUTED_VALUE"""),454.0)</f>
        <v>454</v>
      </c>
      <c r="V117" s="329">
        <f>IFERROR(__xludf.DUMMYFUNCTION("""COMPUTED_VALUE"""),462.0)</f>
        <v>462</v>
      </c>
      <c r="W117" s="329">
        <f>IFERROR(__xludf.DUMMYFUNCTION("""COMPUTED_VALUE"""),60.0)</f>
        <v>60</v>
      </c>
      <c r="X117" s="329">
        <f>IFERROR(__xludf.DUMMYFUNCTION("""COMPUTED_VALUE"""),46.0)</f>
        <v>46</v>
      </c>
      <c r="Y117" s="329">
        <f>IFERROR(__xludf.DUMMYFUNCTION("""COMPUTED_VALUE"""),14.0)</f>
        <v>14</v>
      </c>
      <c r="Z117" s="329">
        <f>IFERROR(__xludf.DUMMYFUNCTION("""COMPUTED_VALUE"""),1945.0)</f>
        <v>1945</v>
      </c>
      <c r="AA117" s="258">
        <f>IFERROR(__xludf.DUMMYFUNCTION("""COMPUTED_VALUE"""),66.0)</f>
        <v>66</v>
      </c>
      <c r="AB117" s="258">
        <f>IFERROR(__xludf.DUMMYFUNCTION("""COMPUTED_VALUE"""),0.0)</f>
        <v>0</v>
      </c>
      <c r="AC117" s="258">
        <f>IFERROR(__xludf.DUMMYFUNCTION("""COMPUTED_VALUE"""),66.0)</f>
        <v>66</v>
      </c>
      <c r="AD117" s="258">
        <f>IFERROR(__xludf.DUMMYFUNCTION("""COMPUTED_VALUE"""),23000.0)</f>
        <v>23000</v>
      </c>
      <c r="AE117" s="258">
        <f>IFERROR(__xludf.DUMMYFUNCTION("""COMPUTED_VALUE"""),66.0)</f>
        <v>66</v>
      </c>
      <c r="AF117" s="258">
        <f>IFERROR(__xludf.DUMMYFUNCTION("""COMPUTED_VALUE"""),23000.0)</f>
        <v>23000</v>
      </c>
      <c r="AG117" s="258">
        <f>IFERROR(__xludf.DUMMYFUNCTION("""COMPUTED_VALUE"""),0.0)</f>
        <v>0</v>
      </c>
      <c r="AH117" s="258">
        <f>IFERROR(__xludf.DUMMYFUNCTION("""COMPUTED_VALUE"""),0.0)</f>
        <v>0</v>
      </c>
    </row>
    <row r="118">
      <c r="A118" s="328">
        <f>IFERROR(__xludf.DUMMYFUNCTION("""COMPUTED_VALUE"""),44198.0)</f>
        <v>44198</v>
      </c>
      <c r="B118" s="329">
        <f>IFERROR(__xludf.DUMMYFUNCTION("""COMPUTED_VALUE"""),1027.0)</f>
        <v>1027</v>
      </c>
      <c r="C118" s="329">
        <f>IFERROR(__xludf.DUMMYFUNCTION("""COMPUTED_VALUE"""),988.0)</f>
        <v>988</v>
      </c>
      <c r="D118" s="329">
        <f>IFERROR(__xludf.DUMMYFUNCTION("""COMPUTED_VALUE"""),111036.0)</f>
        <v>111036</v>
      </c>
      <c r="E118" s="329">
        <f>IFERROR(__xludf.DUMMYFUNCTION("""COMPUTED_VALUE"""),9835.0)</f>
        <v>9835</v>
      </c>
      <c r="F118" s="258">
        <f>IFERROR(__xludf.DUMMYFUNCTION("""COMPUTED_VALUE"""),1929127.0)</f>
        <v>1929127</v>
      </c>
      <c r="G118" s="258">
        <f>IFERROR(__xludf.DUMMYFUNCTION("""COMPUTED_VALUE"""),10862.0)</f>
        <v>10862</v>
      </c>
      <c r="H118" s="258">
        <f>IFERROR(__xludf.DUMMYFUNCTION("""COMPUTED_VALUE"""),2040163.0)</f>
        <v>2040163</v>
      </c>
      <c r="I118" s="329">
        <f>IFERROR(__xludf.DUMMYFUNCTION("""COMPUTED_VALUE"""),901.0)</f>
        <v>901</v>
      </c>
      <c r="J118" s="329">
        <f>IFERROR(__xludf.DUMMYFUNCTION("""COMPUTED_VALUE"""),861.0)</f>
        <v>861</v>
      </c>
      <c r="K118" s="329">
        <f>IFERROR(__xludf.DUMMYFUNCTION("""COMPUTED_VALUE"""),92390.0)</f>
        <v>92390</v>
      </c>
      <c r="L118" s="329">
        <f>IFERROR(__xludf.DUMMYFUNCTION("""COMPUTED_VALUE"""),2160.0)</f>
        <v>2160</v>
      </c>
      <c r="M118" s="329">
        <f>IFERROR(__xludf.DUMMYFUNCTION("""COMPUTED_VALUE"""),533705.0)</f>
        <v>533705</v>
      </c>
      <c r="N118" s="329">
        <f>IFERROR(__xludf.DUMMYFUNCTION("""COMPUTED_VALUE"""),626095.0)</f>
        <v>626095</v>
      </c>
      <c r="O118" s="329">
        <f>IFERROR(__xludf.DUMMYFUNCTION("""COMPUTED_VALUE"""),51.0)</f>
        <v>51</v>
      </c>
      <c r="P118" s="329">
        <f>IFERROR(__xludf.DUMMYFUNCTION("""COMPUTED_VALUE"""),6720.0)</f>
        <v>6720</v>
      </c>
      <c r="Q118" s="329">
        <f>IFERROR(__xludf.DUMMYFUNCTION("""COMPUTED_VALUE"""),33.0)</f>
        <v>33</v>
      </c>
      <c r="R118" s="329">
        <f>IFERROR(__xludf.DUMMYFUNCTION("""COMPUTED_VALUE"""),5511.0)</f>
        <v>5511</v>
      </c>
      <c r="S118" s="329">
        <f>IFERROR(__xludf.DUMMYFUNCTION("""COMPUTED_VALUE"""),5.0)</f>
        <v>5</v>
      </c>
      <c r="T118" s="329">
        <f>IFERROR(__xludf.DUMMYFUNCTION("""COMPUTED_VALUE"""),742.0)</f>
        <v>742</v>
      </c>
      <c r="U118" s="329">
        <f>IFERROR(__xludf.DUMMYFUNCTION("""COMPUTED_VALUE"""),467.0)</f>
        <v>467</v>
      </c>
      <c r="V118" s="329">
        <f>IFERROR(__xludf.DUMMYFUNCTION("""COMPUTED_VALUE"""),460.0)</f>
        <v>460</v>
      </c>
      <c r="W118" s="329">
        <f>IFERROR(__xludf.DUMMYFUNCTION("""COMPUTED_VALUE"""),59.0)</f>
        <v>59</v>
      </c>
      <c r="X118" s="329">
        <f>IFERROR(__xludf.DUMMYFUNCTION("""COMPUTED_VALUE"""),42.0)</f>
        <v>42</v>
      </c>
      <c r="Y118" s="329">
        <f>IFERROR(__xludf.DUMMYFUNCTION("""COMPUTED_VALUE"""),14.0)</f>
        <v>14</v>
      </c>
      <c r="Z118" s="329">
        <f>IFERROR(__xludf.DUMMYFUNCTION("""COMPUTED_VALUE"""),1959.0)</f>
        <v>1959</v>
      </c>
      <c r="AA118" s="258">
        <f>IFERROR(__xludf.DUMMYFUNCTION("""COMPUTED_VALUE"""),1750.0)</f>
        <v>1750</v>
      </c>
      <c r="AB118" s="258">
        <f>IFERROR(__xludf.DUMMYFUNCTION("""COMPUTED_VALUE"""),20.0)</f>
        <v>20</v>
      </c>
      <c r="AC118" s="258">
        <f>IFERROR(__xludf.DUMMYFUNCTION("""COMPUTED_VALUE"""),1770.0)</f>
        <v>1770</v>
      </c>
      <c r="AD118" s="258">
        <f>IFERROR(__xludf.DUMMYFUNCTION("""COMPUTED_VALUE"""),24770.0)</f>
        <v>24770</v>
      </c>
      <c r="AE118" s="258">
        <f>IFERROR(__xludf.DUMMYFUNCTION("""COMPUTED_VALUE"""),1750.0)</f>
        <v>1750</v>
      </c>
      <c r="AF118" s="258">
        <f>IFERROR(__xludf.DUMMYFUNCTION("""COMPUTED_VALUE"""),24750.0)</f>
        <v>24750</v>
      </c>
      <c r="AG118" s="258">
        <f>IFERROR(__xludf.DUMMYFUNCTION("""COMPUTED_VALUE"""),20.0)</f>
        <v>20</v>
      </c>
      <c r="AH118" s="258">
        <f>IFERROR(__xludf.DUMMYFUNCTION("""COMPUTED_VALUE"""),20.0)</f>
        <v>20</v>
      </c>
    </row>
    <row r="119">
      <c r="A119" s="328">
        <f>IFERROR(__xludf.DUMMYFUNCTION("""COMPUTED_VALUE"""),44199.0)</f>
        <v>44199</v>
      </c>
      <c r="B119" s="329">
        <f>IFERROR(__xludf.DUMMYFUNCTION("""COMPUTED_VALUE"""),760.0)</f>
        <v>760</v>
      </c>
      <c r="C119" s="329">
        <f>IFERROR(__xludf.DUMMYFUNCTION("""COMPUTED_VALUE"""),905.0)</f>
        <v>905</v>
      </c>
      <c r="D119" s="329">
        <f>IFERROR(__xludf.DUMMYFUNCTION("""COMPUTED_VALUE"""),111796.0)</f>
        <v>111796</v>
      </c>
      <c r="E119" s="329">
        <f>IFERROR(__xludf.DUMMYFUNCTION("""COMPUTED_VALUE"""),8247.0)</f>
        <v>8247</v>
      </c>
      <c r="F119" s="258">
        <f>IFERROR(__xludf.DUMMYFUNCTION("""COMPUTED_VALUE"""),1937374.0)</f>
        <v>1937374</v>
      </c>
      <c r="G119" s="258">
        <f>IFERROR(__xludf.DUMMYFUNCTION("""COMPUTED_VALUE"""),9007.0)</f>
        <v>9007</v>
      </c>
      <c r="H119" s="258">
        <f>IFERROR(__xludf.DUMMYFUNCTION("""COMPUTED_VALUE"""),2049170.0)</f>
        <v>2049170</v>
      </c>
      <c r="I119" s="329">
        <f>IFERROR(__xludf.DUMMYFUNCTION("""COMPUTED_VALUE"""),651.0)</f>
        <v>651</v>
      </c>
      <c r="J119" s="329">
        <f>IFERROR(__xludf.DUMMYFUNCTION("""COMPUTED_VALUE"""),786.0)</f>
        <v>786</v>
      </c>
      <c r="K119" s="329">
        <f>IFERROR(__xludf.DUMMYFUNCTION("""COMPUTED_VALUE"""),93041.0)</f>
        <v>93041</v>
      </c>
      <c r="L119" s="329">
        <f>IFERROR(__xludf.DUMMYFUNCTION("""COMPUTED_VALUE"""),2112.0)</f>
        <v>2112</v>
      </c>
      <c r="M119" s="329">
        <f>IFERROR(__xludf.DUMMYFUNCTION("""COMPUTED_VALUE"""),535817.0)</f>
        <v>535817</v>
      </c>
      <c r="N119" s="329">
        <f>IFERROR(__xludf.DUMMYFUNCTION("""COMPUTED_VALUE"""),628858.0)</f>
        <v>628858</v>
      </c>
      <c r="O119" s="329">
        <f>IFERROR(__xludf.DUMMYFUNCTION("""COMPUTED_VALUE"""),39.0)</f>
        <v>39</v>
      </c>
      <c r="P119" s="329">
        <f>IFERROR(__xludf.DUMMYFUNCTION("""COMPUTED_VALUE"""),6759.0)</f>
        <v>6759</v>
      </c>
      <c r="Q119" s="329">
        <f>IFERROR(__xludf.DUMMYFUNCTION("""COMPUTED_VALUE"""),40.0)</f>
        <v>40</v>
      </c>
      <c r="R119" s="329">
        <f>IFERROR(__xludf.DUMMYFUNCTION("""COMPUTED_VALUE"""),5551.0)</f>
        <v>5551</v>
      </c>
      <c r="S119" s="329">
        <f>IFERROR(__xludf.DUMMYFUNCTION("""COMPUTED_VALUE"""),9.0)</f>
        <v>9</v>
      </c>
      <c r="T119" s="329">
        <f>IFERROR(__xludf.DUMMYFUNCTION("""COMPUTED_VALUE"""),751.0)</f>
        <v>751</v>
      </c>
      <c r="U119" s="329">
        <f>IFERROR(__xludf.DUMMYFUNCTION("""COMPUTED_VALUE"""),457.0)</f>
        <v>457</v>
      </c>
      <c r="V119" s="329">
        <f>IFERROR(__xludf.DUMMYFUNCTION("""COMPUTED_VALUE"""),459.0)</f>
        <v>459</v>
      </c>
      <c r="W119" s="329">
        <f>IFERROR(__xludf.DUMMYFUNCTION("""COMPUTED_VALUE"""),61.0)</f>
        <v>61</v>
      </c>
      <c r="X119" s="329">
        <f>IFERROR(__xludf.DUMMYFUNCTION("""COMPUTED_VALUE"""),42.0)</f>
        <v>42</v>
      </c>
      <c r="Y119" s="329">
        <f>IFERROR(__xludf.DUMMYFUNCTION("""COMPUTED_VALUE"""),17.0)</f>
        <v>17</v>
      </c>
      <c r="Z119" s="329">
        <f>IFERROR(__xludf.DUMMYFUNCTION("""COMPUTED_VALUE"""),1976.0)</f>
        <v>1976</v>
      </c>
      <c r="AA119" s="258">
        <f>IFERROR(__xludf.DUMMYFUNCTION("""COMPUTED_VALUE"""),1726.0)</f>
        <v>1726</v>
      </c>
      <c r="AB119" s="258">
        <f>IFERROR(__xludf.DUMMYFUNCTION("""COMPUTED_VALUE"""),102.0)</f>
        <v>102</v>
      </c>
      <c r="AC119" s="258">
        <f>IFERROR(__xludf.DUMMYFUNCTION("""COMPUTED_VALUE"""),1828.0)</f>
        <v>1828</v>
      </c>
      <c r="AD119" s="258">
        <f>IFERROR(__xludf.DUMMYFUNCTION("""COMPUTED_VALUE"""),26598.0)</f>
        <v>26598</v>
      </c>
      <c r="AE119" s="258">
        <f>IFERROR(__xludf.DUMMYFUNCTION("""COMPUTED_VALUE"""),1726.0)</f>
        <v>1726</v>
      </c>
      <c r="AF119" s="258">
        <f>IFERROR(__xludf.DUMMYFUNCTION("""COMPUTED_VALUE"""),26476.0)</f>
        <v>26476</v>
      </c>
      <c r="AG119" s="258">
        <f>IFERROR(__xludf.DUMMYFUNCTION("""COMPUTED_VALUE"""),102.0)</f>
        <v>102</v>
      </c>
      <c r="AH119" s="258">
        <f>IFERROR(__xludf.DUMMYFUNCTION("""COMPUTED_VALUE"""),122.0)</f>
        <v>122</v>
      </c>
    </row>
    <row r="120">
      <c r="A120" s="328">
        <f>IFERROR(__xludf.DUMMYFUNCTION("""COMPUTED_VALUE"""),44200.0)</f>
        <v>44200</v>
      </c>
      <c r="B120" s="329">
        <f>IFERROR(__xludf.DUMMYFUNCTION("""COMPUTED_VALUE"""),1264.0)</f>
        <v>1264</v>
      </c>
      <c r="C120" s="329">
        <f>IFERROR(__xludf.DUMMYFUNCTION("""COMPUTED_VALUE"""),1017.0)</f>
        <v>1017</v>
      </c>
      <c r="D120" s="329">
        <f>IFERROR(__xludf.DUMMYFUNCTION("""COMPUTED_VALUE"""),113060.0)</f>
        <v>113060</v>
      </c>
      <c r="E120" s="329">
        <f>IFERROR(__xludf.DUMMYFUNCTION("""COMPUTED_VALUE"""),11850.0)</f>
        <v>11850</v>
      </c>
      <c r="F120" s="258">
        <f>IFERROR(__xludf.DUMMYFUNCTION("""COMPUTED_VALUE"""),1949224.0)</f>
        <v>1949224</v>
      </c>
      <c r="G120" s="258">
        <f>IFERROR(__xludf.DUMMYFUNCTION("""COMPUTED_VALUE"""),13114.0)</f>
        <v>13114</v>
      </c>
      <c r="H120" s="258">
        <f>IFERROR(__xludf.DUMMYFUNCTION("""COMPUTED_VALUE"""),2062284.0)</f>
        <v>2062284</v>
      </c>
      <c r="I120" s="329">
        <f>IFERROR(__xludf.DUMMYFUNCTION("""COMPUTED_VALUE"""),1130.0)</f>
        <v>1130</v>
      </c>
      <c r="J120" s="329">
        <f>IFERROR(__xludf.DUMMYFUNCTION("""COMPUTED_VALUE"""),894.0)</f>
        <v>894</v>
      </c>
      <c r="K120" s="329">
        <f>IFERROR(__xludf.DUMMYFUNCTION("""COMPUTED_VALUE"""),94171.0)</f>
        <v>94171</v>
      </c>
      <c r="L120" s="329">
        <f>IFERROR(__xludf.DUMMYFUNCTION("""COMPUTED_VALUE"""),2945.0)</f>
        <v>2945</v>
      </c>
      <c r="M120" s="329">
        <f>IFERROR(__xludf.DUMMYFUNCTION("""COMPUTED_VALUE"""),538762.0)</f>
        <v>538762</v>
      </c>
      <c r="N120" s="329">
        <f>IFERROR(__xludf.DUMMYFUNCTION("""COMPUTED_VALUE"""),632933.0)</f>
        <v>632933</v>
      </c>
      <c r="O120" s="329">
        <f>IFERROR(__xludf.DUMMYFUNCTION("""COMPUTED_VALUE"""),68.0)</f>
        <v>68</v>
      </c>
      <c r="P120" s="329">
        <f>IFERROR(__xludf.DUMMYFUNCTION("""COMPUTED_VALUE"""),6827.0)</f>
        <v>6827</v>
      </c>
      <c r="Q120" s="329">
        <f>IFERROR(__xludf.DUMMYFUNCTION("""COMPUTED_VALUE"""),60.0)</f>
        <v>60</v>
      </c>
      <c r="R120" s="329">
        <f>IFERROR(__xludf.DUMMYFUNCTION("""COMPUTED_VALUE"""),5611.0)</f>
        <v>5611</v>
      </c>
      <c r="S120" s="329">
        <f>IFERROR(__xludf.DUMMYFUNCTION("""COMPUTED_VALUE"""),12.0)</f>
        <v>12</v>
      </c>
      <c r="T120" s="329">
        <f>IFERROR(__xludf.DUMMYFUNCTION("""COMPUTED_VALUE"""),763.0)</f>
        <v>763</v>
      </c>
      <c r="U120" s="329">
        <f>IFERROR(__xludf.DUMMYFUNCTION("""COMPUTED_VALUE"""),453.0)</f>
        <v>453</v>
      </c>
      <c r="V120" s="329">
        <f>IFERROR(__xludf.DUMMYFUNCTION("""COMPUTED_VALUE"""),459.0)</f>
        <v>459</v>
      </c>
      <c r="W120" s="329">
        <f>IFERROR(__xludf.DUMMYFUNCTION("""COMPUTED_VALUE"""),64.0)</f>
        <v>64</v>
      </c>
      <c r="X120" s="329">
        <f>IFERROR(__xludf.DUMMYFUNCTION("""COMPUTED_VALUE"""),42.0)</f>
        <v>42</v>
      </c>
      <c r="Y120" s="329">
        <f>IFERROR(__xludf.DUMMYFUNCTION("""COMPUTED_VALUE"""),19.0)</f>
        <v>19</v>
      </c>
      <c r="Z120" s="329">
        <f>IFERROR(__xludf.DUMMYFUNCTION("""COMPUTED_VALUE"""),1995.0)</f>
        <v>1995</v>
      </c>
      <c r="AA120" s="258">
        <f>IFERROR(__xludf.DUMMYFUNCTION("""COMPUTED_VALUE"""),2339.0)</f>
        <v>2339</v>
      </c>
      <c r="AB120" s="258">
        <f>IFERROR(__xludf.DUMMYFUNCTION("""COMPUTED_VALUE"""),282.0)</f>
        <v>282</v>
      </c>
      <c r="AC120" s="258">
        <f>IFERROR(__xludf.DUMMYFUNCTION("""COMPUTED_VALUE"""),2621.0)</f>
        <v>2621</v>
      </c>
      <c r="AD120" s="258">
        <f>IFERROR(__xludf.DUMMYFUNCTION("""COMPUTED_VALUE"""),29219.0)</f>
        <v>29219</v>
      </c>
      <c r="AE120" s="258">
        <f>IFERROR(__xludf.DUMMYFUNCTION("""COMPUTED_VALUE"""),2339.0)</f>
        <v>2339</v>
      </c>
      <c r="AF120" s="258">
        <f>IFERROR(__xludf.DUMMYFUNCTION("""COMPUTED_VALUE"""),28815.0)</f>
        <v>28815</v>
      </c>
      <c r="AG120" s="258">
        <f>IFERROR(__xludf.DUMMYFUNCTION("""COMPUTED_VALUE"""),282.0)</f>
        <v>282</v>
      </c>
      <c r="AH120" s="258">
        <f>IFERROR(__xludf.DUMMYFUNCTION("""COMPUTED_VALUE"""),404.0)</f>
        <v>404</v>
      </c>
    </row>
    <row r="121">
      <c r="A121" s="328">
        <f>IFERROR(__xludf.DUMMYFUNCTION("""COMPUTED_VALUE"""),44201.0)</f>
        <v>44201</v>
      </c>
      <c r="B121" s="329">
        <f>IFERROR(__xludf.DUMMYFUNCTION("""COMPUTED_VALUE"""),1882.0)</f>
        <v>1882</v>
      </c>
      <c r="C121" s="329">
        <f>IFERROR(__xludf.DUMMYFUNCTION("""COMPUTED_VALUE"""),1302.0)</f>
        <v>1302</v>
      </c>
      <c r="D121" s="329">
        <f>IFERROR(__xludf.DUMMYFUNCTION("""COMPUTED_VALUE"""),114942.0)</f>
        <v>114942</v>
      </c>
      <c r="E121" s="329">
        <f>IFERROR(__xludf.DUMMYFUNCTION("""COMPUTED_VALUE"""),19205.0)</f>
        <v>19205</v>
      </c>
      <c r="F121" s="258">
        <f>IFERROR(__xludf.DUMMYFUNCTION("""COMPUTED_VALUE"""),1968429.0)</f>
        <v>1968429</v>
      </c>
      <c r="G121" s="258">
        <f>IFERROR(__xludf.DUMMYFUNCTION("""COMPUTED_VALUE"""),21087.0)</f>
        <v>21087</v>
      </c>
      <c r="H121" s="258">
        <f>IFERROR(__xludf.DUMMYFUNCTION("""COMPUTED_VALUE"""),2083371.0)</f>
        <v>2083371</v>
      </c>
      <c r="I121" s="329">
        <f>IFERROR(__xludf.DUMMYFUNCTION("""COMPUTED_VALUE"""),1625.0)</f>
        <v>1625</v>
      </c>
      <c r="J121" s="329">
        <f>IFERROR(__xludf.DUMMYFUNCTION("""COMPUTED_VALUE"""),1135.0)</f>
        <v>1135</v>
      </c>
      <c r="K121" s="329">
        <f>IFERROR(__xludf.DUMMYFUNCTION("""COMPUTED_VALUE"""),95796.0)</f>
        <v>95796</v>
      </c>
      <c r="L121" s="329">
        <f>IFERROR(__xludf.DUMMYFUNCTION("""COMPUTED_VALUE"""),3841.0)</f>
        <v>3841</v>
      </c>
      <c r="M121" s="329">
        <f>IFERROR(__xludf.DUMMYFUNCTION("""COMPUTED_VALUE"""),542603.0)</f>
        <v>542603</v>
      </c>
      <c r="N121" s="329">
        <f>IFERROR(__xludf.DUMMYFUNCTION("""COMPUTED_VALUE"""),638399.0)</f>
        <v>638399</v>
      </c>
      <c r="O121" s="329">
        <f>IFERROR(__xludf.DUMMYFUNCTION("""COMPUTED_VALUE"""),57.0)</f>
        <v>57</v>
      </c>
      <c r="P121" s="329">
        <f>IFERROR(__xludf.DUMMYFUNCTION("""COMPUTED_VALUE"""),6884.0)</f>
        <v>6884</v>
      </c>
      <c r="Q121" s="329">
        <f>IFERROR(__xludf.DUMMYFUNCTION("""COMPUTED_VALUE"""),55.0)</f>
        <v>55</v>
      </c>
      <c r="R121" s="329">
        <f>IFERROR(__xludf.DUMMYFUNCTION("""COMPUTED_VALUE"""),5666.0)</f>
        <v>5666</v>
      </c>
      <c r="S121" s="329">
        <f>IFERROR(__xludf.DUMMYFUNCTION("""COMPUTED_VALUE"""),7.0)</f>
        <v>7</v>
      </c>
      <c r="T121" s="329">
        <f>IFERROR(__xludf.DUMMYFUNCTION("""COMPUTED_VALUE"""),770.0)</f>
        <v>770</v>
      </c>
      <c r="U121" s="329">
        <f>IFERROR(__xludf.DUMMYFUNCTION("""COMPUTED_VALUE"""),448.0)</f>
        <v>448</v>
      </c>
      <c r="V121" s="329">
        <f>IFERROR(__xludf.DUMMYFUNCTION("""COMPUTED_VALUE"""),453.0)</f>
        <v>453</v>
      </c>
      <c r="W121" s="329">
        <f>IFERROR(__xludf.DUMMYFUNCTION("""COMPUTED_VALUE"""),63.0)</f>
        <v>63</v>
      </c>
      <c r="X121" s="329">
        <f>IFERROR(__xludf.DUMMYFUNCTION("""COMPUTED_VALUE"""),41.0)</f>
        <v>41</v>
      </c>
      <c r="Y121" s="329">
        <f>IFERROR(__xludf.DUMMYFUNCTION("""COMPUTED_VALUE"""),13.0)</f>
        <v>13</v>
      </c>
      <c r="Z121" s="329">
        <f>IFERROR(__xludf.DUMMYFUNCTION("""COMPUTED_VALUE"""),2008.0)</f>
        <v>2008</v>
      </c>
      <c r="AA121" s="258">
        <f>IFERROR(__xludf.DUMMYFUNCTION("""COMPUTED_VALUE"""),2516.0)</f>
        <v>2516</v>
      </c>
      <c r="AB121" s="258">
        <f>IFERROR(__xludf.DUMMYFUNCTION("""COMPUTED_VALUE"""),240.0)</f>
        <v>240</v>
      </c>
      <c r="AC121" s="258">
        <f>IFERROR(__xludf.DUMMYFUNCTION("""COMPUTED_VALUE"""),2756.0)</f>
        <v>2756</v>
      </c>
      <c r="AD121" s="258">
        <f>IFERROR(__xludf.DUMMYFUNCTION("""COMPUTED_VALUE"""),31975.0)</f>
        <v>31975</v>
      </c>
      <c r="AE121" s="258">
        <f>IFERROR(__xludf.DUMMYFUNCTION("""COMPUTED_VALUE"""),2516.0)</f>
        <v>2516</v>
      </c>
      <c r="AF121" s="258">
        <f>IFERROR(__xludf.DUMMYFUNCTION("""COMPUTED_VALUE"""),31331.0)</f>
        <v>31331</v>
      </c>
      <c r="AG121" s="258">
        <f>IFERROR(__xludf.DUMMYFUNCTION("""COMPUTED_VALUE"""),240.0)</f>
        <v>240</v>
      </c>
      <c r="AH121" s="258">
        <f>IFERROR(__xludf.DUMMYFUNCTION("""COMPUTED_VALUE"""),644.0)</f>
        <v>644</v>
      </c>
    </row>
    <row r="122">
      <c r="A122" s="328">
        <f>IFERROR(__xludf.DUMMYFUNCTION("""COMPUTED_VALUE"""),44202.0)</f>
        <v>44202</v>
      </c>
      <c r="B122" s="329">
        <f>IFERROR(__xludf.DUMMYFUNCTION("""COMPUTED_VALUE"""),1372.0)</f>
        <v>1372</v>
      </c>
      <c r="C122" s="329">
        <f>IFERROR(__xludf.DUMMYFUNCTION("""COMPUTED_VALUE"""),1506.0)</f>
        <v>1506</v>
      </c>
      <c r="D122" s="329">
        <f>IFERROR(__xludf.DUMMYFUNCTION("""COMPUTED_VALUE"""),116314.0)</f>
        <v>116314</v>
      </c>
      <c r="E122" s="329">
        <f>IFERROR(__xludf.DUMMYFUNCTION("""COMPUTED_VALUE"""),18324.0)</f>
        <v>18324</v>
      </c>
      <c r="F122" s="258">
        <f>IFERROR(__xludf.DUMMYFUNCTION("""COMPUTED_VALUE"""),1986753.0)</f>
        <v>1986753</v>
      </c>
      <c r="G122" s="258">
        <f>IFERROR(__xludf.DUMMYFUNCTION("""COMPUTED_VALUE"""),19696.0)</f>
        <v>19696</v>
      </c>
      <c r="H122" s="258">
        <f>IFERROR(__xludf.DUMMYFUNCTION("""COMPUTED_VALUE"""),2103067.0)</f>
        <v>2103067</v>
      </c>
      <c r="I122" s="329">
        <f>IFERROR(__xludf.DUMMYFUNCTION("""COMPUTED_VALUE"""),1222.0)</f>
        <v>1222</v>
      </c>
      <c r="J122" s="329">
        <f>IFERROR(__xludf.DUMMYFUNCTION("""COMPUTED_VALUE"""),1326.0)</f>
        <v>1326</v>
      </c>
      <c r="K122" s="329">
        <f>IFERROR(__xludf.DUMMYFUNCTION("""COMPUTED_VALUE"""),97018.0)</f>
        <v>97018</v>
      </c>
      <c r="L122" s="329">
        <f>IFERROR(__xludf.DUMMYFUNCTION("""COMPUTED_VALUE"""),3052.0)</f>
        <v>3052</v>
      </c>
      <c r="M122" s="329">
        <f>IFERROR(__xludf.DUMMYFUNCTION("""COMPUTED_VALUE"""),545655.0)</f>
        <v>545655</v>
      </c>
      <c r="N122" s="329">
        <f>IFERROR(__xludf.DUMMYFUNCTION("""COMPUTED_VALUE"""),642673.0)</f>
        <v>642673</v>
      </c>
      <c r="O122" s="329">
        <f>IFERROR(__xludf.DUMMYFUNCTION("""COMPUTED_VALUE"""),59.0)</f>
        <v>59</v>
      </c>
      <c r="P122" s="329">
        <f>IFERROR(__xludf.DUMMYFUNCTION("""COMPUTED_VALUE"""),6943.0)</f>
        <v>6943</v>
      </c>
      <c r="Q122" s="329">
        <f>IFERROR(__xludf.DUMMYFUNCTION("""COMPUTED_VALUE"""),60.0)</f>
        <v>60</v>
      </c>
      <c r="R122" s="329">
        <f>IFERROR(__xludf.DUMMYFUNCTION("""COMPUTED_VALUE"""),5726.0)</f>
        <v>5726</v>
      </c>
      <c r="S122" s="329">
        <f>IFERROR(__xludf.DUMMYFUNCTION("""COMPUTED_VALUE"""),12.0)</f>
        <v>12</v>
      </c>
      <c r="T122" s="329">
        <f>IFERROR(__xludf.DUMMYFUNCTION("""COMPUTED_VALUE"""),782.0)</f>
        <v>782</v>
      </c>
      <c r="U122" s="329">
        <f>IFERROR(__xludf.DUMMYFUNCTION("""COMPUTED_VALUE"""),435.0)</f>
        <v>435</v>
      </c>
      <c r="V122" s="329">
        <f>IFERROR(__xludf.DUMMYFUNCTION("""COMPUTED_VALUE"""),445.0)</f>
        <v>445</v>
      </c>
      <c r="W122" s="329">
        <f>IFERROR(__xludf.DUMMYFUNCTION("""COMPUTED_VALUE"""),58.0)</f>
        <v>58</v>
      </c>
      <c r="X122" s="329">
        <f>IFERROR(__xludf.DUMMYFUNCTION("""COMPUTED_VALUE"""),39.0)</f>
        <v>39</v>
      </c>
      <c r="Y122" s="329">
        <f>IFERROR(__xludf.DUMMYFUNCTION("""COMPUTED_VALUE"""),19.0)</f>
        <v>19</v>
      </c>
      <c r="Z122" s="329">
        <f>IFERROR(__xludf.DUMMYFUNCTION("""COMPUTED_VALUE"""),2027.0)</f>
        <v>2027</v>
      </c>
      <c r="AA122" s="258">
        <f>IFERROR(__xludf.DUMMYFUNCTION("""COMPUTED_VALUE"""),1636.0)</f>
        <v>1636</v>
      </c>
      <c r="AB122" s="258">
        <f>IFERROR(__xludf.DUMMYFUNCTION("""COMPUTED_VALUE"""),470.0)</f>
        <v>470</v>
      </c>
      <c r="AC122" s="258">
        <f>IFERROR(__xludf.DUMMYFUNCTION("""COMPUTED_VALUE"""),2106.0)</f>
        <v>2106</v>
      </c>
      <c r="AD122" s="258">
        <f>IFERROR(__xludf.DUMMYFUNCTION("""COMPUTED_VALUE"""),34081.0)</f>
        <v>34081</v>
      </c>
      <c r="AE122" s="258">
        <f>IFERROR(__xludf.DUMMYFUNCTION("""COMPUTED_VALUE"""),1636.0)</f>
        <v>1636</v>
      </c>
      <c r="AF122" s="258">
        <f>IFERROR(__xludf.DUMMYFUNCTION("""COMPUTED_VALUE"""),32967.0)</f>
        <v>32967</v>
      </c>
      <c r="AG122" s="258">
        <f>IFERROR(__xludf.DUMMYFUNCTION("""COMPUTED_VALUE"""),470.0)</f>
        <v>470</v>
      </c>
      <c r="AH122" s="258">
        <f>IFERROR(__xludf.DUMMYFUNCTION("""COMPUTED_VALUE"""),1114.0)</f>
        <v>1114</v>
      </c>
    </row>
    <row r="123">
      <c r="A123" s="328">
        <f>IFERROR(__xludf.DUMMYFUNCTION("""COMPUTED_VALUE"""),44203.0)</f>
        <v>44203</v>
      </c>
      <c r="B123" s="329">
        <f>IFERROR(__xludf.DUMMYFUNCTION("""COMPUTED_VALUE"""),1262.0)</f>
        <v>1262</v>
      </c>
      <c r="C123" s="329">
        <f>IFERROR(__xludf.DUMMYFUNCTION("""COMPUTED_VALUE"""),1505.0)</f>
        <v>1505</v>
      </c>
      <c r="D123" s="329">
        <f>IFERROR(__xludf.DUMMYFUNCTION("""COMPUTED_VALUE"""),117576.0)</f>
        <v>117576</v>
      </c>
      <c r="E123" s="329">
        <f>IFERROR(__xludf.DUMMYFUNCTION("""COMPUTED_VALUE"""),17441.0)</f>
        <v>17441</v>
      </c>
      <c r="F123" s="258">
        <f>IFERROR(__xludf.DUMMYFUNCTION("""COMPUTED_VALUE"""),2004194.0)</f>
        <v>2004194</v>
      </c>
      <c r="G123" s="258">
        <f>IFERROR(__xludf.DUMMYFUNCTION("""COMPUTED_VALUE"""),18703.0)</f>
        <v>18703</v>
      </c>
      <c r="H123" s="258">
        <f>IFERROR(__xludf.DUMMYFUNCTION("""COMPUTED_VALUE"""),2121770.0)</f>
        <v>2121770</v>
      </c>
      <c r="I123" s="329">
        <f>IFERROR(__xludf.DUMMYFUNCTION("""COMPUTED_VALUE"""),1121.0)</f>
        <v>1121</v>
      </c>
      <c r="J123" s="329">
        <f>IFERROR(__xludf.DUMMYFUNCTION("""COMPUTED_VALUE"""),1323.0)</f>
        <v>1323</v>
      </c>
      <c r="K123" s="329">
        <f>IFERROR(__xludf.DUMMYFUNCTION("""COMPUTED_VALUE"""),98139.0)</f>
        <v>98139</v>
      </c>
      <c r="L123" s="329">
        <f>IFERROR(__xludf.DUMMYFUNCTION("""COMPUTED_VALUE"""),3254.0)</f>
        <v>3254</v>
      </c>
      <c r="M123" s="329">
        <f>IFERROR(__xludf.DUMMYFUNCTION("""COMPUTED_VALUE"""),548909.0)</f>
        <v>548909</v>
      </c>
      <c r="N123" s="329">
        <f>IFERROR(__xludf.DUMMYFUNCTION("""COMPUTED_VALUE"""),647048.0)</f>
        <v>647048</v>
      </c>
      <c r="O123" s="329">
        <f>IFERROR(__xludf.DUMMYFUNCTION("""COMPUTED_VALUE"""),51.0)</f>
        <v>51</v>
      </c>
      <c r="P123" s="329">
        <f>IFERROR(__xludf.DUMMYFUNCTION("""COMPUTED_VALUE"""),6994.0)</f>
        <v>6994</v>
      </c>
      <c r="Q123" s="329">
        <f>IFERROR(__xludf.DUMMYFUNCTION("""COMPUTED_VALUE"""),56.0)</f>
        <v>56</v>
      </c>
      <c r="R123" s="329">
        <f>IFERROR(__xludf.DUMMYFUNCTION("""COMPUTED_VALUE"""),5782.0)</f>
        <v>5782</v>
      </c>
      <c r="S123" s="329">
        <f>IFERROR(__xludf.DUMMYFUNCTION("""COMPUTED_VALUE"""),4.0)</f>
        <v>4</v>
      </c>
      <c r="T123" s="329">
        <f>IFERROR(__xludf.DUMMYFUNCTION("""COMPUTED_VALUE"""),786.0)</f>
        <v>786</v>
      </c>
      <c r="U123" s="329">
        <f>IFERROR(__xludf.DUMMYFUNCTION("""COMPUTED_VALUE"""),426.0)</f>
        <v>426</v>
      </c>
      <c r="V123" s="329">
        <f>IFERROR(__xludf.DUMMYFUNCTION("""COMPUTED_VALUE"""),436.0)</f>
        <v>436</v>
      </c>
      <c r="W123" s="329">
        <f>IFERROR(__xludf.DUMMYFUNCTION("""COMPUTED_VALUE"""),57.0)</f>
        <v>57</v>
      </c>
      <c r="X123" s="329">
        <f>IFERROR(__xludf.DUMMYFUNCTION("""COMPUTED_VALUE"""),36.0)</f>
        <v>36</v>
      </c>
      <c r="Y123" s="329">
        <f>IFERROR(__xludf.DUMMYFUNCTION("""COMPUTED_VALUE"""),11.0)</f>
        <v>11</v>
      </c>
      <c r="Z123" s="329">
        <f>IFERROR(__xludf.DUMMYFUNCTION("""COMPUTED_VALUE"""),2038.0)</f>
        <v>2038</v>
      </c>
      <c r="AA123" s="258">
        <f>IFERROR(__xludf.DUMMYFUNCTION("""COMPUTED_VALUE"""),1749.0)</f>
        <v>1749</v>
      </c>
      <c r="AB123" s="258">
        <f>IFERROR(__xludf.DUMMYFUNCTION("""COMPUTED_VALUE"""),706.0)</f>
        <v>706</v>
      </c>
      <c r="AC123" s="258">
        <f>IFERROR(__xludf.DUMMYFUNCTION("""COMPUTED_VALUE"""),2455.0)</f>
        <v>2455</v>
      </c>
      <c r="AD123" s="258">
        <f>IFERROR(__xludf.DUMMYFUNCTION("""COMPUTED_VALUE"""),36536.0)</f>
        <v>36536</v>
      </c>
      <c r="AE123" s="258">
        <f>IFERROR(__xludf.DUMMYFUNCTION("""COMPUTED_VALUE"""),1749.0)</f>
        <v>1749</v>
      </c>
      <c r="AF123" s="258">
        <f>IFERROR(__xludf.DUMMYFUNCTION("""COMPUTED_VALUE"""),34716.0)</f>
        <v>34716</v>
      </c>
      <c r="AG123" s="258">
        <f>IFERROR(__xludf.DUMMYFUNCTION("""COMPUTED_VALUE"""),706.0)</f>
        <v>706</v>
      </c>
      <c r="AH123" s="258">
        <f>IFERROR(__xludf.DUMMYFUNCTION("""COMPUTED_VALUE"""),1820.0)</f>
        <v>1820</v>
      </c>
    </row>
    <row r="124">
      <c r="A124" s="328">
        <f>IFERROR(__xludf.DUMMYFUNCTION("""COMPUTED_VALUE"""),44204.0)</f>
        <v>44204</v>
      </c>
      <c r="B124" s="329">
        <f>IFERROR(__xludf.DUMMYFUNCTION("""COMPUTED_VALUE"""),1421.0)</f>
        <v>1421</v>
      </c>
      <c r="C124" s="329">
        <f>IFERROR(__xludf.DUMMYFUNCTION("""COMPUTED_VALUE"""),1352.0)</f>
        <v>1352</v>
      </c>
      <c r="D124" s="329">
        <f>IFERROR(__xludf.DUMMYFUNCTION("""COMPUTED_VALUE"""),118997.0)</f>
        <v>118997</v>
      </c>
      <c r="E124" s="329">
        <f>IFERROR(__xludf.DUMMYFUNCTION("""COMPUTED_VALUE"""),20468.0)</f>
        <v>20468</v>
      </c>
      <c r="F124" s="258">
        <f>IFERROR(__xludf.DUMMYFUNCTION("""COMPUTED_VALUE"""),2024662.0)</f>
        <v>2024662</v>
      </c>
      <c r="G124" s="258">
        <f>IFERROR(__xludf.DUMMYFUNCTION("""COMPUTED_VALUE"""),21889.0)</f>
        <v>21889</v>
      </c>
      <c r="H124" s="258">
        <f>IFERROR(__xludf.DUMMYFUNCTION("""COMPUTED_VALUE"""),2143659.0)</f>
        <v>2143659</v>
      </c>
      <c r="I124" s="329">
        <f>IFERROR(__xludf.DUMMYFUNCTION("""COMPUTED_VALUE"""),1241.0)</f>
        <v>1241</v>
      </c>
      <c r="J124" s="329">
        <f>IFERROR(__xludf.DUMMYFUNCTION("""COMPUTED_VALUE"""),1195.0)</f>
        <v>1195</v>
      </c>
      <c r="K124" s="329">
        <f>IFERROR(__xludf.DUMMYFUNCTION("""COMPUTED_VALUE"""),99380.0)</f>
        <v>99380</v>
      </c>
      <c r="L124" s="329">
        <f>IFERROR(__xludf.DUMMYFUNCTION("""COMPUTED_VALUE"""),3864.0)</f>
        <v>3864</v>
      </c>
      <c r="M124" s="329">
        <f>IFERROR(__xludf.DUMMYFUNCTION("""COMPUTED_VALUE"""),552773.0)</f>
        <v>552773</v>
      </c>
      <c r="N124" s="329">
        <f>IFERROR(__xludf.DUMMYFUNCTION("""COMPUTED_VALUE"""),652153.0)</f>
        <v>652153</v>
      </c>
      <c r="O124" s="329">
        <f>IFERROR(__xludf.DUMMYFUNCTION("""COMPUTED_VALUE"""),56.0)</f>
        <v>56</v>
      </c>
      <c r="P124" s="329">
        <f>IFERROR(__xludf.DUMMYFUNCTION("""COMPUTED_VALUE"""),7050.0)</f>
        <v>7050</v>
      </c>
      <c r="Q124" s="329">
        <f>IFERROR(__xludf.DUMMYFUNCTION("""COMPUTED_VALUE"""),51.0)</f>
        <v>51</v>
      </c>
      <c r="R124" s="329">
        <f>IFERROR(__xludf.DUMMYFUNCTION("""COMPUTED_VALUE"""),5833.0)</f>
        <v>5833</v>
      </c>
      <c r="S124" s="329">
        <f>IFERROR(__xludf.DUMMYFUNCTION("""COMPUTED_VALUE"""),6.0)</f>
        <v>6</v>
      </c>
      <c r="T124" s="329">
        <f>IFERROR(__xludf.DUMMYFUNCTION("""COMPUTED_VALUE"""),792.0)</f>
        <v>792</v>
      </c>
      <c r="U124" s="329">
        <f>IFERROR(__xludf.DUMMYFUNCTION("""COMPUTED_VALUE"""),425.0)</f>
        <v>425</v>
      </c>
      <c r="V124" s="329">
        <f>IFERROR(__xludf.DUMMYFUNCTION("""COMPUTED_VALUE"""),429.0)</f>
        <v>429</v>
      </c>
      <c r="W124" s="329">
        <f>IFERROR(__xludf.DUMMYFUNCTION("""COMPUTED_VALUE"""),54.0)</f>
        <v>54</v>
      </c>
      <c r="X124" s="329">
        <f>IFERROR(__xludf.DUMMYFUNCTION("""COMPUTED_VALUE"""),35.0)</f>
        <v>35</v>
      </c>
      <c r="Y124" s="329">
        <f>IFERROR(__xludf.DUMMYFUNCTION("""COMPUTED_VALUE"""),13.0)</f>
        <v>13</v>
      </c>
      <c r="Z124" s="329">
        <f>IFERROR(__xludf.DUMMYFUNCTION("""COMPUTED_VALUE"""),2051.0)</f>
        <v>2051</v>
      </c>
      <c r="AA124" s="258">
        <f>IFERROR(__xludf.DUMMYFUNCTION("""COMPUTED_VALUE"""),1793.0)</f>
        <v>1793</v>
      </c>
      <c r="AB124" s="258">
        <f>IFERROR(__xludf.DUMMYFUNCTION("""COMPUTED_VALUE"""),1553.0)</f>
        <v>1553</v>
      </c>
      <c r="AC124" s="258">
        <f>IFERROR(__xludf.DUMMYFUNCTION("""COMPUTED_VALUE"""),3346.0)</f>
        <v>3346</v>
      </c>
      <c r="AD124" s="258">
        <f>IFERROR(__xludf.DUMMYFUNCTION("""COMPUTED_VALUE"""),39882.0)</f>
        <v>39882</v>
      </c>
      <c r="AE124" s="258">
        <f>IFERROR(__xludf.DUMMYFUNCTION("""COMPUTED_VALUE"""),1793.0)</f>
        <v>1793</v>
      </c>
      <c r="AF124" s="258">
        <f>IFERROR(__xludf.DUMMYFUNCTION("""COMPUTED_VALUE"""),36509.0)</f>
        <v>36509</v>
      </c>
      <c r="AG124" s="258">
        <f>IFERROR(__xludf.DUMMYFUNCTION("""COMPUTED_VALUE"""),1553.0)</f>
        <v>1553</v>
      </c>
      <c r="AH124" s="258">
        <f>IFERROR(__xludf.DUMMYFUNCTION("""COMPUTED_VALUE"""),3373.0)</f>
        <v>3373</v>
      </c>
    </row>
    <row r="125">
      <c r="A125" s="328">
        <f>IFERROR(__xludf.DUMMYFUNCTION("""COMPUTED_VALUE"""),44205.0)</f>
        <v>44205</v>
      </c>
      <c r="B125" s="329">
        <f>IFERROR(__xludf.DUMMYFUNCTION("""COMPUTED_VALUE"""),1287.0)</f>
        <v>1287</v>
      </c>
      <c r="C125" s="329">
        <f>IFERROR(__xludf.DUMMYFUNCTION("""COMPUTED_VALUE"""),1323.0)</f>
        <v>1323</v>
      </c>
      <c r="D125" s="329">
        <f>IFERROR(__xludf.DUMMYFUNCTION("""COMPUTED_VALUE"""),120284.0)</f>
        <v>120284</v>
      </c>
      <c r="E125" s="329">
        <f>IFERROR(__xludf.DUMMYFUNCTION("""COMPUTED_VALUE"""),17329.0)</f>
        <v>17329</v>
      </c>
      <c r="F125" s="258">
        <f>IFERROR(__xludf.DUMMYFUNCTION("""COMPUTED_VALUE"""),2041991.0)</f>
        <v>2041991</v>
      </c>
      <c r="G125" s="258">
        <f>IFERROR(__xludf.DUMMYFUNCTION("""COMPUTED_VALUE"""),18616.0)</f>
        <v>18616</v>
      </c>
      <c r="H125" s="258">
        <f>IFERROR(__xludf.DUMMYFUNCTION("""COMPUTED_VALUE"""),2162275.0)</f>
        <v>2162275</v>
      </c>
      <c r="I125" s="329">
        <f>IFERROR(__xludf.DUMMYFUNCTION("""COMPUTED_VALUE"""),1084.0)</f>
        <v>1084</v>
      </c>
      <c r="J125" s="329">
        <f>IFERROR(__xludf.DUMMYFUNCTION("""COMPUTED_VALUE"""),1149.0)</f>
        <v>1149</v>
      </c>
      <c r="K125" s="329">
        <f>IFERROR(__xludf.DUMMYFUNCTION("""COMPUTED_VALUE"""),100464.0)</f>
        <v>100464</v>
      </c>
      <c r="L125" s="329">
        <f>IFERROR(__xludf.DUMMYFUNCTION("""COMPUTED_VALUE"""),3385.0)</f>
        <v>3385</v>
      </c>
      <c r="M125" s="329">
        <f>IFERROR(__xludf.DUMMYFUNCTION("""COMPUTED_VALUE"""),556158.0)</f>
        <v>556158</v>
      </c>
      <c r="N125" s="329">
        <f>IFERROR(__xludf.DUMMYFUNCTION("""COMPUTED_VALUE"""),656622.0)</f>
        <v>656622</v>
      </c>
      <c r="O125" s="329">
        <f>IFERROR(__xludf.DUMMYFUNCTION("""COMPUTED_VALUE"""),65.0)</f>
        <v>65</v>
      </c>
      <c r="P125" s="329">
        <f>IFERROR(__xludf.DUMMYFUNCTION("""COMPUTED_VALUE"""),7115.0)</f>
        <v>7115</v>
      </c>
      <c r="Q125" s="329">
        <f>IFERROR(__xludf.DUMMYFUNCTION("""COMPUTED_VALUE"""),39.0)</f>
        <v>39</v>
      </c>
      <c r="R125" s="329">
        <f>IFERROR(__xludf.DUMMYFUNCTION("""COMPUTED_VALUE"""),5872.0)</f>
        <v>5872</v>
      </c>
      <c r="S125" s="329">
        <f>IFERROR(__xludf.DUMMYFUNCTION("""COMPUTED_VALUE"""),6.0)</f>
        <v>6</v>
      </c>
      <c r="T125" s="329">
        <f>IFERROR(__xludf.DUMMYFUNCTION("""COMPUTED_VALUE"""),798.0)</f>
        <v>798</v>
      </c>
      <c r="U125" s="329">
        <f>IFERROR(__xludf.DUMMYFUNCTION("""COMPUTED_VALUE"""),445.0)</f>
        <v>445</v>
      </c>
      <c r="V125" s="329">
        <f>IFERROR(__xludf.DUMMYFUNCTION("""COMPUTED_VALUE"""),432.0)</f>
        <v>432</v>
      </c>
      <c r="W125" s="329">
        <f>IFERROR(__xludf.DUMMYFUNCTION("""COMPUTED_VALUE"""),52.0)</f>
        <v>52</v>
      </c>
      <c r="X125" s="329">
        <f>IFERROR(__xludf.DUMMYFUNCTION("""COMPUTED_VALUE"""),33.0)</f>
        <v>33</v>
      </c>
      <c r="Y125" s="329">
        <f>IFERROR(__xludf.DUMMYFUNCTION("""COMPUTED_VALUE"""),15.0)</f>
        <v>15</v>
      </c>
      <c r="Z125" s="329">
        <f>IFERROR(__xludf.DUMMYFUNCTION("""COMPUTED_VALUE"""),2066.0)</f>
        <v>2066</v>
      </c>
      <c r="AA125" s="258">
        <f>IFERROR(__xludf.DUMMYFUNCTION("""COMPUTED_VALUE"""),1477.0)</f>
        <v>1477</v>
      </c>
      <c r="AB125" s="258">
        <f>IFERROR(__xludf.DUMMYFUNCTION("""COMPUTED_VALUE"""),697.0)</f>
        <v>697</v>
      </c>
      <c r="AC125" s="258">
        <f>IFERROR(__xludf.DUMMYFUNCTION("""COMPUTED_VALUE"""),2174.0)</f>
        <v>2174</v>
      </c>
      <c r="AD125" s="258">
        <f>IFERROR(__xludf.DUMMYFUNCTION("""COMPUTED_VALUE"""),42056.0)</f>
        <v>42056</v>
      </c>
      <c r="AE125" s="258">
        <f>IFERROR(__xludf.DUMMYFUNCTION("""COMPUTED_VALUE"""),1477.0)</f>
        <v>1477</v>
      </c>
      <c r="AF125" s="258">
        <f>IFERROR(__xludf.DUMMYFUNCTION("""COMPUTED_VALUE"""),37986.0)</f>
        <v>37986</v>
      </c>
      <c r="AG125" s="258">
        <f>IFERROR(__xludf.DUMMYFUNCTION("""COMPUTED_VALUE"""),698.0)</f>
        <v>698</v>
      </c>
      <c r="AH125" s="258">
        <f>IFERROR(__xludf.DUMMYFUNCTION("""COMPUTED_VALUE"""),4071.0)</f>
        <v>4071</v>
      </c>
    </row>
    <row r="126">
      <c r="A126" s="328">
        <f>IFERROR(__xludf.DUMMYFUNCTION("""COMPUTED_VALUE"""),44206.0)</f>
        <v>44206</v>
      </c>
      <c r="B126" s="329">
        <f>IFERROR(__xludf.DUMMYFUNCTION("""COMPUTED_VALUE"""),739.0)</f>
        <v>739</v>
      </c>
      <c r="C126" s="329">
        <f>IFERROR(__xludf.DUMMYFUNCTION("""COMPUTED_VALUE"""),1149.0)</f>
        <v>1149</v>
      </c>
      <c r="D126" s="329">
        <f>IFERROR(__xludf.DUMMYFUNCTION("""COMPUTED_VALUE"""),121023.0)</f>
        <v>121023</v>
      </c>
      <c r="E126" s="329">
        <f>IFERROR(__xludf.DUMMYFUNCTION("""COMPUTED_VALUE"""),8781.0)</f>
        <v>8781</v>
      </c>
      <c r="F126" s="258">
        <f>IFERROR(__xludf.DUMMYFUNCTION("""COMPUTED_VALUE"""),2050772.0)</f>
        <v>2050772</v>
      </c>
      <c r="G126" s="258">
        <f>IFERROR(__xludf.DUMMYFUNCTION("""COMPUTED_VALUE"""),9520.0)</f>
        <v>9520</v>
      </c>
      <c r="H126" s="258">
        <f>IFERROR(__xludf.DUMMYFUNCTION("""COMPUTED_VALUE"""),2171795.0)</f>
        <v>2171795</v>
      </c>
      <c r="I126" s="329">
        <f>IFERROR(__xludf.DUMMYFUNCTION("""COMPUTED_VALUE"""),667.0)</f>
        <v>667</v>
      </c>
      <c r="J126" s="329">
        <f>IFERROR(__xludf.DUMMYFUNCTION("""COMPUTED_VALUE"""),997.0)</f>
        <v>997</v>
      </c>
      <c r="K126" s="329">
        <f>IFERROR(__xludf.DUMMYFUNCTION("""COMPUTED_VALUE"""),101131.0)</f>
        <v>101131</v>
      </c>
      <c r="L126" s="329">
        <f>IFERROR(__xludf.DUMMYFUNCTION("""COMPUTED_VALUE"""),2063.0)</f>
        <v>2063</v>
      </c>
      <c r="M126" s="329">
        <f>IFERROR(__xludf.DUMMYFUNCTION("""COMPUTED_VALUE"""),558221.0)</f>
        <v>558221</v>
      </c>
      <c r="N126" s="329">
        <f>IFERROR(__xludf.DUMMYFUNCTION("""COMPUTED_VALUE"""),659352.0)</f>
        <v>659352</v>
      </c>
      <c r="O126" s="329">
        <f>IFERROR(__xludf.DUMMYFUNCTION("""COMPUTED_VALUE"""),45.0)</f>
        <v>45</v>
      </c>
      <c r="P126" s="329">
        <f>IFERROR(__xludf.DUMMYFUNCTION("""COMPUTED_VALUE"""),7160.0)</f>
        <v>7160</v>
      </c>
      <c r="Q126" s="329">
        <f>IFERROR(__xludf.DUMMYFUNCTION("""COMPUTED_VALUE"""),40.0)</f>
        <v>40</v>
      </c>
      <c r="R126" s="329">
        <f>IFERROR(__xludf.DUMMYFUNCTION("""COMPUTED_VALUE"""),5912.0)</f>
        <v>5912</v>
      </c>
      <c r="S126" s="329">
        <f>IFERROR(__xludf.DUMMYFUNCTION("""COMPUTED_VALUE"""),5.0)</f>
        <v>5</v>
      </c>
      <c r="T126" s="329">
        <f>IFERROR(__xludf.DUMMYFUNCTION("""COMPUTED_VALUE"""),803.0)</f>
        <v>803</v>
      </c>
      <c r="U126" s="329">
        <f>IFERROR(__xludf.DUMMYFUNCTION("""COMPUTED_VALUE"""),445.0)</f>
        <v>445</v>
      </c>
      <c r="V126" s="329">
        <f>IFERROR(__xludf.DUMMYFUNCTION("""COMPUTED_VALUE"""),438.0)</f>
        <v>438</v>
      </c>
      <c r="W126" s="329">
        <f>IFERROR(__xludf.DUMMYFUNCTION("""COMPUTED_VALUE"""),55.0)</f>
        <v>55</v>
      </c>
      <c r="X126" s="329">
        <f>IFERROR(__xludf.DUMMYFUNCTION("""COMPUTED_VALUE"""),34.0)</f>
        <v>34</v>
      </c>
      <c r="Y126" s="329">
        <f>IFERROR(__xludf.DUMMYFUNCTION("""COMPUTED_VALUE"""),15.0)</f>
        <v>15</v>
      </c>
      <c r="Z126" s="329">
        <f>IFERROR(__xludf.DUMMYFUNCTION("""COMPUTED_VALUE"""),2081.0)</f>
        <v>2081</v>
      </c>
      <c r="AA126" s="258">
        <f>IFERROR(__xludf.DUMMYFUNCTION("""COMPUTED_VALUE"""),339.0)</f>
        <v>339</v>
      </c>
      <c r="AB126" s="258">
        <f>IFERROR(__xludf.DUMMYFUNCTION("""COMPUTED_VALUE"""),763.0)</f>
        <v>763</v>
      </c>
      <c r="AC126" s="258">
        <f>IFERROR(__xludf.DUMMYFUNCTION("""COMPUTED_VALUE"""),1102.0)</f>
        <v>1102</v>
      </c>
      <c r="AD126" s="258">
        <f>IFERROR(__xludf.DUMMYFUNCTION("""COMPUTED_VALUE"""),43158.0)</f>
        <v>43158</v>
      </c>
      <c r="AE126" s="258">
        <f>IFERROR(__xludf.DUMMYFUNCTION("""COMPUTED_VALUE"""),339.0)</f>
        <v>339</v>
      </c>
      <c r="AF126" s="258">
        <f>IFERROR(__xludf.DUMMYFUNCTION("""COMPUTED_VALUE"""),38325.0)</f>
        <v>38325</v>
      </c>
      <c r="AG126" s="258">
        <f>IFERROR(__xludf.DUMMYFUNCTION("""COMPUTED_VALUE"""),763.0)</f>
        <v>763</v>
      </c>
      <c r="AH126" s="258">
        <f>IFERROR(__xludf.DUMMYFUNCTION("""COMPUTED_VALUE"""),4834.0)</f>
        <v>4834</v>
      </c>
    </row>
    <row r="127">
      <c r="A127" s="328">
        <f>IFERROR(__xludf.DUMMYFUNCTION("""COMPUTED_VALUE"""),44207.0)</f>
        <v>44207</v>
      </c>
      <c r="B127" s="329">
        <f>IFERROR(__xludf.DUMMYFUNCTION("""COMPUTED_VALUE"""),1016.0)</f>
        <v>1016</v>
      </c>
      <c r="C127" s="329">
        <f>IFERROR(__xludf.DUMMYFUNCTION("""COMPUTED_VALUE"""),1014.0)</f>
        <v>1014</v>
      </c>
      <c r="D127" s="329">
        <f>IFERROR(__xludf.DUMMYFUNCTION("""COMPUTED_VALUE"""),122039.0)</f>
        <v>122039</v>
      </c>
      <c r="E127" s="329">
        <f>IFERROR(__xludf.DUMMYFUNCTION("""COMPUTED_VALUE"""),13399.0)</f>
        <v>13399</v>
      </c>
      <c r="F127" s="258">
        <f>IFERROR(__xludf.DUMMYFUNCTION("""COMPUTED_VALUE"""),2064171.0)</f>
        <v>2064171</v>
      </c>
      <c r="G127" s="258">
        <f>IFERROR(__xludf.DUMMYFUNCTION("""COMPUTED_VALUE"""),14415.0)</f>
        <v>14415</v>
      </c>
      <c r="H127" s="258">
        <f>IFERROR(__xludf.DUMMYFUNCTION("""COMPUTED_VALUE"""),2186210.0)</f>
        <v>2186210</v>
      </c>
      <c r="I127" s="329">
        <f>IFERROR(__xludf.DUMMYFUNCTION("""COMPUTED_VALUE"""),896.0)</f>
        <v>896</v>
      </c>
      <c r="J127" s="329">
        <f>IFERROR(__xludf.DUMMYFUNCTION("""COMPUTED_VALUE"""),882.0)</f>
        <v>882</v>
      </c>
      <c r="K127" s="329">
        <f>IFERROR(__xludf.DUMMYFUNCTION("""COMPUTED_VALUE"""),102027.0)</f>
        <v>102027</v>
      </c>
      <c r="L127" s="329">
        <f>IFERROR(__xludf.DUMMYFUNCTION("""COMPUTED_VALUE"""),3355.0)</f>
        <v>3355</v>
      </c>
      <c r="M127" s="329">
        <f>IFERROR(__xludf.DUMMYFUNCTION("""COMPUTED_VALUE"""),561576.0)</f>
        <v>561576</v>
      </c>
      <c r="N127" s="329">
        <f>IFERROR(__xludf.DUMMYFUNCTION("""COMPUTED_VALUE"""),663603.0)</f>
        <v>663603</v>
      </c>
      <c r="O127" s="329">
        <f>IFERROR(__xludf.DUMMYFUNCTION("""COMPUTED_VALUE"""),64.0)</f>
        <v>64</v>
      </c>
      <c r="P127" s="329">
        <f>IFERROR(__xludf.DUMMYFUNCTION("""COMPUTED_VALUE"""),7224.0)</f>
        <v>7224</v>
      </c>
      <c r="Q127" s="329">
        <f>IFERROR(__xludf.DUMMYFUNCTION("""COMPUTED_VALUE"""),50.0)</f>
        <v>50</v>
      </c>
      <c r="R127" s="329">
        <f>IFERROR(__xludf.DUMMYFUNCTION("""COMPUTED_VALUE"""),5962.0)</f>
        <v>5962</v>
      </c>
      <c r="S127" s="329">
        <f>IFERROR(__xludf.DUMMYFUNCTION("""COMPUTED_VALUE"""),9.0)</f>
        <v>9</v>
      </c>
      <c r="T127" s="329">
        <f>IFERROR(__xludf.DUMMYFUNCTION("""COMPUTED_VALUE"""),812.0)</f>
        <v>812</v>
      </c>
      <c r="U127" s="329">
        <f>IFERROR(__xludf.DUMMYFUNCTION("""COMPUTED_VALUE"""),450.0)</f>
        <v>450</v>
      </c>
      <c r="V127" s="329">
        <f>IFERROR(__xludf.DUMMYFUNCTION("""COMPUTED_VALUE"""),447.0)</f>
        <v>447</v>
      </c>
      <c r="W127" s="329">
        <f>IFERROR(__xludf.DUMMYFUNCTION("""COMPUTED_VALUE"""),54.0)</f>
        <v>54</v>
      </c>
      <c r="X127" s="329">
        <f>IFERROR(__xludf.DUMMYFUNCTION("""COMPUTED_VALUE"""),36.0)</f>
        <v>36</v>
      </c>
      <c r="Y127" s="329">
        <f>IFERROR(__xludf.DUMMYFUNCTION("""COMPUTED_VALUE"""),22.0)</f>
        <v>22</v>
      </c>
      <c r="Z127" s="329">
        <f>IFERROR(__xludf.DUMMYFUNCTION("""COMPUTED_VALUE"""),2103.0)</f>
        <v>2103</v>
      </c>
      <c r="AA127" s="258">
        <f>IFERROR(__xludf.DUMMYFUNCTION("""COMPUTED_VALUE"""),1315.0)</f>
        <v>1315</v>
      </c>
      <c r="AB127" s="258">
        <f>IFERROR(__xludf.DUMMYFUNCTION("""COMPUTED_VALUE"""),1514.0)</f>
        <v>1514</v>
      </c>
      <c r="AC127" s="258">
        <f>IFERROR(__xludf.DUMMYFUNCTION("""COMPUTED_VALUE"""),2829.0)</f>
        <v>2829</v>
      </c>
      <c r="AD127" s="258">
        <f>IFERROR(__xludf.DUMMYFUNCTION("""COMPUTED_VALUE"""),45987.0)</f>
        <v>45987</v>
      </c>
      <c r="AE127" s="258">
        <f>IFERROR(__xludf.DUMMYFUNCTION("""COMPUTED_VALUE"""),1315.0)</f>
        <v>1315</v>
      </c>
      <c r="AF127" s="258">
        <f>IFERROR(__xludf.DUMMYFUNCTION("""COMPUTED_VALUE"""),39640.0)</f>
        <v>39640</v>
      </c>
      <c r="AG127" s="258">
        <f>IFERROR(__xludf.DUMMYFUNCTION("""COMPUTED_VALUE"""),1514.0)</f>
        <v>1514</v>
      </c>
      <c r="AH127" s="258">
        <f>IFERROR(__xludf.DUMMYFUNCTION("""COMPUTED_VALUE"""),6348.0)</f>
        <v>6348</v>
      </c>
    </row>
    <row r="128">
      <c r="A128" s="328">
        <f>IFERROR(__xludf.DUMMYFUNCTION("""COMPUTED_VALUE"""),44208.0)</f>
        <v>44208</v>
      </c>
      <c r="B128" s="329">
        <f>IFERROR(__xludf.DUMMYFUNCTION("""COMPUTED_VALUE"""),1116.0)</f>
        <v>1116</v>
      </c>
      <c r="C128" s="329">
        <f>IFERROR(__xludf.DUMMYFUNCTION("""COMPUTED_VALUE"""),957.0)</f>
        <v>957</v>
      </c>
      <c r="D128" s="329">
        <f>IFERROR(__xludf.DUMMYFUNCTION("""COMPUTED_VALUE"""),123155.0)</f>
        <v>123155</v>
      </c>
      <c r="E128" s="329">
        <f>IFERROR(__xludf.DUMMYFUNCTION("""COMPUTED_VALUE"""),18313.0)</f>
        <v>18313</v>
      </c>
      <c r="F128" s="258">
        <f>IFERROR(__xludf.DUMMYFUNCTION("""COMPUTED_VALUE"""),2082484.0)</f>
        <v>2082484</v>
      </c>
      <c r="G128" s="258">
        <f>IFERROR(__xludf.DUMMYFUNCTION("""COMPUTED_VALUE"""),19429.0)</f>
        <v>19429</v>
      </c>
      <c r="H128" s="258">
        <f>IFERROR(__xludf.DUMMYFUNCTION("""COMPUTED_VALUE"""),2205639.0)</f>
        <v>2205639</v>
      </c>
      <c r="I128" s="329">
        <f>IFERROR(__xludf.DUMMYFUNCTION("""COMPUTED_VALUE"""),952.0)</f>
        <v>952</v>
      </c>
      <c r="J128" s="329">
        <f>IFERROR(__xludf.DUMMYFUNCTION("""COMPUTED_VALUE"""),838.0)</f>
        <v>838</v>
      </c>
      <c r="K128" s="329">
        <f>IFERROR(__xludf.DUMMYFUNCTION("""COMPUTED_VALUE"""),102979.0)</f>
        <v>102979</v>
      </c>
      <c r="L128" s="329">
        <f>IFERROR(__xludf.DUMMYFUNCTION("""COMPUTED_VALUE"""),3686.0)</f>
        <v>3686</v>
      </c>
      <c r="M128" s="329">
        <f>IFERROR(__xludf.DUMMYFUNCTION("""COMPUTED_VALUE"""),565262.0)</f>
        <v>565262</v>
      </c>
      <c r="N128" s="329">
        <f>IFERROR(__xludf.DUMMYFUNCTION("""COMPUTED_VALUE"""),668241.0)</f>
        <v>668241</v>
      </c>
      <c r="O128" s="329">
        <f>IFERROR(__xludf.DUMMYFUNCTION("""COMPUTED_VALUE"""),61.0)</f>
        <v>61</v>
      </c>
      <c r="P128" s="329">
        <f>IFERROR(__xludf.DUMMYFUNCTION("""COMPUTED_VALUE"""),7285.0)</f>
        <v>7285</v>
      </c>
      <c r="Q128" s="329">
        <f>IFERROR(__xludf.DUMMYFUNCTION("""COMPUTED_VALUE"""),76.0)</f>
        <v>76</v>
      </c>
      <c r="R128" s="329">
        <f>IFERROR(__xludf.DUMMYFUNCTION("""COMPUTED_VALUE"""),6038.0)</f>
        <v>6038</v>
      </c>
      <c r="S128" s="329">
        <f>IFERROR(__xludf.DUMMYFUNCTION("""COMPUTED_VALUE"""),8.0)</f>
        <v>8</v>
      </c>
      <c r="T128" s="329">
        <f>IFERROR(__xludf.DUMMYFUNCTION("""COMPUTED_VALUE"""),820.0)</f>
        <v>820</v>
      </c>
      <c r="U128" s="329">
        <f>IFERROR(__xludf.DUMMYFUNCTION("""COMPUTED_VALUE"""),427.0)</f>
        <v>427</v>
      </c>
      <c r="V128" s="329">
        <f>IFERROR(__xludf.DUMMYFUNCTION("""COMPUTED_VALUE"""),441.0)</f>
        <v>441</v>
      </c>
      <c r="W128" s="329">
        <f>IFERROR(__xludf.DUMMYFUNCTION("""COMPUTED_VALUE"""),56.0)</f>
        <v>56</v>
      </c>
      <c r="X128" s="329">
        <f>IFERROR(__xludf.DUMMYFUNCTION("""COMPUTED_VALUE"""),37.0)</f>
        <v>37</v>
      </c>
      <c r="Y128" s="329">
        <f>IFERROR(__xludf.DUMMYFUNCTION("""COMPUTED_VALUE"""),15.0)</f>
        <v>15</v>
      </c>
      <c r="Z128" s="329">
        <f>IFERROR(__xludf.DUMMYFUNCTION("""COMPUTED_VALUE"""),2118.0)</f>
        <v>2118</v>
      </c>
      <c r="AA128" s="258">
        <f>IFERROR(__xludf.DUMMYFUNCTION("""COMPUTED_VALUE"""),1909.0)</f>
        <v>1909</v>
      </c>
      <c r="AB128" s="258">
        <f>IFERROR(__xludf.DUMMYFUNCTION("""COMPUTED_VALUE"""),1290.0)</f>
        <v>1290</v>
      </c>
      <c r="AC128" s="258">
        <f>IFERROR(__xludf.DUMMYFUNCTION("""COMPUTED_VALUE"""),3199.0)</f>
        <v>3199</v>
      </c>
      <c r="AD128" s="258">
        <f>IFERROR(__xludf.DUMMYFUNCTION("""COMPUTED_VALUE"""),49186.0)</f>
        <v>49186</v>
      </c>
      <c r="AE128" s="258">
        <f>IFERROR(__xludf.DUMMYFUNCTION("""COMPUTED_VALUE"""),1909.0)</f>
        <v>1909</v>
      </c>
      <c r="AF128" s="258">
        <f>IFERROR(__xludf.DUMMYFUNCTION("""COMPUTED_VALUE"""),41549.0)</f>
        <v>41549</v>
      </c>
      <c r="AG128" s="258">
        <f>IFERROR(__xludf.DUMMYFUNCTION("""COMPUTED_VALUE"""),1290.0)</f>
        <v>1290</v>
      </c>
      <c r="AH128" s="258">
        <f>IFERROR(__xludf.DUMMYFUNCTION("""COMPUTED_VALUE"""),7638.0)</f>
        <v>7638</v>
      </c>
    </row>
    <row r="129">
      <c r="A129" s="328">
        <f>IFERROR(__xludf.DUMMYFUNCTION("""COMPUTED_VALUE"""),44209.0)</f>
        <v>44209</v>
      </c>
      <c r="B129" s="329">
        <f>IFERROR(__xludf.DUMMYFUNCTION("""COMPUTED_VALUE"""),1034.0)</f>
        <v>1034</v>
      </c>
      <c r="C129" s="329">
        <f>IFERROR(__xludf.DUMMYFUNCTION("""COMPUTED_VALUE"""),1055.0)</f>
        <v>1055</v>
      </c>
      <c r="D129" s="329">
        <f>IFERROR(__xludf.DUMMYFUNCTION("""COMPUTED_VALUE"""),124189.0)</f>
        <v>124189</v>
      </c>
      <c r="E129" s="329">
        <f>IFERROR(__xludf.DUMMYFUNCTION("""COMPUTED_VALUE"""),19973.0)</f>
        <v>19973</v>
      </c>
      <c r="F129" s="258">
        <f>IFERROR(__xludf.DUMMYFUNCTION("""COMPUTED_VALUE"""),2102457.0)</f>
        <v>2102457</v>
      </c>
      <c r="G129" s="258">
        <f>IFERROR(__xludf.DUMMYFUNCTION("""COMPUTED_VALUE"""),21007.0)</f>
        <v>21007</v>
      </c>
      <c r="H129" s="258">
        <f>IFERROR(__xludf.DUMMYFUNCTION("""COMPUTED_VALUE"""),2226646.0)</f>
        <v>2226646</v>
      </c>
      <c r="I129" s="329">
        <f>IFERROR(__xludf.DUMMYFUNCTION("""COMPUTED_VALUE"""),886.0)</f>
        <v>886</v>
      </c>
      <c r="J129" s="329">
        <f>IFERROR(__xludf.DUMMYFUNCTION("""COMPUTED_VALUE"""),911.0)</f>
        <v>911</v>
      </c>
      <c r="K129" s="329">
        <f>IFERROR(__xludf.DUMMYFUNCTION("""COMPUTED_VALUE"""),103865.0)</f>
        <v>103865</v>
      </c>
      <c r="L129" s="329">
        <f>IFERROR(__xludf.DUMMYFUNCTION("""COMPUTED_VALUE"""),3890.0)</f>
        <v>3890</v>
      </c>
      <c r="M129" s="329">
        <f>IFERROR(__xludf.DUMMYFUNCTION("""COMPUTED_VALUE"""),569152.0)</f>
        <v>569152</v>
      </c>
      <c r="N129" s="329">
        <f>IFERROR(__xludf.DUMMYFUNCTION("""COMPUTED_VALUE"""),673017.0)</f>
        <v>673017</v>
      </c>
      <c r="O129" s="329">
        <f>IFERROR(__xludf.DUMMYFUNCTION("""COMPUTED_VALUE"""),67.0)</f>
        <v>67</v>
      </c>
      <c r="P129" s="329">
        <f>IFERROR(__xludf.DUMMYFUNCTION("""COMPUTED_VALUE"""),7352.0)</f>
        <v>7352</v>
      </c>
      <c r="Q129" s="329">
        <f>IFERROR(__xludf.DUMMYFUNCTION("""COMPUTED_VALUE"""),57.0)</f>
        <v>57</v>
      </c>
      <c r="R129" s="329">
        <f>IFERROR(__xludf.DUMMYFUNCTION("""COMPUTED_VALUE"""),6095.0)</f>
        <v>6095</v>
      </c>
      <c r="S129" s="329">
        <f>IFERROR(__xludf.DUMMYFUNCTION("""COMPUTED_VALUE"""),5.0)</f>
        <v>5</v>
      </c>
      <c r="T129" s="329">
        <f>IFERROR(__xludf.DUMMYFUNCTION("""COMPUTED_VALUE"""),825.0)</f>
        <v>825</v>
      </c>
      <c r="U129" s="329">
        <f>IFERROR(__xludf.DUMMYFUNCTION("""COMPUTED_VALUE"""),432.0)</f>
        <v>432</v>
      </c>
      <c r="V129" s="329">
        <f>IFERROR(__xludf.DUMMYFUNCTION("""COMPUTED_VALUE"""),436.0)</f>
        <v>436</v>
      </c>
      <c r="W129" s="329">
        <f>IFERROR(__xludf.DUMMYFUNCTION("""COMPUTED_VALUE"""),56.0)</f>
        <v>56</v>
      </c>
      <c r="X129" s="329">
        <f>IFERROR(__xludf.DUMMYFUNCTION("""COMPUTED_VALUE"""),37.0)</f>
        <v>37</v>
      </c>
      <c r="Y129" s="329">
        <f>IFERROR(__xludf.DUMMYFUNCTION("""COMPUTED_VALUE"""),11.0)</f>
        <v>11</v>
      </c>
      <c r="Z129" s="329">
        <f>IFERROR(__xludf.DUMMYFUNCTION("""COMPUTED_VALUE"""),2129.0)</f>
        <v>2129</v>
      </c>
      <c r="AA129" s="258">
        <f>IFERROR(__xludf.DUMMYFUNCTION("""COMPUTED_VALUE"""),1308.0)</f>
        <v>1308</v>
      </c>
      <c r="AB129" s="258">
        <f>IFERROR(__xludf.DUMMYFUNCTION("""COMPUTED_VALUE"""),1218.0)</f>
        <v>1218</v>
      </c>
      <c r="AC129" s="258">
        <f>IFERROR(__xludf.DUMMYFUNCTION("""COMPUTED_VALUE"""),2526.0)</f>
        <v>2526</v>
      </c>
      <c r="AD129" s="258">
        <f>IFERROR(__xludf.DUMMYFUNCTION("""COMPUTED_VALUE"""),51712.0)</f>
        <v>51712</v>
      </c>
      <c r="AE129" s="258">
        <f>IFERROR(__xludf.DUMMYFUNCTION("""COMPUTED_VALUE"""),1308.0)</f>
        <v>1308</v>
      </c>
      <c r="AF129" s="258">
        <f>IFERROR(__xludf.DUMMYFUNCTION("""COMPUTED_VALUE"""),42857.0)</f>
        <v>42857</v>
      </c>
      <c r="AG129" s="258">
        <f>IFERROR(__xludf.DUMMYFUNCTION("""COMPUTED_VALUE"""),1218.0)</f>
        <v>1218</v>
      </c>
      <c r="AH129" s="258">
        <f>IFERROR(__xludf.DUMMYFUNCTION("""COMPUTED_VALUE"""),8856.0)</f>
        <v>8856</v>
      </c>
    </row>
    <row r="130">
      <c r="A130" s="328">
        <f>IFERROR(__xludf.DUMMYFUNCTION("""COMPUTED_VALUE"""),44210.0)</f>
        <v>44210</v>
      </c>
      <c r="B130" s="329">
        <f>IFERROR(__xludf.DUMMYFUNCTION("""COMPUTED_VALUE"""),1145.0)</f>
        <v>1145</v>
      </c>
      <c r="C130" s="329">
        <f>IFERROR(__xludf.DUMMYFUNCTION("""COMPUTED_VALUE"""),1098.0)</f>
        <v>1098</v>
      </c>
      <c r="D130" s="329">
        <f>IFERROR(__xludf.DUMMYFUNCTION("""COMPUTED_VALUE"""),125334.0)</f>
        <v>125334</v>
      </c>
      <c r="E130" s="329">
        <f>IFERROR(__xludf.DUMMYFUNCTION("""COMPUTED_VALUE"""),20572.0)</f>
        <v>20572</v>
      </c>
      <c r="F130" s="258">
        <f>IFERROR(__xludf.DUMMYFUNCTION("""COMPUTED_VALUE"""),2123029.0)</f>
        <v>2123029</v>
      </c>
      <c r="G130" s="258">
        <f>IFERROR(__xludf.DUMMYFUNCTION("""COMPUTED_VALUE"""),21717.0)</f>
        <v>21717</v>
      </c>
      <c r="H130" s="258">
        <f>IFERROR(__xludf.DUMMYFUNCTION("""COMPUTED_VALUE"""),2248363.0)</f>
        <v>2248363</v>
      </c>
      <c r="I130" s="329">
        <f>IFERROR(__xludf.DUMMYFUNCTION("""COMPUTED_VALUE"""),998.0)</f>
        <v>998</v>
      </c>
      <c r="J130" s="329">
        <f>IFERROR(__xludf.DUMMYFUNCTION("""COMPUTED_VALUE"""),945.0)</f>
        <v>945</v>
      </c>
      <c r="K130" s="329">
        <f>IFERROR(__xludf.DUMMYFUNCTION("""COMPUTED_VALUE"""),104863.0)</f>
        <v>104863</v>
      </c>
      <c r="L130" s="329">
        <f>IFERROR(__xludf.DUMMYFUNCTION("""COMPUTED_VALUE"""),3955.0)</f>
        <v>3955</v>
      </c>
      <c r="M130" s="329">
        <f>IFERROR(__xludf.DUMMYFUNCTION("""COMPUTED_VALUE"""),573107.0)</f>
        <v>573107</v>
      </c>
      <c r="N130" s="329">
        <f>IFERROR(__xludf.DUMMYFUNCTION("""COMPUTED_VALUE"""),677970.0)</f>
        <v>677970</v>
      </c>
      <c r="O130" s="329">
        <f>IFERROR(__xludf.DUMMYFUNCTION("""COMPUTED_VALUE"""),64.0)</f>
        <v>64</v>
      </c>
      <c r="P130" s="329">
        <f>IFERROR(__xludf.DUMMYFUNCTION("""COMPUTED_VALUE"""),7416.0)</f>
        <v>7416</v>
      </c>
      <c r="Q130" s="329">
        <f>IFERROR(__xludf.DUMMYFUNCTION("""COMPUTED_VALUE"""),60.0)</f>
        <v>60</v>
      </c>
      <c r="R130" s="329">
        <f>IFERROR(__xludf.DUMMYFUNCTION("""COMPUTED_VALUE"""),6155.0)</f>
        <v>6155</v>
      </c>
      <c r="S130" s="329">
        <f>IFERROR(__xludf.DUMMYFUNCTION("""COMPUTED_VALUE"""),5.0)</f>
        <v>5</v>
      </c>
      <c r="T130" s="329">
        <f>IFERROR(__xludf.DUMMYFUNCTION("""COMPUTED_VALUE"""),830.0)</f>
        <v>830</v>
      </c>
      <c r="U130" s="329">
        <f>IFERROR(__xludf.DUMMYFUNCTION("""COMPUTED_VALUE"""),431.0)</f>
        <v>431</v>
      </c>
      <c r="V130" s="329">
        <f>IFERROR(__xludf.DUMMYFUNCTION("""COMPUTED_VALUE"""),430.0)</f>
        <v>430</v>
      </c>
      <c r="W130" s="329">
        <f>IFERROR(__xludf.DUMMYFUNCTION("""COMPUTED_VALUE"""),58.0)</f>
        <v>58</v>
      </c>
      <c r="X130" s="329">
        <f>IFERROR(__xludf.DUMMYFUNCTION("""COMPUTED_VALUE"""),40.0)</f>
        <v>40</v>
      </c>
      <c r="Y130" s="329">
        <f>IFERROR(__xludf.DUMMYFUNCTION("""COMPUTED_VALUE"""),10.0)</f>
        <v>10</v>
      </c>
      <c r="Z130" s="329">
        <f>IFERROR(__xludf.DUMMYFUNCTION("""COMPUTED_VALUE"""),2139.0)</f>
        <v>2139</v>
      </c>
      <c r="AA130" s="258">
        <f>IFERROR(__xludf.DUMMYFUNCTION("""COMPUTED_VALUE"""),2338.0)</f>
        <v>2338</v>
      </c>
      <c r="AB130" s="258">
        <f>IFERROR(__xludf.DUMMYFUNCTION("""COMPUTED_VALUE"""),596.0)</f>
        <v>596</v>
      </c>
      <c r="AC130" s="258">
        <f>IFERROR(__xludf.DUMMYFUNCTION("""COMPUTED_VALUE"""),2934.0)</f>
        <v>2934</v>
      </c>
      <c r="AD130" s="258">
        <f>IFERROR(__xludf.DUMMYFUNCTION("""COMPUTED_VALUE"""),54646.0)</f>
        <v>54646</v>
      </c>
      <c r="AE130" s="258">
        <f>IFERROR(__xludf.DUMMYFUNCTION("""COMPUTED_VALUE"""),2338.0)</f>
        <v>2338</v>
      </c>
      <c r="AF130" s="258">
        <f>IFERROR(__xludf.DUMMYFUNCTION("""COMPUTED_VALUE"""),45195.0)</f>
        <v>45195</v>
      </c>
      <c r="AG130" s="258">
        <f>IFERROR(__xludf.DUMMYFUNCTION("""COMPUTED_VALUE"""),596.0)</f>
        <v>596</v>
      </c>
      <c r="AH130" s="258">
        <f>IFERROR(__xludf.DUMMYFUNCTION("""COMPUTED_VALUE"""),9452.0)</f>
        <v>9452</v>
      </c>
    </row>
    <row r="131">
      <c r="A131" s="328">
        <f>IFERROR(__xludf.DUMMYFUNCTION("""COMPUTED_VALUE"""),44211.0)</f>
        <v>44211</v>
      </c>
      <c r="B131" s="329">
        <f>IFERROR(__xludf.DUMMYFUNCTION("""COMPUTED_VALUE"""),1101.0)</f>
        <v>1101</v>
      </c>
      <c r="C131" s="329">
        <f>IFERROR(__xludf.DUMMYFUNCTION("""COMPUTED_VALUE"""),1093.0)</f>
        <v>1093</v>
      </c>
      <c r="D131" s="329">
        <f>IFERROR(__xludf.DUMMYFUNCTION("""COMPUTED_VALUE"""),126435.0)</f>
        <v>126435</v>
      </c>
      <c r="E131" s="329">
        <f>IFERROR(__xludf.DUMMYFUNCTION("""COMPUTED_VALUE"""),17565.0)</f>
        <v>17565</v>
      </c>
      <c r="F131" s="258">
        <f>IFERROR(__xludf.DUMMYFUNCTION("""COMPUTED_VALUE"""),2140594.0)</f>
        <v>2140594</v>
      </c>
      <c r="G131" s="258">
        <f>IFERROR(__xludf.DUMMYFUNCTION("""COMPUTED_VALUE"""),18666.0)</f>
        <v>18666</v>
      </c>
      <c r="H131" s="258">
        <f>IFERROR(__xludf.DUMMYFUNCTION("""COMPUTED_VALUE"""),2267029.0)</f>
        <v>2267029</v>
      </c>
      <c r="I131" s="329">
        <f>IFERROR(__xludf.DUMMYFUNCTION("""COMPUTED_VALUE"""),954.0)</f>
        <v>954</v>
      </c>
      <c r="J131" s="329">
        <f>IFERROR(__xludf.DUMMYFUNCTION("""COMPUTED_VALUE"""),946.0)</f>
        <v>946</v>
      </c>
      <c r="K131" s="329">
        <f>IFERROR(__xludf.DUMMYFUNCTION("""COMPUTED_VALUE"""),105817.0)</f>
        <v>105817</v>
      </c>
      <c r="L131" s="329">
        <f>IFERROR(__xludf.DUMMYFUNCTION("""COMPUTED_VALUE"""),3268.0)</f>
        <v>3268</v>
      </c>
      <c r="M131" s="329">
        <f>IFERROR(__xludf.DUMMYFUNCTION("""COMPUTED_VALUE"""),576375.0)</f>
        <v>576375</v>
      </c>
      <c r="N131" s="329">
        <f>IFERROR(__xludf.DUMMYFUNCTION("""COMPUTED_VALUE"""),682192.0)</f>
        <v>682192</v>
      </c>
      <c r="O131" s="329">
        <f>IFERROR(__xludf.DUMMYFUNCTION("""COMPUTED_VALUE"""),61.0)</f>
        <v>61</v>
      </c>
      <c r="P131" s="329">
        <f>IFERROR(__xludf.DUMMYFUNCTION("""COMPUTED_VALUE"""),7477.0)</f>
        <v>7477</v>
      </c>
      <c r="Q131" s="329">
        <f>IFERROR(__xludf.DUMMYFUNCTION("""COMPUTED_VALUE"""),74.0)</f>
        <v>74</v>
      </c>
      <c r="R131" s="329">
        <f>IFERROR(__xludf.DUMMYFUNCTION("""COMPUTED_VALUE"""),6229.0)</f>
        <v>6229</v>
      </c>
      <c r="S131" s="329">
        <f>IFERROR(__xludf.DUMMYFUNCTION("""COMPUTED_VALUE"""),8.0)</f>
        <v>8</v>
      </c>
      <c r="T131" s="329">
        <f>IFERROR(__xludf.DUMMYFUNCTION("""COMPUTED_VALUE"""),838.0)</f>
        <v>838</v>
      </c>
      <c r="U131" s="329">
        <f>IFERROR(__xludf.DUMMYFUNCTION("""COMPUTED_VALUE"""),410.0)</f>
        <v>410</v>
      </c>
      <c r="V131" s="329">
        <f>IFERROR(__xludf.DUMMYFUNCTION("""COMPUTED_VALUE"""),424.0)</f>
        <v>424</v>
      </c>
      <c r="W131" s="329">
        <f>IFERROR(__xludf.DUMMYFUNCTION("""COMPUTED_VALUE"""),57.0)</f>
        <v>57</v>
      </c>
      <c r="X131" s="329">
        <f>IFERROR(__xludf.DUMMYFUNCTION("""COMPUTED_VALUE"""),38.0)</f>
        <v>38</v>
      </c>
      <c r="Y131" s="329">
        <f>IFERROR(__xludf.DUMMYFUNCTION("""COMPUTED_VALUE"""),16.0)</f>
        <v>16</v>
      </c>
      <c r="Z131" s="329">
        <f>IFERROR(__xludf.DUMMYFUNCTION("""COMPUTED_VALUE"""),2155.0)</f>
        <v>2155</v>
      </c>
      <c r="AA131" s="258">
        <f>IFERROR(__xludf.DUMMYFUNCTION("""COMPUTED_VALUE"""),1610.0)</f>
        <v>1610</v>
      </c>
      <c r="AB131" s="258">
        <f>IFERROR(__xludf.DUMMYFUNCTION("""COMPUTED_VALUE"""),576.0)</f>
        <v>576</v>
      </c>
      <c r="AC131" s="258">
        <f>IFERROR(__xludf.DUMMYFUNCTION("""COMPUTED_VALUE"""),2186.0)</f>
        <v>2186</v>
      </c>
      <c r="AD131" s="258">
        <f>IFERROR(__xludf.DUMMYFUNCTION("""COMPUTED_VALUE"""),56832.0)</f>
        <v>56832</v>
      </c>
      <c r="AE131" s="258">
        <f>IFERROR(__xludf.DUMMYFUNCTION("""COMPUTED_VALUE"""),1610.0)</f>
        <v>1610</v>
      </c>
      <c r="AF131" s="258">
        <f>IFERROR(__xludf.DUMMYFUNCTION("""COMPUTED_VALUE"""),46805.0)</f>
        <v>46805</v>
      </c>
      <c r="AG131" s="258">
        <f>IFERROR(__xludf.DUMMYFUNCTION("""COMPUTED_VALUE"""),576.0)</f>
        <v>576</v>
      </c>
      <c r="AH131" s="258">
        <f>IFERROR(__xludf.DUMMYFUNCTION("""COMPUTED_VALUE"""),10028.0)</f>
        <v>10028</v>
      </c>
    </row>
    <row r="132">
      <c r="A132" s="328">
        <f>IFERROR(__xludf.DUMMYFUNCTION("""COMPUTED_VALUE"""),44212.0)</f>
        <v>44212</v>
      </c>
      <c r="B132" s="329">
        <f>IFERROR(__xludf.DUMMYFUNCTION("""COMPUTED_VALUE"""),920.0)</f>
        <v>920</v>
      </c>
      <c r="C132" s="329">
        <f>IFERROR(__xludf.DUMMYFUNCTION("""COMPUTED_VALUE"""),1055.0)</f>
        <v>1055</v>
      </c>
      <c r="D132" s="329">
        <f>IFERROR(__xludf.DUMMYFUNCTION("""COMPUTED_VALUE"""),127355.0)</f>
        <v>127355</v>
      </c>
      <c r="E132" s="329">
        <f>IFERROR(__xludf.DUMMYFUNCTION("""COMPUTED_VALUE"""),16699.0)</f>
        <v>16699</v>
      </c>
      <c r="F132" s="258">
        <f>IFERROR(__xludf.DUMMYFUNCTION("""COMPUTED_VALUE"""),2157293.0)</f>
        <v>2157293</v>
      </c>
      <c r="G132" s="258">
        <f>IFERROR(__xludf.DUMMYFUNCTION("""COMPUTED_VALUE"""),17619.0)</f>
        <v>17619</v>
      </c>
      <c r="H132" s="258">
        <f>IFERROR(__xludf.DUMMYFUNCTION("""COMPUTED_VALUE"""),2284648.0)</f>
        <v>2284648</v>
      </c>
      <c r="I132" s="329">
        <f>IFERROR(__xludf.DUMMYFUNCTION("""COMPUTED_VALUE"""),771.0)</f>
        <v>771</v>
      </c>
      <c r="J132" s="329">
        <f>IFERROR(__xludf.DUMMYFUNCTION("""COMPUTED_VALUE"""),908.0)</f>
        <v>908</v>
      </c>
      <c r="K132" s="329">
        <f>IFERROR(__xludf.DUMMYFUNCTION("""COMPUTED_VALUE"""),106588.0)</f>
        <v>106588</v>
      </c>
      <c r="L132" s="329">
        <f>IFERROR(__xludf.DUMMYFUNCTION("""COMPUTED_VALUE"""),2830.0)</f>
        <v>2830</v>
      </c>
      <c r="M132" s="329">
        <f>IFERROR(__xludf.DUMMYFUNCTION("""COMPUTED_VALUE"""),579205.0)</f>
        <v>579205</v>
      </c>
      <c r="N132" s="329">
        <f>IFERROR(__xludf.DUMMYFUNCTION("""COMPUTED_VALUE"""),685793.0)</f>
        <v>685793</v>
      </c>
      <c r="O132" s="329">
        <f>IFERROR(__xludf.DUMMYFUNCTION("""COMPUTED_VALUE"""),56.0)</f>
        <v>56</v>
      </c>
      <c r="P132" s="329">
        <f>IFERROR(__xludf.DUMMYFUNCTION("""COMPUTED_VALUE"""),7533.0)</f>
        <v>7533</v>
      </c>
      <c r="Q132" s="329">
        <f>IFERROR(__xludf.DUMMYFUNCTION("""COMPUTED_VALUE"""),51.0)</f>
        <v>51</v>
      </c>
      <c r="R132" s="329">
        <f>IFERROR(__xludf.DUMMYFUNCTION("""COMPUTED_VALUE"""),6280.0)</f>
        <v>6280</v>
      </c>
      <c r="S132" s="329">
        <f>IFERROR(__xludf.DUMMYFUNCTION("""COMPUTED_VALUE"""),3.0)</f>
        <v>3</v>
      </c>
      <c r="T132" s="329">
        <f>IFERROR(__xludf.DUMMYFUNCTION("""COMPUTED_VALUE"""),841.0)</f>
        <v>841</v>
      </c>
      <c r="U132" s="329">
        <f>IFERROR(__xludf.DUMMYFUNCTION("""COMPUTED_VALUE"""),412.0)</f>
        <v>412</v>
      </c>
      <c r="V132" s="329">
        <f>IFERROR(__xludf.DUMMYFUNCTION("""COMPUTED_VALUE"""),418.0)</f>
        <v>418</v>
      </c>
      <c r="W132" s="329">
        <f>IFERROR(__xludf.DUMMYFUNCTION("""COMPUTED_VALUE"""),59.0)</f>
        <v>59</v>
      </c>
      <c r="X132" s="329">
        <f>IFERROR(__xludf.DUMMYFUNCTION("""COMPUTED_VALUE"""),43.0)</f>
        <v>43</v>
      </c>
      <c r="Y132" s="329">
        <f>IFERROR(__xludf.DUMMYFUNCTION("""COMPUTED_VALUE"""),15.0)</f>
        <v>15</v>
      </c>
      <c r="Z132" s="329">
        <f>IFERROR(__xludf.DUMMYFUNCTION("""COMPUTED_VALUE"""),2170.0)</f>
        <v>2170</v>
      </c>
      <c r="AA132" s="258">
        <f>IFERROR(__xludf.DUMMYFUNCTION("""COMPUTED_VALUE"""),2260.0)</f>
        <v>2260</v>
      </c>
      <c r="AB132" s="258">
        <f>IFERROR(__xludf.DUMMYFUNCTION("""COMPUTED_VALUE"""),594.0)</f>
        <v>594</v>
      </c>
      <c r="AC132" s="258">
        <f>IFERROR(__xludf.DUMMYFUNCTION("""COMPUTED_VALUE"""),2854.0)</f>
        <v>2854</v>
      </c>
      <c r="AD132" s="258">
        <f>IFERROR(__xludf.DUMMYFUNCTION("""COMPUTED_VALUE"""),59686.0)</f>
        <v>59686</v>
      </c>
      <c r="AE132" s="258">
        <f>IFERROR(__xludf.DUMMYFUNCTION("""COMPUTED_VALUE"""),2260.0)</f>
        <v>2260</v>
      </c>
      <c r="AF132" s="258">
        <f>IFERROR(__xludf.DUMMYFUNCTION("""COMPUTED_VALUE"""),49065.0)</f>
        <v>49065</v>
      </c>
      <c r="AG132" s="258">
        <f>IFERROR(__xludf.DUMMYFUNCTION("""COMPUTED_VALUE"""),594.0)</f>
        <v>594</v>
      </c>
      <c r="AH132" s="258">
        <f>IFERROR(__xludf.DUMMYFUNCTION("""COMPUTED_VALUE"""),10622.0)</f>
        <v>10622</v>
      </c>
    </row>
    <row r="133">
      <c r="A133" s="328">
        <f>IFERROR(__xludf.DUMMYFUNCTION("""COMPUTED_VALUE"""),44213.0)</f>
        <v>44213</v>
      </c>
      <c r="B133" s="329">
        <f>IFERROR(__xludf.DUMMYFUNCTION("""COMPUTED_VALUE"""),626.0)</f>
        <v>626</v>
      </c>
      <c r="C133" s="329">
        <f>IFERROR(__xludf.DUMMYFUNCTION("""COMPUTED_VALUE"""),882.0)</f>
        <v>882</v>
      </c>
      <c r="D133" s="329">
        <f>IFERROR(__xludf.DUMMYFUNCTION("""COMPUTED_VALUE"""),127981.0)</f>
        <v>127981</v>
      </c>
      <c r="E133" s="329">
        <f>IFERROR(__xludf.DUMMYFUNCTION("""COMPUTED_VALUE"""),10063.0)</f>
        <v>10063</v>
      </c>
      <c r="F133" s="258">
        <f>IFERROR(__xludf.DUMMYFUNCTION("""COMPUTED_VALUE"""),2167356.0)</f>
        <v>2167356</v>
      </c>
      <c r="G133" s="258">
        <f>IFERROR(__xludf.DUMMYFUNCTION("""COMPUTED_VALUE"""),10689.0)</f>
        <v>10689</v>
      </c>
      <c r="H133" s="258">
        <f>IFERROR(__xludf.DUMMYFUNCTION("""COMPUTED_VALUE"""),2295337.0)</f>
        <v>2295337</v>
      </c>
      <c r="I133" s="329">
        <f>IFERROR(__xludf.DUMMYFUNCTION("""COMPUTED_VALUE"""),515.0)</f>
        <v>515</v>
      </c>
      <c r="J133" s="329">
        <f>IFERROR(__xludf.DUMMYFUNCTION("""COMPUTED_VALUE"""),747.0)</f>
        <v>747</v>
      </c>
      <c r="K133" s="329">
        <f>IFERROR(__xludf.DUMMYFUNCTION("""COMPUTED_VALUE"""),107103.0)</f>
        <v>107103</v>
      </c>
      <c r="L133" s="329">
        <f>IFERROR(__xludf.DUMMYFUNCTION("""COMPUTED_VALUE"""),1778.0)</f>
        <v>1778</v>
      </c>
      <c r="M133" s="329">
        <f>IFERROR(__xludf.DUMMYFUNCTION("""COMPUTED_VALUE"""),580983.0)</f>
        <v>580983</v>
      </c>
      <c r="N133" s="329">
        <f>IFERROR(__xludf.DUMMYFUNCTION("""COMPUTED_VALUE"""),688086.0)</f>
        <v>688086</v>
      </c>
      <c r="O133" s="329">
        <f>IFERROR(__xludf.DUMMYFUNCTION("""COMPUTED_VALUE"""),47.0)</f>
        <v>47</v>
      </c>
      <c r="P133" s="329">
        <f>IFERROR(__xludf.DUMMYFUNCTION("""COMPUTED_VALUE"""),7580.0)</f>
        <v>7580</v>
      </c>
      <c r="Q133" s="329">
        <f>IFERROR(__xludf.DUMMYFUNCTION("""COMPUTED_VALUE"""),41.0)</f>
        <v>41</v>
      </c>
      <c r="R133" s="329">
        <f>IFERROR(__xludf.DUMMYFUNCTION("""COMPUTED_VALUE"""),6321.0)</f>
        <v>6321</v>
      </c>
      <c r="S133" s="329">
        <f>IFERROR(__xludf.DUMMYFUNCTION("""COMPUTED_VALUE"""),4.0)</f>
        <v>4</v>
      </c>
      <c r="T133" s="329">
        <f>IFERROR(__xludf.DUMMYFUNCTION("""COMPUTED_VALUE"""),845.0)</f>
        <v>845</v>
      </c>
      <c r="U133" s="329">
        <f>IFERROR(__xludf.DUMMYFUNCTION("""COMPUTED_VALUE"""),414.0)</f>
        <v>414</v>
      </c>
      <c r="V133" s="329">
        <f>IFERROR(__xludf.DUMMYFUNCTION("""COMPUTED_VALUE"""),412.0)</f>
        <v>412</v>
      </c>
      <c r="W133" s="329">
        <f>IFERROR(__xludf.DUMMYFUNCTION("""COMPUTED_VALUE"""),57.0)</f>
        <v>57</v>
      </c>
      <c r="X133" s="329">
        <f>IFERROR(__xludf.DUMMYFUNCTION("""COMPUTED_VALUE"""),42.0)</f>
        <v>42</v>
      </c>
      <c r="Y133" s="329">
        <f>IFERROR(__xludf.DUMMYFUNCTION("""COMPUTED_VALUE"""),8.0)</f>
        <v>8</v>
      </c>
      <c r="Z133" s="329">
        <f>IFERROR(__xludf.DUMMYFUNCTION("""COMPUTED_VALUE"""),2178.0)</f>
        <v>2178</v>
      </c>
      <c r="AA133" s="258">
        <f>IFERROR(__xludf.DUMMYFUNCTION("""COMPUTED_VALUE"""),336.0)</f>
        <v>336</v>
      </c>
      <c r="AB133" s="258">
        <f>IFERROR(__xludf.DUMMYFUNCTION("""COMPUTED_VALUE"""),208.0)</f>
        <v>208</v>
      </c>
      <c r="AC133" s="258">
        <f>IFERROR(__xludf.DUMMYFUNCTION("""COMPUTED_VALUE"""),544.0)</f>
        <v>544</v>
      </c>
      <c r="AD133" s="258">
        <f>IFERROR(__xludf.DUMMYFUNCTION("""COMPUTED_VALUE"""),60230.0)</f>
        <v>60230</v>
      </c>
      <c r="AE133" s="258">
        <f>IFERROR(__xludf.DUMMYFUNCTION("""COMPUTED_VALUE"""),336.0)</f>
        <v>336</v>
      </c>
      <c r="AF133" s="258">
        <f>IFERROR(__xludf.DUMMYFUNCTION("""COMPUTED_VALUE"""),49401.0)</f>
        <v>49401</v>
      </c>
      <c r="AG133" s="258">
        <f>IFERROR(__xludf.DUMMYFUNCTION("""COMPUTED_VALUE"""),208.0)</f>
        <v>208</v>
      </c>
      <c r="AH133" s="258">
        <f>IFERROR(__xludf.DUMMYFUNCTION("""COMPUTED_VALUE"""),10830.0)</f>
        <v>10830</v>
      </c>
    </row>
    <row r="134">
      <c r="A134" s="328">
        <f>IFERROR(__xludf.DUMMYFUNCTION("""COMPUTED_VALUE"""),44214.0)</f>
        <v>44214</v>
      </c>
      <c r="B134" s="329">
        <f>IFERROR(__xludf.DUMMYFUNCTION("""COMPUTED_VALUE"""),559.0)</f>
        <v>559</v>
      </c>
      <c r="C134" s="329">
        <f>IFERROR(__xludf.DUMMYFUNCTION("""COMPUTED_VALUE"""),702.0)</f>
        <v>702</v>
      </c>
      <c r="D134" s="329">
        <f>IFERROR(__xludf.DUMMYFUNCTION("""COMPUTED_VALUE"""),128540.0)</f>
        <v>128540</v>
      </c>
      <c r="E134" s="329">
        <f>IFERROR(__xludf.DUMMYFUNCTION("""COMPUTED_VALUE"""),8810.0)</f>
        <v>8810</v>
      </c>
      <c r="F134" s="258">
        <f>IFERROR(__xludf.DUMMYFUNCTION("""COMPUTED_VALUE"""),2176166.0)</f>
        <v>2176166</v>
      </c>
      <c r="G134" s="258">
        <f>IFERROR(__xludf.DUMMYFUNCTION("""COMPUTED_VALUE"""),9369.0)</f>
        <v>9369</v>
      </c>
      <c r="H134" s="258">
        <f>IFERROR(__xludf.DUMMYFUNCTION("""COMPUTED_VALUE"""),2304706.0)</f>
        <v>2304706</v>
      </c>
      <c r="I134" s="329">
        <f>IFERROR(__xludf.DUMMYFUNCTION("""COMPUTED_VALUE"""),470.0)</f>
        <v>470</v>
      </c>
      <c r="J134" s="329">
        <f>IFERROR(__xludf.DUMMYFUNCTION("""COMPUTED_VALUE"""),585.0)</f>
        <v>585</v>
      </c>
      <c r="K134" s="329">
        <f>IFERROR(__xludf.DUMMYFUNCTION("""COMPUTED_VALUE"""),107573.0)</f>
        <v>107573</v>
      </c>
      <c r="L134" s="329">
        <f>IFERROR(__xludf.DUMMYFUNCTION("""COMPUTED_VALUE"""),1380.0)</f>
        <v>1380</v>
      </c>
      <c r="M134" s="329">
        <f>IFERROR(__xludf.DUMMYFUNCTION("""COMPUTED_VALUE"""),582363.0)</f>
        <v>582363</v>
      </c>
      <c r="N134" s="329">
        <f>IFERROR(__xludf.DUMMYFUNCTION("""COMPUTED_VALUE"""),689936.0)</f>
        <v>689936</v>
      </c>
      <c r="O134" s="329">
        <f>IFERROR(__xludf.DUMMYFUNCTION("""COMPUTED_VALUE"""),60.0)</f>
        <v>60</v>
      </c>
      <c r="P134" s="329">
        <f>IFERROR(__xludf.DUMMYFUNCTION("""COMPUTED_VALUE"""),7640.0)</f>
        <v>7640</v>
      </c>
      <c r="Q134" s="329">
        <f>IFERROR(__xludf.DUMMYFUNCTION("""COMPUTED_VALUE"""),42.0)</f>
        <v>42</v>
      </c>
      <c r="R134" s="329">
        <f>IFERROR(__xludf.DUMMYFUNCTION("""COMPUTED_VALUE"""),6363.0)</f>
        <v>6363</v>
      </c>
      <c r="S134" s="329">
        <f>IFERROR(__xludf.DUMMYFUNCTION("""COMPUTED_VALUE"""),8.0)</f>
        <v>8</v>
      </c>
      <c r="T134" s="329">
        <f>IFERROR(__xludf.DUMMYFUNCTION("""COMPUTED_VALUE"""),853.0)</f>
        <v>853</v>
      </c>
      <c r="U134" s="329">
        <f>IFERROR(__xludf.DUMMYFUNCTION("""COMPUTED_VALUE"""),424.0)</f>
        <v>424</v>
      </c>
      <c r="V134" s="329">
        <f>IFERROR(__xludf.DUMMYFUNCTION("""COMPUTED_VALUE"""),417.0)</f>
        <v>417</v>
      </c>
      <c r="W134" s="329">
        <f>IFERROR(__xludf.DUMMYFUNCTION("""COMPUTED_VALUE"""),56.0)</f>
        <v>56</v>
      </c>
      <c r="X134" s="329">
        <f>IFERROR(__xludf.DUMMYFUNCTION("""COMPUTED_VALUE"""),40.0)</f>
        <v>40</v>
      </c>
      <c r="Y134" s="329">
        <f>IFERROR(__xludf.DUMMYFUNCTION("""COMPUTED_VALUE"""),19.0)</f>
        <v>19</v>
      </c>
      <c r="Z134" s="329">
        <f>IFERROR(__xludf.DUMMYFUNCTION("""COMPUTED_VALUE"""),2197.0)</f>
        <v>2197</v>
      </c>
      <c r="AA134" s="258">
        <f>IFERROR(__xludf.DUMMYFUNCTION("""COMPUTED_VALUE"""),1217.0)</f>
        <v>1217</v>
      </c>
      <c r="AB134" s="258">
        <f>IFERROR(__xludf.DUMMYFUNCTION("""COMPUTED_VALUE"""),1065.0)</f>
        <v>1065</v>
      </c>
      <c r="AC134" s="258">
        <f>IFERROR(__xludf.DUMMYFUNCTION("""COMPUTED_VALUE"""),2282.0)</f>
        <v>2282</v>
      </c>
      <c r="AD134" s="258">
        <f>IFERROR(__xludf.DUMMYFUNCTION("""COMPUTED_VALUE"""),62512.0)</f>
        <v>62512</v>
      </c>
      <c r="AE134" s="258">
        <f>IFERROR(__xludf.DUMMYFUNCTION("""COMPUTED_VALUE"""),1217.0)</f>
        <v>1217</v>
      </c>
      <c r="AF134" s="258">
        <f>IFERROR(__xludf.DUMMYFUNCTION("""COMPUTED_VALUE"""),50618.0)</f>
        <v>50618</v>
      </c>
      <c r="AG134" s="258">
        <f>IFERROR(__xludf.DUMMYFUNCTION("""COMPUTED_VALUE"""),1065.0)</f>
        <v>1065</v>
      </c>
      <c r="AH134" s="258">
        <f>IFERROR(__xludf.DUMMYFUNCTION("""COMPUTED_VALUE"""),11895.0)</f>
        <v>11895</v>
      </c>
    </row>
    <row r="135">
      <c r="A135" s="328">
        <f>IFERROR(__xludf.DUMMYFUNCTION("""COMPUTED_VALUE"""),44215.0)</f>
        <v>44215</v>
      </c>
      <c r="B135" s="329">
        <f>IFERROR(__xludf.DUMMYFUNCTION("""COMPUTED_VALUE"""),954.0)</f>
        <v>954</v>
      </c>
      <c r="C135" s="329">
        <f>IFERROR(__xludf.DUMMYFUNCTION("""COMPUTED_VALUE"""),713.0)</f>
        <v>713</v>
      </c>
      <c r="D135" s="329">
        <f>IFERROR(__xludf.DUMMYFUNCTION("""COMPUTED_VALUE"""),129494.0)</f>
        <v>129494</v>
      </c>
      <c r="E135" s="329">
        <f>IFERROR(__xludf.DUMMYFUNCTION("""COMPUTED_VALUE"""),18644.0)</f>
        <v>18644</v>
      </c>
      <c r="F135" s="258">
        <f>IFERROR(__xludf.DUMMYFUNCTION("""COMPUTED_VALUE"""),2194810.0)</f>
        <v>2194810</v>
      </c>
      <c r="G135" s="258">
        <f>IFERROR(__xludf.DUMMYFUNCTION("""COMPUTED_VALUE"""),19598.0)</f>
        <v>19598</v>
      </c>
      <c r="H135" s="258">
        <f>IFERROR(__xludf.DUMMYFUNCTION("""COMPUTED_VALUE"""),2324304.0)</f>
        <v>2324304</v>
      </c>
      <c r="I135" s="329">
        <f>IFERROR(__xludf.DUMMYFUNCTION("""COMPUTED_VALUE"""),853.0)</f>
        <v>853</v>
      </c>
      <c r="J135" s="329">
        <f>IFERROR(__xludf.DUMMYFUNCTION("""COMPUTED_VALUE"""),613.0)</f>
        <v>613</v>
      </c>
      <c r="K135" s="329">
        <f>IFERROR(__xludf.DUMMYFUNCTION("""COMPUTED_VALUE"""),108426.0)</f>
        <v>108426</v>
      </c>
      <c r="L135" s="329">
        <f>IFERROR(__xludf.DUMMYFUNCTION("""COMPUTED_VALUE"""),3137.0)</f>
        <v>3137</v>
      </c>
      <c r="M135" s="329">
        <f>IFERROR(__xludf.DUMMYFUNCTION("""COMPUTED_VALUE"""),585500.0)</f>
        <v>585500</v>
      </c>
      <c r="N135" s="329">
        <f>IFERROR(__xludf.DUMMYFUNCTION("""COMPUTED_VALUE"""),693926.0)</f>
        <v>693926</v>
      </c>
      <c r="O135" s="329">
        <f>IFERROR(__xludf.DUMMYFUNCTION("""COMPUTED_VALUE"""),68.0)</f>
        <v>68</v>
      </c>
      <c r="P135" s="329">
        <f>IFERROR(__xludf.DUMMYFUNCTION("""COMPUTED_VALUE"""),7708.0)</f>
        <v>7708</v>
      </c>
      <c r="Q135" s="329">
        <f>IFERROR(__xludf.DUMMYFUNCTION("""COMPUTED_VALUE"""),60.0)</f>
        <v>60</v>
      </c>
      <c r="R135" s="329">
        <f>IFERROR(__xludf.DUMMYFUNCTION("""COMPUTED_VALUE"""),6423.0)</f>
        <v>6423</v>
      </c>
      <c r="S135" s="329">
        <f>IFERROR(__xludf.DUMMYFUNCTION("""COMPUTED_VALUE"""),9.0)</f>
        <v>9</v>
      </c>
      <c r="T135" s="329">
        <f>IFERROR(__xludf.DUMMYFUNCTION("""COMPUTED_VALUE"""),862.0)</f>
        <v>862</v>
      </c>
      <c r="U135" s="329">
        <f>IFERROR(__xludf.DUMMYFUNCTION("""COMPUTED_VALUE"""),423.0)</f>
        <v>423</v>
      </c>
      <c r="V135" s="329">
        <f>IFERROR(__xludf.DUMMYFUNCTION("""COMPUTED_VALUE"""),420.0)</f>
        <v>420</v>
      </c>
      <c r="W135" s="329">
        <f>IFERROR(__xludf.DUMMYFUNCTION("""COMPUTED_VALUE"""),58.0)</f>
        <v>58</v>
      </c>
      <c r="X135" s="329">
        <f>IFERROR(__xludf.DUMMYFUNCTION("""COMPUTED_VALUE"""),40.0)</f>
        <v>40</v>
      </c>
      <c r="Y135" s="329">
        <f>IFERROR(__xludf.DUMMYFUNCTION("""COMPUTED_VALUE"""),13.0)</f>
        <v>13</v>
      </c>
      <c r="Z135" s="329">
        <f>IFERROR(__xludf.DUMMYFUNCTION("""COMPUTED_VALUE"""),2210.0)</f>
        <v>2210</v>
      </c>
      <c r="AA135" s="258">
        <f>IFERROR(__xludf.DUMMYFUNCTION("""COMPUTED_VALUE"""),1488.0)</f>
        <v>1488</v>
      </c>
      <c r="AB135" s="258">
        <f>IFERROR(__xludf.DUMMYFUNCTION("""COMPUTED_VALUE"""),726.0)</f>
        <v>726</v>
      </c>
      <c r="AC135" s="258">
        <f>IFERROR(__xludf.DUMMYFUNCTION("""COMPUTED_VALUE"""),2214.0)</f>
        <v>2214</v>
      </c>
      <c r="AD135" s="258">
        <f>IFERROR(__xludf.DUMMYFUNCTION("""COMPUTED_VALUE"""),64726.0)</f>
        <v>64726</v>
      </c>
      <c r="AE135" s="258">
        <f>IFERROR(__xludf.DUMMYFUNCTION("""COMPUTED_VALUE"""),1488.0)</f>
        <v>1488</v>
      </c>
      <c r="AF135" s="258">
        <f>IFERROR(__xludf.DUMMYFUNCTION("""COMPUTED_VALUE"""),52106.0)</f>
        <v>52106</v>
      </c>
      <c r="AG135" s="258">
        <f>IFERROR(__xludf.DUMMYFUNCTION("""COMPUTED_VALUE"""),726.0)</f>
        <v>726</v>
      </c>
      <c r="AH135" s="258">
        <f>IFERROR(__xludf.DUMMYFUNCTION("""COMPUTED_VALUE"""),12621.0)</f>
        <v>12621</v>
      </c>
    </row>
    <row r="136">
      <c r="A136" s="328">
        <f>IFERROR(__xludf.DUMMYFUNCTION("""COMPUTED_VALUE"""),44216.0)</f>
        <v>44216</v>
      </c>
      <c r="B136" s="329">
        <f>IFERROR(__xludf.DUMMYFUNCTION("""COMPUTED_VALUE"""),967.0)</f>
        <v>967</v>
      </c>
      <c r="C136" s="329">
        <f>IFERROR(__xludf.DUMMYFUNCTION("""COMPUTED_VALUE"""),827.0)</f>
        <v>827</v>
      </c>
      <c r="D136" s="329">
        <f>IFERROR(__xludf.DUMMYFUNCTION("""COMPUTED_VALUE"""),130461.0)</f>
        <v>130461</v>
      </c>
      <c r="E136" s="329">
        <f>IFERROR(__xludf.DUMMYFUNCTION("""COMPUTED_VALUE"""),22631.0)</f>
        <v>22631</v>
      </c>
      <c r="F136" s="258">
        <f>IFERROR(__xludf.DUMMYFUNCTION("""COMPUTED_VALUE"""),2217441.0)</f>
        <v>2217441</v>
      </c>
      <c r="G136" s="258">
        <f>IFERROR(__xludf.DUMMYFUNCTION("""COMPUTED_VALUE"""),23598.0)</f>
        <v>23598</v>
      </c>
      <c r="H136" s="258">
        <f>IFERROR(__xludf.DUMMYFUNCTION("""COMPUTED_VALUE"""),2347902.0)</f>
        <v>2347902</v>
      </c>
      <c r="I136" s="329">
        <f>IFERROR(__xludf.DUMMYFUNCTION("""COMPUTED_VALUE"""),854.0)</f>
        <v>854</v>
      </c>
      <c r="J136" s="329">
        <f>IFERROR(__xludf.DUMMYFUNCTION("""COMPUTED_VALUE"""),726.0)</f>
        <v>726</v>
      </c>
      <c r="K136" s="329">
        <f>IFERROR(__xludf.DUMMYFUNCTION("""COMPUTED_VALUE"""),109280.0)</f>
        <v>109280</v>
      </c>
      <c r="L136" s="329">
        <f>IFERROR(__xludf.DUMMYFUNCTION("""COMPUTED_VALUE"""),3360.0)</f>
        <v>3360</v>
      </c>
      <c r="M136" s="329">
        <f>IFERROR(__xludf.DUMMYFUNCTION("""COMPUTED_VALUE"""),588860.0)</f>
        <v>588860</v>
      </c>
      <c r="N136" s="329">
        <f>IFERROR(__xludf.DUMMYFUNCTION("""COMPUTED_VALUE"""),698140.0)</f>
        <v>698140</v>
      </c>
      <c r="O136" s="329">
        <f>IFERROR(__xludf.DUMMYFUNCTION("""COMPUTED_VALUE"""),46.0)</f>
        <v>46</v>
      </c>
      <c r="P136" s="329">
        <f>IFERROR(__xludf.DUMMYFUNCTION("""COMPUTED_VALUE"""),7754.0)</f>
        <v>7754</v>
      </c>
      <c r="Q136" s="329">
        <f>IFERROR(__xludf.DUMMYFUNCTION("""COMPUTED_VALUE"""),66.0)</f>
        <v>66</v>
      </c>
      <c r="R136" s="329">
        <f>IFERROR(__xludf.DUMMYFUNCTION("""COMPUTED_VALUE"""),6489.0)</f>
        <v>6489</v>
      </c>
      <c r="S136" s="329">
        <f>IFERROR(__xludf.DUMMYFUNCTION("""COMPUTED_VALUE"""),11.0)</f>
        <v>11</v>
      </c>
      <c r="T136" s="329">
        <f>IFERROR(__xludf.DUMMYFUNCTION("""COMPUTED_VALUE"""),873.0)</f>
        <v>873</v>
      </c>
      <c r="U136" s="329">
        <f>IFERROR(__xludf.DUMMYFUNCTION("""COMPUTED_VALUE"""),392.0)</f>
        <v>392</v>
      </c>
      <c r="V136" s="329">
        <f>IFERROR(__xludf.DUMMYFUNCTION("""COMPUTED_VALUE"""),413.0)</f>
        <v>413</v>
      </c>
      <c r="W136" s="329">
        <f>IFERROR(__xludf.DUMMYFUNCTION("""COMPUTED_VALUE"""),52.0)</f>
        <v>52</v>
      </c>
      <c r="X136" s="329">
        <f>IFERROR(__xludf.DUMMYFUNCTION("""COMPUTED_VALUE"""),34.0)</f>
        <v>34</v>
      </c>
      <c r="Y136" s="329">
        <f>IFERROR(__xludf.DUMMYFUNCTION("""COMPUTED_VALUE"""),25.0)</f>
        <v>25</v>
      </c>
      <c r="Z136" s="329">
        <f>IFERROR(__xludf.DUMMYFUNCTION("""COMPUTED_VALUE"""),2235.0)</f>
        <v>2235</v>
      </c>
      <c r="AA136" s="258">
        <f>IFERROR(__xludf.DUMMYFUNCTION("""COMPUTED_VALUE"""),1959.0)</f>
        <v>1959</v>
      </c>
      <c r="AB136" s="258">
        <f>IFERROR(__xludf.DUMMYFUNCTION("""COMPUTED_VALUE"""),799.0)</f>
        <v>799</v>
      </c>
      <c r="AC136" s="258">
        <f>IFERROR(__xludf.DUMMYFUNCTION("""COMPUTED_VALUE"""),2758.0)</f>
        <v>2758</v>
      </c>
      <c r="AD136" s="258">
        <f>IFERROR(__xludf.DUMMYFUNCTION("""COMPUTED_VALUE"""),67484.0)</f>
        <v>67484</v>
      </c>
      <c r="AE136" s="258">
        <f>IFERROR(__xludf.DUMMYFUNCTION("""COMPUTED_VALUE"""),1959.0)</f>
        <v>1959</v>
      </c>
      <c r="AF136" s="258">
        <f>IFERROR(__xludf.DUMMYFUNCTION("""COMPUTED_VALUE"""),54065.0)</f>
        <v>54065</v>
      </c>
      <c r="AG136" s="258">
        <f>IFERROR(__xludf.DUMMYFUNCTION("""COMPUTED_VALUE"""),799.0)</f>
        <v>799</v>
      </c>
      <c r="AH136" s="258">
        <f>IFERROR(__xludf.DUMMYFUNCTION("""COMPUTED_VALUE"""),13420.0)</f>
        <v>13420</v>
      </c>
    </row>
    <row r="137">
      <c r="A137" s="328">
        <f>IFERROR(__xludf.DUMMYFUNCTION("""COMPUTED_VALUE"""),44217.0)</f>
        <v>44217</v>
      </c>
      <c r="B137" s="329">
        <f>IFERROR(__xludf.DUMMYFUNCTION("""COMPUTED_VALUE"""),1183.0)</f>
        <v>1183</v>
      </c>
      <c r="C137" s="329">
        <f>IFERROR(__xludf.DUMMYFUNCTION("""COMPUTED_VALUE"""),1035.0)</f>
        <v>1035</v>
      </c>
      <c r="D137" s="329">
        <f>IFERROR(__xludf.DUMMYFUNCTION("""COMPUTED_VALUE"""),131644.0)</f>
        <v>131644</v>
      </c>
      <c r="E137" s="329">
        <f>IFERROR(__xludf.DUMMYFUNCTION("""COMPUTED_VALUE"""),24195.0)</f>
        <v>24195</v>
      </c>
      <c r="F137" s="258">
        <f>IFERROR(__xludf.DUMMYFUNCTION("""COMPUTED_VALUE"""),2241636.0)</f>
        <v>2241636</v>
      </c>
      <c r="G137" s="258">
        <f>IFERROR(__xludf.DUMMYFUNCTION("""COMPUTED_VALUE"""),25378.0)</f>
        <v>25378</v>
      </c>
      <c r="H137" s="258">
        <f>IFERROR(__xludf.DUMMYFUNCTION("""COMPUTED_VALUE"""),2373280.0)</f>
        <v>2373280</v>
      </c>
      <c r="I137" s="329">
        <f>IFERROR(__xludf.DUMMYFUNCTION("""COMPUTED_VALUE"""),1014.0)</f>
        <v>1014</v>
      </c>
      <c r="J137" s="329">
        <f>IFERROR(__xludf.DUMMYFUNCTION("""COMPUTED_VALUE"""),907.0)</f>
        <v>907</v>
      </c>
      <c r="K137" s="329">
        <f>IFERROR(__xludf.DUMMYFUNCTION("""COMPUTED_VALUE"""),110294.0)</f>
        <v>110294</v>
      </c>
      <c r="L137" s="329">
        <f>IFERROR(__xludf.DUMMYFUNCTION("""COMPUTED_VALUE"""),3896.0)</f>
        <v>3896</v>
      </c>
      <c r="M137" s="329">
        <f>IFERROR(__xludf.DUMMYFUNCTION("""COMPUTED_VALUE"""),592756.0)</f>
        <v>592756</v>
      </c>
      <c r="N137" s="329">
        <f>IFERROR(__xludf.DUMMYFUNCTION("""COMPUTED_VALUE"""),703050.0)</f>
        <v>703050</v>
      </c>
      <c r="O137" s="329">
        <f>IFERROR(__xludf.DUMMYFUNCTION("""COMPUTED_VALUE"""),55.0)</f>
        <v>55</v>
      </c>
      <c r="P137" s="329">
        <f>IFERROR(__xludf.DUMMYFUNCTION("""COMPUTED_VALUE"""),7809.0)</f>
        <v>7809</v>
      </c>
      <c r="Q137" s="329">
        <f>IFERROR(__xludf.DUMMYFUNCTION("""COMPUTED_VALUE"""),59.0)</f>
        <v>59</v>
      </c>
      <c r="R137" s="329">
        <f>IFERROR(__xludf.DUMMYFUNCTION("""COMPUTED_VALUE"""),6548.0)</f>
        <v>6548</v>
      </c>
      <c r="S137" s="329">
        <f>IFERROR(__xludf.DUMMYFUNCTION("""COMPUTED_VALUE"""),5.0)</f>
        <v>5</v>
      </c>
      <c r="T137" s="329">
        <f>IFERROR(__xludf.DUMMYFUNCTION("""COMPUTED_VALUE"""),878.0)</f>
        <v>878</v>
      </c>
      <c r="U137" s="329">
        <f>IFERROR(__xludf.DUMMYFUNCTION("""COMPUTED_VALUE"""),383.0)</f>
        <v>383</v>
      </c>
      <c r="V137" s="329">
        <f>IFERROR(__xludf.DUMMYFUNCTION("""COMPUTED_VALUE"""),399.0)</f>
        <v>399</v>
      </c>
      <c r="W137" s="329">
        <f>IFERROR(__xludf.DUMMYFUNCTION("""COMPUTED_VALUE"""),52.0)</f>
        <v>52</v>
      </c>
      <c r="X137" s="329">
        <f>IFERROR(__xludf.DUMMYFUNCTION("""COMPUTED_VALUE"""),32.0)</f>
        <v>32</v>
      </c>
      <c r="Y137" s="329">
        <f>IFERROR(__xludf.DUMMYFUNCTION("""COMPUTED_VALUE"""),10.0)</f>
        <v>10</v>
      </c>
      <c r="Z137" s="329">
        <f>IFERROR(__xludf.DUMMYFUNCTION("""COMPUTED_VALUE"""),2245.0)</f>
        <v>2245</v>
      </c>
      <c r="AA137" s="258">
        <f>IFERROR(__xludf.DUMMYFUNCTION("""COMPUTED_VALUE"""),2389.0)</f>
        <v>2389</v>
      </c>
      <c r="AB137" s="258">
        <f>IFERROR(__xludf.DUMMYFUNCTION("""COMPUTED_VALUE"""),346.0)</f>
        <v>346</v>
      </c>
      <c r="AC137" s="258">
        <f>IFERROR(__xludf.DUMMYFUNCTION("""COMPUTED_VALUE"""),2735.0)</f>
        <v>2735</v>
      </c>
      <c r="AD137" s="258">
        <f>IFERROR(__xludf.DUMMYFUNCTION("""COMPUTED_VALUE"""),70219.0)</f>
        <v>70219</v>
      </c>
      <c r="AE137" s="258">
        <f>IFERROR(__xludf.DUMMYFUNCTION("""COMPUTED_VALUE"""),2389.0)</f>
        <v>2389</v>
      </c>
      <c r="AF137" s="258">
        <f>IFERROR(__xludf.DUMMYFUNCTION("""COMPUTED_VALUE"""),56454.0)</f>
        <v>56454</v>
      </c>
      <c r="AG137" s="258">
        <f>IFERROR(__xludf.DUMMYFUNCTION("""COMPUTED_VALUE"""),346.0)</f>
        <v>346</v>
      </c>
      <c r="AH137" s="258">
        <f>IFERROR(__xludf.DUMMYFUNCTION("""COMPUTED_VALUE"""),13766.0)</f>
        <v>13766</v>
      </c>
    </row>
    <row r="138">
      <c r="A138" s="328">
        <f>IFERROR(__xludf.DUMMYFUNCTION("""COMPUTED_VALUE"""),44218.0)</f>
        <v>44218</v>
      </c>
      <c r="B138" s="329">
        <f>IFERROR(__xludf.DUMMYFUNCTION("""COMPUTED_VALUE"""),872.0)</f>
        <v>872</v>
      </c>
      <c r="C138" s="329">
        <f>IFERROR(__xludf.DUMMYFUNCTION("""COMPUTED_VALUE"""),1007.0)</f>
        <v>1007</v>
      </c>
      <c r="D138" s="329">
        <f>IFERROR(__xludf.DUMMYFUNCTION("""COMPUTED_VALUE"""),132516.0)</f>
        <v>132516</v>
      </c>
      <c r="E138" s="329">
        <f>IFERROR(__xludf.DUMMYFUNCTION("""COMPUTED_VALUE"""),19821.0)</f>
        <v>19821</v>
      </c>
      <c r="F138" s="258">
        <f>IFERROR(__xludf.DUMMYFUNCTION("""COMPUTED_VALUE"""),2261457.0)</f>
        <v>2261457</v>
      </c>
      <c r="G138" s="258">
        <f>IFERROR(__xludf.DUMMYFUNCTION("""COMPUTED_VALUE"""),20693.0)</f>
        <v>20693</v>
      </c>
      <c r="H138" s="258">
        <f>IFERROR(__xludf.DUMMYFUNCTION("""COMPUTED_VALUE"""),2393973.0)</f>
        <v>2393973</v>
      </c>
      <c r="I138" s="329">
        <f>IFERROR(__xludf.DUMMYFUNCTION("""COMPUTED_VALUE"""),757.0)</f>
        <v>757</v>
      </c>
      <c r="J138" s="329">
        <f>IFERROR(__xludf.DUMMYFUNCTION("""COMPUTED_VALUE"""),875.0)</f>
        <v>875</v>
      </c>
      <c r="K138" s="329">
        <f>IFERROR(__xludf.DUMMYFUNCTION("""COMPUTED_VALUE"""),111051.0)</f>
        <v>111051</v>
      </c>
      <c r="L138" s="329">
        <f>IFERROR(__xludf.DUMMYFUNCTION("""COMPUTED_VALUE"""),3033.0)</f>
        <v>3033</v>
      </c>
      <c r="M138" s="329">
        <f>IFERROR(__xludf.DUMMYFUNCTION("""COMPUTED_VALUE"""),595789.0)</f>
        <v>595789</v>
      </c>
      <c r="N138" s="329">
        <f>IFERROR(__xludf.DUMMYFUNCTION("""COMPUTED_VALUE"""),706840.0)</f>
        <v>706840</v>
      </c>
      <c r="O138" s="329">
        <f>IFERROR(__xludf.DUMMYFUNCTION("""COMPUTED_VALUE"""),54.0)</f>
        <v>54</v>
      </c>
      <c r="P138" s="329">
        <f>IFERROR(__xludf.DUMMYFUNCTION("""COMPUTED_VALUE"""),7863.0)</f>
        <v>7863</v>
      </c>
      <c r="Q138" s="329">
        <f>IFERROR(__xludf.DUMMYFUNCTION("""COMPUTED_VALUE"""),58.0)</f>
        <v>58</v>
      </c>
      <c r="R138" s="329">
        <f>IFERROR(__xludf.DUMMYFUNCTION("""COMPUTED_VALUE"""),6606.0)</f>
        <v>6606</v>
      </c>
      <c r="S138" s="329">
        <f>IFERROR(__xludf.DUMMYFUNCTION("""COMPUTED_VALUE"""),10.0)</f>
        <v>10</v>
      </c>
      <c r="T138" s="329">
        <f>IFERROR(__xludf.DUMMYFUNCTION("""COMPUTED_VALUE"""),888.0)</f>
        <v>888</v>
      </c>
      <c r="U138" s="329">
        <f>IFERROR(__xludf.DUMMYFUNCTION("""COMPUTED_VALUE"""),369.0)</f>
        <v>369</v>
      </c>
      <c r="V138" s="329">
        <f>IFERROR(__xludf.DUMMYFUNCTION("""COMPUTED_VALUE"""),381.0)</f>
        <v>381</v>
      </c>
      <c r="W138" s="329">
        <f>IFERROR(__xludf.DUMMYFUNCTION("""COMPUTED_VALUE"""),55.0)</f>
        <v>55</v>
      </c>
      <c r="X138" s="329">
        <f>IFERROR(__xludf.DUMMYFUNCTION("""COMPUTED_VALUE"""),34.0)</f>
        <v>34</v>
      </c>
      <c r="Y138" s="329">
        <f>IFERROR(__xludf.DUMMYFUNCTION("""COMPUTED_VALUE"""),16.0)</f>
        <v>16</v>
      </c>
      <c r="Z138" s="329">
        <f>IFERROR(__xludf.DUMMYFUNCTION("""COMPUTED_VALUE"""),2261.0)</f>
        <v>2261</v>
      </c>
      <c r="AA138" s="258">
        <f>IFERROR(__xludf.DUMMYFUNCTION("""COMPUTED_VALUE"""),2502.0)</f>
        <v>2502</v>
      </c>
      <c r="AB138" s="258">
        <f>IFERROR(__xludf.DUMMYFUNCTION("""COMPUTED_VALUE"""),313.0)</f>
        <v>313</v>
      </c>
      <c r="AC138" s="258">
        <f>IFERROR(__xludf.DUMMYFUNCTION("""COMPUTED_VALUE"""),2815.0)</f>
        <v>2815</v>
      </c>
      <c r="AD138" s="258">
        <f>IFERROR(__xludf.DUMMYFUNCTION("""COMPUTED_VALUE"""),73034.0)</f>
        <v>73034</v>
      </c>
      <c r="AE138" s="258">
        <f>IFERROR(__xludf.DUMMYFUNCTION("""COMPUTED_VALUE"""),2502.0)</f>
        <v>2502</v>
      </c>
      <c r="AF138" s="258">
        <f>IFERROR(__xludf.DUMMYFUNCTION("""COMPUTED_VALUE"""),58956.0)</f>
        <v>58956</v>
      </c>
      <c r="AG138" s="258">
        <f>IFERROR(__xludf.DUMMYFUNCTION("""COMPUTED_VALUE"""),313.0)</f>
        <v>313</v>
      </c>
      <c r="AH138" s="258">
        <f>IFERROR(__xludf.DUMMYFUNCTION("""COMPUTED_VALUE"""),14079.0)</f>
        <v>14079</v>
      </c>
    </row>
    <row r="139">
      <c r="A139" s="328">
        <f>IFERROR(__xludf.DUMMYFUNCTION("""COMPUTED_VALUE"""),44219.0)</f>
        <v>44219</v>
      </c>
      <c r="B139" s="329">
        <f>IFERROR(__xludf.DUMMYFUNCTION("""COMPUTED_VALUE"""),909.0)</f>
        <v>909</v>
      </c>
      <c r="C139" s="329">
        <f>IFERROR(__xludf.DUMMYFUNCTION("""COMPUTED_VALUE"""),988.0)</f>
        <v>988</v>
      </c>
      <c r="D139" s="329">
        <f>IFERROR(__xludf.DUMMYFUNCTION("""COMPUTED_VALUE"""),133425.0)</f>
        <v>133425</v>
      </c>
      <c r="E139" s="329">
        <f>IFERROR(__xludf.DUMMYFUNCTION("""COMPUTED_VALUE"""),19073.0)</f>
        <v>19073</v>
      </c>
      <c r="F139" s="258">
        <f>IFERROR(__xludf.DUMMYFUNCTION("""COMPUTED_VALUE"""),2280530.0)</f>
        <v>2280530</v>
      </c>
      <c r="G139" s="258">
        <f>IFERROR(__xludf.DUMMYFUNCTION("""COMPUTED_VALUE"""),19982.0)</f>
        <v>19982</v>
      </c>
      <c r="H139" s="258">
        <f>IFERROR(__xludf.DUMMYFUNCTION("""COMPUTED_VALUE"""),2413955.0)</f>
        <v>2413955</v>
      </c>
      <c r="I139" s="329">
        <f>IFERROR(__xludf.DUMMYFUNCTION("""COMPUTED_VALUE"""),777.0)</f>
        <v>777</v>
      </c>
      <c r="J139" s="329">
        <f>IFERROR(__xludf.DUMMYFUNCTION("""COMPUTED_VALUE"""),849.0)</f>
        <v>849</v>
      </c>
      <c r="K139" s="329">
        <f>IFERROR(__xludf.DUMMYFUNCTION("""COMPUTED_VALUE"""),111828.0)</f>
        <v>111828</v>
      </c>
      <c r="L139" s="329">
        <f>IFERROR(__xludf.DUMMYFUNCTION("""COMPUTED_VALUE"""),3055.0)</f>
        <v>3055</v>
      </c>
      <c r="M139" s="329">
        <f>IFERROR(__xludf.DUMMYFUNCTION("""COMPUTED_VALUE"""),598844.0)</f>
        <v>598844</v>
      </c>
      <c r="N139" s="329">
        <f>IFERROR(__xludf.DUMMYFUNCTION("""COMPUTED_VALUE"""),710672.0)</f>
        <v>710672</v>
      </c>
      <c r="O139" s="329">
        <f>IFERROR(__xludf.DUMMYFUNCTION("""COMPUTED_VALUE"""),57.0)</f>
        <v>57</v>
      </c>
      <c r="P139" s="329">
        <f>IFERROR(__xludf.DUMMYFUNCTION("""COMPUTED_VALUE"""),7920.0)</f>
        <v>7920</v>
      </c>
      <c r="Q139" s="329">
        <f>IFERROR(__xludf.DUMMYFUNCTION("""COMPUTED_VALUE"""),32.0)</f>
        <v>32</v>
      </c>
      <c r="R139" s="329">
        <f>IFERROR(__xludf.DUMMYFUNCTION("""COMPUTED_VALUE"""),6638.0)</f>
        <v>6638</v>
      </c>
      <c r="S139" s="329">
        <f>IFERROR(__xludf.DUMMYFUNCTION("""COMPUTED_VALUE"""),3.0)</f>
        <v>3</v>
      </c>
      <c r="T139" s="329">
        <f>IFERROR(__xludf.DUMMYFUNCTION("""COMPUTED_VALUE"""),891.0)</f>
        <v>891</v>
      </c>
      <c r="U139" s="329">
        <f>IFERROR(__xludf.DUMMYFUNCTION("""COMPUTED_VALUE"""),391.0)</f>
        <v>391</v>
      </c>
      <c r="V139" s="329">
        <f>IFERROR(__xludf.DUMMYFUNCTION("""COMPUTED_VALUE"""),381.0)</f>
        <v>381</v>
      </c>
      <c r="W139" s="329">
        <f>IFERROR(__xludf.DUMMYFUNCTION("""COMPUTED_VALUE"""),60.0)</f>
        <v>60</v>
      </c>
      <c r="X139" s="329">
        <f>IFERROR(__xludf.DUMMYFUNCTION("""COMPUTED_VALUE"""),35.0)</f>
        <v>35</v>
      </c>
      <c r="Y139" s="329">
        <f>IFERROR(__xludf.DUMMYFUNCTION("""COMPUTED_VALUE"""),8.0)</f>
        <v>8</v>
      </c>
      <c r="Z139" s="329">
        <f>IFERROR(__xludf.DUMMYFUNCTION("""COMPUTED_VALUE"""),2269.0)</f>
        <v>2269</v>
      </c>
      <c r="AA139" s="258">
        <f>IFERROR(__xludf.DUMMYFUNCTION("""COMPUTED_VALUE"""),2499.0)</f>
        <v>2499</v>
      </c>
      <c r="AB139" s="258">
        <f>IFERROR(__xludf.DUMMYFUNCTION("""COMPUTED_VALUE"""),601.0)</f>
        <v>601</v>
      </c>
      <c r="AC139" s="258">
        <f>IFERROR(__xludf.DUMMYFUNCTION("""COMPUTED_VALUE"""),3100.0)</f>
        <v>3100</v>
      </c>
      <c r="AD139" s="258">
        <f>IFERROR(__xludf.DUMMYFUNCTION("""COMPUTED_VALUE"""),76134.0)</f>
        <v>76134</v>
      </c>
      <c r="AE139" s="258">
        <f>IFERROR(__xludf.DUMMYFUNCTION("""COMPUTED_VALUE"""),2499.0)</f>
        <v>2499</v>
      </c>
      <c r="AF139" s="258">
        <f>IFERROR(__xludf.DUMMYFUNCTION("""COMPUTED_VALUE"""),61455.0)</f>
        <v>61455</v>
      </c>
      <c r="AG139" s="258">
        <f>IFERROR(__xludf.DUMMYFUNCTION("""COMPUTED_VALUE"""),601.0)</f>
        <v>601</v>
      </c>
      <c r="AH139" s="258">
        <f>IFERROR(__xludf.DUMMYFUNCTION("""COMPUTED_VALUE"""),14680.0)</f>
        <v>14680</v>
      </c>
    </row>
    <row r="140">
      <c r="A140" s="328">
        <f>IFERROR(__xludf.DUMMYFUNCTION("""COMPUTED_VALUE"""),44220.0)</f>
        <v>44220</v>
      </c>
      <c r="B140" s="329">
        <f>IFERROR(__xludf.DUMMYFUNCTION("""COMPUTED_VALUE"""),405.0)</f>
        <v>405</v>
      </c>
      <c r="C140" s="329">
        <f>IFERROR(__xludf.DUMMYFUNCTION("""COMPUTED_VALUE"""),729.0)</f>
        <v>729</v>
      </c>
      <c r="D140" s="329">
        <f>IFERROR(__xludf.DUMMYFUNCTION("""COMPUTED_VALUE"""),133830.0)</f>
        <v>133830</v>
      </c>
      <c r="E140" s="329">
        <f>IFERROR(__xludf.DUMMYFUNCTION("""COMPUTED_VALUE"""),8969.0)</f>
        <v>8969</v>
      </c>
      <c r="F140" s="258">
        <f>IFERROR(__xludf.DUMMYFUNCTION("""COMPUTED_VALUE"""),2289499.0)</f>
        <v>2289499</v>
      </c>
      <c r="G140" s="258">
        <f>IFERROR(__xludf.DUMMYFUNCTION("""COMPUTED_VALUE"""),9374.0)</f>
        <v>9374</v>
      </c>
      <c r="H140" s="258">
        <f>IFERROR(__xludf.DUMMYFUNCTION("""COMPUTED_VALUE"""),2423329.0)</f>
        <v>2423329</v>
      </c>
      <c r="I140" s="329">
        <f>IFERROR(__xludf.DUMMYFUNCTION("""COMPUTED_VALUE"""),341.0)</f>
        <v>341</v>
      </c>
      <c r="J140" s="329">
        <f>IFERROR(__xludf.DUMMYFUNCTION("""COMPUTED_VALUE"""),625.0)</f>
        <v>625</v>
      </c>
      <c r="K140" s="329">
        <f>IFERROR(__xludf.DUMMYFUNCTION("""COMPUTED_VALUE"""),112169.0)</f>
        <v>112169</v>
      </c>
      <c r="L140" s="329">
        <f>IFERROR(__xludf.DUMMYFUNCTION("""COMPUTED_VALUE"""),1196.0)</f>
        <v>1196</v>
      </c>
      <c r="M140" s="329">
        <f>IFERROR(__xludf.DUMMYFUNCTION("""COMPUTED_VALUE"""),600040.0)</f>
        <v>600040</v>
      </c>
      <c r="N140" s="329">
        <f>IFERROR(__xludf.DUMMYFUNCTION("""COMPUTED_VALUE"""),712209.0)</f>
        <v>712209</v>
      </c>
      <c r="O140" s="329">
        <f>IFERROR(__xludf.DUMMYFUNCTION("""COMPUTED_VALUE"""),43.0)</f>
        <v>43</v>
      </c>
      <c r="P140" s="329">
        <f>IFERROR(__xludf.DUMMYFUNCTION("""COMPUTED_VALUE"""),7963.0)</f>
        <v>7963</v>
      </c>
      <c r="Q140" s="329">
        <f>IFERROR(__xludf.DUMMYFUNCTION("""COMPUTED_VALUE"""),43.0)</f>
        <v>43</v>
      </c>
      <c r="R140" s="329">
        <f>IFERROR(__xludf.DUMMYFUNCTION("""COMPUTED_VALUE"""),6681.0)</f>
        <v>6681</v>
      </c>
      <c r="S140" s="329">
        <f>IFERROR(__xludf.DUMMYFUNCTION("""COMPUTED_VALUE"""),9.0)</f>
        <v>9</v>
      </c>
      <c r="T140" s="329">
        <f>IFERROR(__xludf.DUMMYFUNCTION("""COMPUTED_VALUE"""),900.0)</f>
        <v>900</v>
      </c>
      <c r="U140" s="329">
        <f>IFERROR(__xludf.DUMMYFUNCTION("""COMPUTED_VALUE"""),382.0)</f>
        <v>382</v>
      </c>
      <c r="V140" s="329">
        <f>IFERROR(__xludf.DUMMYFUNCTION("""COMPUTED_VALUE"""),381.0)</f>
        <v>381</v>
      </c>
      <c r="W140" s="329">
        <f>IFERROR(__xludf.DUMMYFUNCTION("""COMPUTED_VALUE"""),60.0)</f>
        <v>60</v>
      </c>
      <c r="X140" s="329">
        <f>IFERROR(__xludf.DUMMYFUNCTION("""COMPUTED_VALUE"""),38.0)</f>
        <v>38</v>
      </c>
      <c r="Y140" s="329">
        <f>IFERROR(__xludf.DUMMYFUNCTION("""COMPUTED_VALUE"""),16.0)</f>
        <v>16</v>
      </c>
      <c r="Z140" s="329">
        <f>IFERROR(__xludf.DUMMYFUNCTION("""COMPUTED_VALUE"""),2285.0)</f>
        <v>2285</v>
      </c>
      <c r="AA140" s="258">
        <f>IFERROR(__xludf.DUMMYFUNCTION("""COMPUTED_VALUE"""),741.0)</f>
        <v>741</v>
      </c>
      <c r="AB140" s="258">
        <f>IFERROR(__xludf.DUMMYFUNCTION("""COMPUTED_VALUE"""),1050.0)</f>
        <v>1050</v>
      </c>
      <c r="AC140" s="258">
        <f>IFERROR(__xludf.DUMMYFUNCTION("""COMPUTED_VALUE"""),1791.0)</f>
        <v>1791</v>
      </c>
      <c r="AD140" s="258">
        <f>IFERROR(__xludf.DUMMYFUNCTION("""COMPUTED_VALUE"""),77925.0)</f>
        <v>77925</v>
      </c>
      <c r="AE140" s="258">
        <f>IFERROR(__xludf.DUMMYFUNCTION("""COMPUTED_VALUE"""),741.0)</f>
        <v>741</v>
      </c>
      <c r="AF140" s="258">
        <f>IFERROR(__xludf.DUMMYFUNCTION("""COMPUTED_VALUE"""),62196.0)</f>
        <v>62196</v>
      </c>
      <c r="AG140" s="258">
        <f>IFERROR(__xludf.DUMMYFUNCTION("""COMPUTED_VALUE"""),1050.0)</f>
        <v>1050</v>
      </c>
      <c r="AH140" s="258">
        <f>IFERROR(__xludf.DUMMYFUNCTION("""COMPUTED_VALUE"""),15730.0)</f>
        <v>15730</v>
      </c>
    </row>
    <row r="141">
      <c r="A141" s="328">
        <f>IFERROR(__xludf.DUMMYFUNCTION("""COMPUTED_VALUE"""),44221.0)</f>
        <v>44221</v>
      </c>
      <c r="B141" s="329">
        <f>IFERROR(__xludf.DUMMYFUNCTION("""COMPUTED_VALUE"""),806.0)</f>
        <v>806</v>
      </c>
      <c r="C141" s="329">
        <f>IFERROR(__xludf.DUMMYFUNCTION("""COMPUTED_VALUE"""),707.0)</f>
        <v>707</v>
      </c>
      <c r="D141" s="329">
        <f>IFERROR(__xludf.DUMMYFUNCTION("""COMPUTED_VALUE"""),134636.0)</f>
        <v>134636</v>
      </c>
      <c r="E141" s="329">
        <f>IFERROR(__xludf.DUMMYFUNCTION("""COMPUTED_VALUE"""),13387.0)</f>
        <v>13387</v>
      </c>
      <c r="F141" s="258">
        <f>IFERROR(__xludf.DUMMYFUNCTION("""COMPUTED_VALUE"""),2302886.0)</f>
        <v>2302886</v>
      </c>
      <c r="G141" s="258">
        <f>IFERROR(__xludf.DUMMYFUNCTION("""COMPUTED_VALUE"""),14193.0)</f>
        <v>14193</v>
      </c>
      <c r="H141" s="258">
        <f>IFERROR(__xludf.DUMMYFUNCTION("""COMPUTED_VALUE"""),2437522.0)</f>
        <v>2437522</v>
      </c>
      <c r="I141" s="329">
        <f>IFERROR(__xludf.DUMMYFUNCTION("""COMPUTED_VALUE"""),687.0)</f>
        <v>687</v>
      </c>
      <c r="J141" s="329">
        <f>IFERROR(__xludf.DUMMYFUNCTION("""COMPUTED_VALUE"""),602.0)</f>
        <v>602</v>
      </c>
      <c r="K141" s="329">
        <f>IFERROR(__xludf.DUMMYFUNCTION("""COMPUTED_VALUE"""),112856.0)</f>
        <v>112856</v>
      </c>
      <c r="L141" s="329">
        <f>IFERROR(__xludf.DUMMYFUNCTION("""COMPUTED_VALUE"""),2580.0)</f>
        <v>2580</v>
      </c>
      <c r="M141" s="329">
        <f>IFERROR(__xludf.DUMMYFUNCTION("""COMPUTED_VALUE"""),602620.0)</f>
        <v>602620</v>
      </c>
      <c r="N141" s="329">
        <f>IFERROR(__xludf.DUMMYFUNCTION("""COMPUTED_VALUE"""),715476.0)</f>
        <v>715476</v>
      </c>
      <c r="O141" s="329">
        <f>IFERROR(__xludf.DUMMYFUNCTION("""COMPUTED_VALUE"""),48.0)</f>
        <v>48</v>
      </c>
      <c r="P141" s="329">
        <f>IFERROR(__xludf.DUMMYFUNCTION("""COMPUTED_VALUE"""),8011.0)</f>
        <v>8011</v>
      </c>
      <c r="Q141" s="329">
        <f>IFERROR(__xludf.DUMMYFUNCTION("""COMPUTED_VALUE"""),55.0)</f>
        <v>55</v>
      </c>
      <c r="R141" s="329">
        <f>IFERROR(__xludf.DUMMYFUNCTION("""COMPUTED_VALUE"""),6736.0)</f>
        <v>6736</v>
      </c>
      <c r="S141" s="329">
        <f>IFERROR(__xludf.DUMMYFUNCTION("""COMPUTED_VALUE"""),5.0)</f>
        <v>5</v>
      </c>
      <c r="T141" s="329">
        <f>IFERROR(__xludf.DUMMYFUNCTION("""COMPUTED_VALUE"""),905.0)</f>
        <v>905</v>
      </c>
      <c r="U141" s="329">
        <f>IFERROR(__xludf.DUMMYFUNCTION("""COMPUTED_VALUE"""),370.0)</f>
        <v>370</v>
      </c>
      <c r="V141" s="329">
        <f>IFERROR(__xludf.DUMMYFUNCTION("""COMPUTED_VALUE"""),381.0)</f>
        <v>381</v>
      </c>
      <c r="W141" s="329">
        <f>IFERROR(__xludf.DUMMYFUNCTION("""COMPUTED_VALUE"""),60.0)</f>
        <v>60</v>
      </c>
      <c r="X141" s="329">
        <f>IFERROR(__xludf.DUMMYFUNCTION("""COMPUTED_VALUE"""),39.0)</f>
        <v>39</v>
      </c>
      <c r="Y141" s="329">
        <f>IFERROR(__xludf.DUMMYFUNCTION("""COMPUTED_VALUE"""),14.0)</f>
        <v>14</v>
      </c>
      <c r="Z141" s="329">
        <f>IFERROR(__xludf.DUMMYFUNCTION("""COMPUTED_VALUE"""),2299.0)</f>
        <v>2299</v>
      </c>
      <c r="AA141" s="258">
        <f>IFERROR(__xludf.DUMMYFUNCTION("""COMPUTED_VALUE"""),2033.0)</f>
        <v>2033</v>
      </c>
      <c r="AB141" s="258">
        <f>IFERROR(__xludf.DUMMYFUNCTION("""COMPUTED_VALUE"""),2783.0)</f>
        <v>2783</v>
      </c>
      <c r="AC141" s="258">
        <f>IFERROR(__xludf.DUMMYFUNCTION("""COMPUTED_VALUE"""),4816.0)</f>
        <v>4816</v>
      </c>
      <c r="AD141" s="258">
        <f>IFERROR(__xludf.DUMMYFUNCTION("""COMPUTED_VALUE"""),82741.0)</f>
        <v>82741</v>
      </c>
      <c r="AE141" s="258">
        <f>IFERROR(__xludf.DUMMYFUNCTION("""COMPUTED_VALUE"""),2033.0)</f>
        <v>2033</v>
      </c>
      <c r="AF141" s="258">
        <f>IFERROR(__xludf.DUMMYFUNCTION("""COMPUTED_VALUE"""),64229.0)</f>
        <v>64229</v>
      </c>
      <c r="AG141" s="258">
        <f>IFERROR(__xludf.DUMMYFUNCTION("""COMPUTED_VALUE"""),2783.0)</f>
        <v>2783</v>
      </c>
      <c r="AH141" s="258">
        <f>IFERROR(__xludf.DUMMYFUNCTION("""COMPUTED_VALUE"""),18513.0)</f>
        <v>18513</v>
      </c>
    </row>
    <row r="142">
      <c r="A142" s="328">
        <f>IFERROR(__xludf.DUMMYFUNCTION("""COMPUTED_VALUE"""),44222.0)</f>
        <v>44222</v>
      </c>
      <c r="B142" s="329">
        <f>IFERROR(__xludf.DUMMYFUNCTION("""COMPUTED_VALUE"""),725.0)</f>
        <v>725</v>
      </c>
      <c r="C142" s="329">
        <f>IFERROR(__xludf.DUMMYFUNCTION("""COMPUTED_VALUE"""),645.0)</f>
        <v>645</v>
      </c>
      <c r="D142" s="329">
        <f>IFERROR(__xludf.DUMMYFUNCTION("""COMPUTED_VALUE"""),135361.0)</f>
        <v>135361</v>
      </c>
      <c r="E142" s="329">
        <f>IFERROR(__xludf.DUMMYFUNCTION("""COMPUTED_VALUE"""),20058.0)</f>
        <v>20058</v>
      </c>
      <c r="F142" s="258">
        <f>IFERROR(__xludf.DUMMYFUNCTION("""COMPUTED_VALUE"""),2322944.0)</f>
        <v>2322944</v>
      </c>
      <c r="G142" s="258">
        <f>IFERROR(__xludf.DUMMYFUNCTION("""COMPUTED_VALUE"""),20783.0)</f>
        <v>20783</v>
      </c>
      <c r="H142" s="258">
        <f>IFERROR(__xludf.DUMMYFUNCTION("""COMPUTED_VALUE"""),2458305.0)</f>
        <v>2458305</v>
      </c>
      <c r="I142" s="329">
        <f>IFERROR(__xludf.DUMMYFUNCTION("""COMPUTED_VALUE"""),643.0)</f>
        <v>643</v>
      </c>
      <c r="J142" s="329">
        <f>IFERROR(__xludf.DUMMYFUNCTION("""COMPUTED_VALUE"""),557.0)</f>
        <v>557</v>
      </c>
      <c r="K142" s="329">
        <f>IFERROR(__xludf.DUMMYFUNCTION("""COMPUTED_VALUE"""),113499.0)</f>
        <v>113499</v>
      </c>
      <c r="L142" s="329">
        <f>IFERROR(__xludf.DUMMYFUNCTION("""COMPUTED_VALUE"""),3337.0)</f>
        <v>3337</v>
      </c>
      <c r="M142" s="329">
        <f>IFERROR(__xludf.DUMMYFUNCTION("""COMPUTED_VALUE"""),605957.0)</f>
        <v>605957</v>
      </c>
      <c r="N142" s="329">
        <f>IFERROR(__xludf.DUMMYFUNCTION("""COMPUTED_VALUE"""),719456.0)</f>
        <v>719456</v>
      </c>
      <c r="O142" s="329">
        <f>IFERROR(__xludf.DUMMYFUNCTION("""COMPUTED_VALUE"""),49.0)</f>
        <v>49</v>
      </c>
      <c r="P142" s="329">
        <f>IFERROR(__xludf.DUMMYFUNCTION("""COMPUTED_VALUE"""),8060.0)</f>
        <v>8060</v>
      </c>
      <c r="Q142" s="329">
        <f>IFERROR(__xludf.DUMMYFUNCTION("""COMPUTED_VALUE"""),47.0)</f>
        <v>47</v>
      </c>
      <c r="R142" s="329">
        <f>IFERROR(__xludf.DUMMYFUNCTION("""COMPUTED_VALUE"""),6783.0)</f>
        <v>6783</v>
      </c>
      <c r="S142" s="329">
        <f>IFERROR(__xludf.DUMMYFUNCTION("""COMPUTED_VALUE"""),9.0)</f>
        <v>9</v>
      </c>
      <c r="T142" s="329">
        <f>IFERROR(__xludf.DUMMYFUNCTION("""COMPUTED_VALUE"""),914.0)</f>
        <v>914</v>
      </c>
      <c r="U142" s="329">
        <f>IFERROR(__xludf.DUMMYFUNCTION("""COMPUTED_VALUE"""),363.0)</f>
        <v>363</v>
      </c>
      <c r="V142" s="329">
        <f>IFERROR(__xludf.DUMMYFUNCTION("""COMPUTED_VALUE"""),372.0)</f>
        <v>372</v>
      </c>
      <c r="W142" s="329">
        <f>IFERROR(__xludf.DUMMYFUNCTION("""COMPUTED_VALUE"""),57.0)</f>
        <v>57</v>
      </c>
      <c r="X142" s="329">
        <f>IFERROR(__xludf.DUMMYFUNCTION("""COMPUTED_VALUE"""),36.0)</f>
        <v>36</v>
      </c>
      <c r="Y142" s="329">
        <f>IFERROR(__xludf.DUMMYFUNCTION("""COMPUTED_VALUE"""),12.0)</f>
        <v>12</v>
      </c>
      <c r="Z142" s="329">
        <f>IFERROR(__xludf.DUMMYFUNCTION("""COMPUTED_VALUE"""),2311.0)</f>
        <v>2311</v>
      </c>
      <c r="AA142" s="258">
        <f>IFERROR(__xludf.DUMMYFUNCTION("""COMPUTED_VALUE"""),1566.0)</f>
        <v>1566</v>
      </c>
      <c r="AB142" s="258">
        <f>IFERROR(__xludf.DUMMYFUNCTION("""COMPUTED_VALUE"""),2619.0)</f>
        <v>2619</v>
      </c>
      <c r="AC142" s="258">
        <f>IFERROR(__xludf.DUMMYFUNCTION("""COMPUTED_VALUE"""),4185.0)</f>
        <v>4185</v>
      </c>
      <c r="AD142" s="258">
        <f>IFERROR(__xludf.DUMMYFUNCTION("""COMPUTED_VALUE"""),86926.0)</f>
        <v>86926</v>
      </c>
      <c r="AE142" s="258">
        <f>IFERROR(__xludf.DUMMYFUNCTION("""COMPUTED_VALUE"""),1566.0)</f>
        <v>1566</v>
      </c>
      <c r="AF142" s="258">
        <f>IFERROR(__xludf.DUMMYFUNCTION("""COMPUTED_VALUE"""),65795.0)</f>
        <v>65795</v>
      </c>
      <c r="AG142" s="258">
        <f>IFERROR(__xludf.DUMMYFUNCTION("""COMPUTED_VALUE"""),2619.0)</f>
        <v>2619</v>
      </c>
      <c r="AH142" s="258">
        <f>IFERROR(__xludf.DUMMYFUNCTION("""COMPUTED_VALUE"""),21132.0)</f>
        <v>21132</v>
      </c>
    </row>
    <row r="143">
      <c r="A143" s="328">
        <f>IFERROR(__xludf.DUMMYFUNCTION("""COMPUTED_VALUE"""),44223.0)</f>
        <v>44223</v>
      </c>
      <c r="B143" s="329">
        <f>IFERROR(__xludf.DUMMYFUNCTION("""COMPUTED_VALUE"""),843.0)</f>
        <v>843</v>
      </c>
      <c r="C143" s="329">
        <f>IFERROR(__xludf.DUMMYFUNCTION("""COMPUTED_VALUE"""),791.0)</f>
        <v>791</v>
      </c>
      <c r="D143" s="329">
        <f>IFERROR(__xludf.DUMMYFUNCTION("""COMPUTED_VALUE"""),136204.0)</f>
        <v>136204</v>
      </c>
      <c r="E143" s="329">
        <f>IFERROR(__xludf.DUMMYFUNCTION("""COMPUTED_VALUE"""),21876.0)</f>
        <v>21876</v>
      </c>
      <c r="F143" s="258">
        <f>IFERROR(__xludf.DUMMYFUNCTION("""COMPUTED_VALUE"""),2344820.0)</f>
        <v>2344820</v>
      </c>
      <c r="G143" s="258">
        <f>IFERROR(__xludf.DUMMYFUNCTION("""COMPUTED_VALUE"""),22719.0)</f>
        <v>22719</v>
      </c>
      <c r="H143" s="258">
        <f>IFERROR(__xludf.DUMMYFUNCTION("""COMPUTED_VALUE"""),2481024.0)</f>
        <v>2481024</v>
      </c>
      <c r="I143" s="329">
        <f>IFERROR(__xludf.DUMMYFUNCTION("""COMPUTED_VALUE"""),713.0)</f>
        <v>713</v>
      </c>
      <c r="J143" s="329">
        <f>IFERROR(__xludf.DUMMYFUNCTION("""COMPUTED_VALUE"""),681.0)</f>
        <v>681</v>
      </c>
      <c r="K143" s="329">
        <f>IFERROR(__xludf.DUMMYFUNCTION("""COMPUTED_VALUE"""),114212.0)</f>
        <v>114212</v>
      </c>
      <c r="L143" s="329">
        <f>IFERROR(__xludf.DUMMYFUNCTION("""COMPUTED_VALUE"""),3215.0)</f>
        <v>3215</v>
      </c>
      <c r="M143" s="329">
        <f>IFERROR(__xludf.DUMMYFUNCTION("""COMPUTED_VALUE"""),609172.0)</f>
        <v>609172</v>
      </c>
      <c r="N143" s="329">
        <f>IFERROR(__xludf.DUMMYFUNCTION("""COMPUTED_VALUE"""),723384.0)</f>
        <v>723384</v>
      </c>
      <c r="O143" s="329">
        <f>IFERROR(__xludf.DUMMYFUNCTION("""COMPUTED_VALUE"""),50.0)</f>
        <v>50</v>
      </c>
      <c r="P143" s="329">
        <f>IFERROR(__xludf.DUMMYFUNCTION("""COMPUTED_VALUE"""),8110.0)</f>
        <v>8110</v>
      </c>
      <c r="Q143" s="329">
        <f>IFERROR(__xludf.DUMMYFUNCTION("""COMPUTED_VALUE"""),58.0)</f>
        <v>58</v>
      </c>
      <c r="R143" s="329">
        <f>IFERROR(__xludf.DUMMYFUNCTION("""COMPUTED_VALUE"""),6841.0)</f>
        <v>6841</v>
      </c>
      <c r="S143" s="329">
        <f>IFERROR(__xludf.DUMMYFUNCTION("""COMPUTED_VALUE"""),3.0)</f>
        <v>3</v>
      </c>
      <c r="T143" s="329">
        <f>IFERROR(__xludf.DUMMYFUNCTION("""COMPUTED_VALUE"""),917.0)</f>
        <v>917</v>
      </c>
      <c r="U143" s="329">
        <f>IFERROR(__xludf.DUMMYFUNCTION("""COMPUTED_VALUE"""),352.0)</f>
        <v>352</v>
      </c>
      <c r="V143" s="329">
        <f>IFERROR(__xludf.DUMMYFUNCTION("""COMPUTED_VALUE"""),362.0)</f>
        <v>362</v>
      </c>
      <c r="W143" s="329">
        <f>IFERROR(__xludf.DUMMYFUNCTION("""COMPUTED_VALUE"""),59.0)</f>
        <v>59</v>
      </c>
      <c r="X143" s="329">
        <f>IFERROR(__xludf.DUMMYFUNCTION("""COMPUTED_VALUE"""),33.0)</f>
        <v>33</v>
      </c>
      <c r="Y143" s="329">
        <f>IFERROR(__xludf.DUMMYFUNCTION("""COMPUTED_VALUE"""),7.0)</f>
        <v>7</v>
      </c>
      <c r="Z143" s="329">
        <f>IFERROR(__xludf.DUMMYFUNCTION("""COMPUTED_VALUE"""),2318.0)</f>
        <v>2318</v>
      </c>
      <c r="AA143" s="258">
        <f>IFERROR(__xludf.DUMMYFUNCTION("""COMPUTED_VALUE"""),2265.0)</f>
        <v>2265</v>
      </c>
      <c r="AB143" s="258">
        <f>IFERROR(__xludf.DUMMYFUNCTION("""COMPUTED_VALUE"""),2801.0)</f>
        <v>2801</v>
      </c>
      <c r="AC143" s="258">
        <f>IFERROR(__xludf.DUMMYFUNCTION("""COMPUTED_VALUE"""),5066.0)</f>
        <v>5066</v>
      </c>
      <c r="AD143" s="258">
        <f>IFERROR(__xludf.DUMMYFUNCTION("""COMPUTED_VALUE"""),91992.0)</f>
        <v>91992</v>
      </c>
      <c r="AE143" s="258">
        <f>IFERROR(__xludf.DUMMYFUNCTION("""COMPUTED_VALUE"""),2265.0)</f>
        <v>2265</v>
      </c>
      <c r="AF143" s="258">
        <f>IFERROR(__xludf.DUMMYFUNCTION("""COMPUTED_VALUE"""),68060.0)</f>
        <v>68060</v>
      </c>
      <c r="AG143" s="258">
        <f>IFERROR(__xludf.DUMMYFUNCTION("""COMPUTED_VALUE"""),2801.0)</f>
        <v>2801</v>
      </c>
      <c r="AH143" s="258">
        <f>IFERROR(__xludf.DUMMYFUNCTION("""COMPUTED_VALUE"""),23933.0)</f>
        <v>23933</v>
      </c>
    </row>
    <row r="144">
      <c r="A144" s="328">
        <f>IFERROR(__xludf.DUMMYFUNCTION("""COMPUTED_VALUE"""),44224.0)</f>
        <v>44224</v>
      </c>
      <c r="B144" s="329">
        <f>IFERROR(__xludf.DUMMYFUNCTION("""COMPUTED_VALUE"""),764.0)</f>
        <v>764</v>
      </c>
      <c r="C144" s="329">
        <f>IFERROR(__xludf.DUMMYFUNCTION("""COMPUTED_VALUE"""),777.0)</f>
        <v>777</v>
      </c>
      <c r="D144" s="329">
        <f>IFERROR(__xludf.DUMMYFUNCTION("""COMPUTED_VALUE"""),136968.0)</f>
        <v>136968</v>
      </c>
      <c r="E144" s="329">
        <f>IFERROR(__xludf.DUMMYFUNCTION("""COMPUTED_VALUE"""),22593.0)</f>
        <v>22593</v>
      </c>
      <c r="F144" s="258">
        <f>IFERROR(__xludf.DUMMYFUNCTION("""COMPUTED_VALUE"""),2367413.0)</f>
        <v>2367413</v>
      </c>
      <c r="G144" s="258">
        <f>IFERROR(__xludf.DUMMYFUNCTION("""COMPUTED_VALUE"""),23357.0)</f>
        <v>23357</v>
      </c>
      <c r="H144" s="258">
        <f>IFERROR(__xludf.DUMMYFUNCTION("""COMPUTED_VALUE"""),2504381.0)</f>
        <v>2504381</v>
      </c>
      <c r="I144" s="329">
        <f>IFERROR(__xludf.DUMMYFUNCTION("""COMPUTED_VALUE"""),638.0)</f>
        <v>638</v>
      </c>
      <c r="J144" s="329">
        <f>IFERROR(__xludf.DUMMYFUNCTION("""COMPUTED_VALUE"""),665.0)</f>
        <v>665</v>
      </c>
      <c r="K144" s="329">
        <f>IFERROR(__xludf.DUMMYFUNCTION("""COMPUTED_VALUE"""),114850.0)</f>
        <v>114850</v>
      </c>
      <c r="L144" s="329">
        <f>IFERROR(__xludf.DUMMYFUNCTION("""COMPUTED_VALUE"""),3046.0)</f>
        <v>3046</v>
      </c>
      <c r="M144" s="329">
        <f>IFERROR(__xludf.DUMMYFUNCTION("""COMPUTED_VALUE"""),612218.0)</f>
        <v>612218</v>
      </c>
      <c r="N144" s="329">
        <f>IFERROR(__xludf.DUMMYFUNCTION("""COMPUTED_VALUE"""),727068.0)</f>
        <v>727068</v>
      </c>
      <c r="O144" s="329">
        <f>IFERROR(__xludf.DUMMYFUNCTION("""COMPUTED_VALUE"""),34.0)</f>
        <v>34</v>
      </c>
      <c r="P144" s="329">
        <f>IFERROR(__xludf.DUMMYFUNCTION("""COMPUTED_VALUE"""),8144.0)</f>
        <v>8144</v>
      </c>
      <c r="Q144" s="329">
        <f>IFERROR(__xludf.DUMMYFUNCTION("""COMPUTED_VALUE"""),35.0)</f>
        <v>35</v>
      </c>
      <c r="R144" s="329">
        <f>IFERROR(__xludf.DUMMYFUNCTION("""COMPUTED_VALUE"""),6876.0)</f>
        <v>6876</v>
      </c>
      <c r="S144" s="329">
        <f>IFERROR(__xludf.DUMMYFUNCTION("""COMPUTED_VALUE"""),4.0)</f>
        <v>4</v>
      </c>
      <c r="T144" s="329">
        <f>IFERROR(__xludf.DUMMYFUNCTION("""COMPUTED_VALUE"""),921.0)</f>
        <v>921</v>
      </c>
      <c r="U144" s="329">
        <f>IFERROR(__xludf.DUMMYFUNCTION("""COMPUTED_VALUE"""),347.0)</f>
        <v>347</v>
      </c>
      <c r="V144" s="329">
        <f>IFERROR(__xludf.DUMMYFUNCTION("""COMPUTED_VALUE"""),354.0)</f>
        <v>354</v>
      </c>
      <c r="W144" s="329">
        <f>IFERROR(__xludf.DUMMYFUNCTION("""COMPUTED_VALUE"""),55.0)</f>
        <v>55</v>
      </c>
      <c r="X144" s="329">
        <f>IFERROR(__xludf.DUMMYFUNCTION("""COMPUTED_VALUE"""),31.0)</f>
        <v>31</v>
      </c>
      <c r="Y144" s="329">
        <f>IFERROR(__xludf.DUMMYFUNCTION("""COMPUTED_VALUE"""),15.0)</f>
        <v>15</v>
      </c>
      <c r="Z144" s="329">
        <f>IFERROR(__xludf.DUMMYFUNCTION("""COMPUTED_VALUE"""),2333.0)</f>
        <v>2333</v>
      </c>
      <c r="AA144" s="258">
        <f>IFERROR(__xludf.DUMMYFUNCTION("""COMPUTED_VALUE"""),2752.0)</f>
        <v>2752</v>
      </c>
      <c r="AB144" s="258">
        <f>IFERROR(__xludf.DUMMYFUNCTION("""COMPUTED_VALUE"""),1097.0)</f>
        <v>1097</v>
      </c>
      <c r="AC144" s="258">
        <f>IFERROR(__xludf.DUMMYFUNCTION("""COMPUTED_VALUE"""),3849.0)</f>
        <v>3849</v>
      </c>
      <c r="AD144" s="258">
        <f>IFERROR(__xludf.DUMMYFUNCTION("""COMPUTED_VALUE"""),95841.0)</f>
        <v>95841</v>
      </c>
      <c r="AE144" s="258">
        <f>IFERROR(__xludf.DUMMYFUNCTION("""COMPUTED_VALUE"""),2752.0)</f>
        <v>2752</v>
      </c>
      <c r="AF144" s="258">
        <f>IFERROR(__xludf.DUMMYFUNCTION("""COMPUTED_VALUE"""),70812.0)</f>
        <v>70812</v>
      </c>
      <c r="AG144" s="258">
        <f>IFERROR(__xludf.DUMMYFUNCTION("""COMPUTED_VALUE"""),1097.0)</f>
        <v>1097</v>
      </c>
      <c r="AH144" s="258">
        <f>IFERROR(__xludf.DUMMYFUNCTION("""COMPUTED_VALUE"""),25030.0)</f>
        <v>25030</v>
      </c>
    </row>
    <row r="145">
      <c r="A145" s="328">
        <f>IFERROR(__xludf.DUMMYFUNCTION("""COMPUTED_VALUE"""),44225.0)</f>
        <v>44225</v>
      </c>
      <c r="B145" s="329">
        <f>IFERROR(__xludf.DUMMYFUNCTION("""COMPUTED_VALUE"""),672.0)</f>
        <v>672</v>
      </c>
      <c r="C145" s="329">
        <f>IFERROR(__xludf.DUMMYFUNCTION("""COMPUTED_VALUE"""),760.0)</f>
        <v>760</v>
      </c>
      <c r="D145" s="329">
        <f>IFERROR(__xludf.DUMMYFUNCTION("""COMPUTED_VALUE"""),137640.0)</f>
        <v>137640</v>
      </c>
      <c r="E145" s="329">
        <f>IFERROR(__xludf.DUMMYFUNCTION("""COMPUTED_VALUE"""),20067.0)</f>
        <v>20067</v>
      </c>
      <c r="F145" s="258">
        <f>IFERROR(__xludf.DUMMYFUNCTION("""COMPUTED_VALUE"""),2387480.0)</f>
        <v>2387480</v>
      </c>
      <c r="G145" s="258">
        <f>IFERROR(__xludf.DUMMYFUNCTION("""COMPUTED_VALUE"""),20739.0)</f>
        <v>20739</v>
      </c>
      <c r="H145" s="258">
        <f>IFERROR(__xludf.DUMMYFUNCTION("""COMPUTED_VALUE"""),2525120.0)</f>
        <v>2525120</v>
      </c>
      <c r="I145" s="329">
        <f>IFERROR(__xludf.DUMMYFUNCTION("""COMPUTED_VALUE"""),593.0)</f>
        <v>593</v>
      </c>
      <c r="J145" s="329">
        <f>IFERROR(__xludf.DUMMYFUNCTION("""COMPUTED_VALUE"""),648.0)</f>
        <v>648</v>
      </c>
      <c r="K145" s="329">
        <f>IFERROR(__xludf.DUMMYFUNCTION("""COMPUTED_VALUE"""),115443.0)</f>
        <v>115443</v>
      </c>
      <c r="L145" s="329">
        <f>IFERROR(__xludf.DUMMYFUNCTION("""COMPUTED_VALUE"""),2517.0)</f>
        <v>2517</v>
      </c>
      <c r="M145" s="329">
        <f>IFERROR(__xludf.DUMMYFUNCTION("""COMPUTED_VALUE"""),614735.0)</f>
        <v>614735</v>
      </c>
      <c r="N145" s="329">
        <f>IFERROR(__xludf.DUMMYFUNCTION("""COMPUTED_VALUE"""),730178.0)</f>
        <v>730178</v>
      </c>
      <c r="O145" s="329">
        <f>IFERROR(__xludf.DUMMYFUNCTION("""COMPUTED_VALUE"""),41.0)</f>
        <v>41</v>
      </c>
      <c r="P145" s="329">
        <f>IFERROR(__xludf.DUMMYFUNCTION("""COMPUTED_VALUE"""),8185.0)</f>
        <v>8185</v>
      </c>
      <c r="Q145" s="329">
        <f>IFERROR(__xludf.DUMMYFUNCTION("""COMPUTED_VALUE"""),53.0)</f>
        <v>53</v>
      </c>
      <c r="R145" s="329">
        <f>IFERROR(__xludf.DUMMYFUNCTION("""COMPUTED_VALUE"""),6929.0)</f>
        <v>6929</v>
      </c>
      <c r="S145" s="329">
        <f>IFERROR(__xludf.DUMMYFUNCTION("""COMPUTED_VALUE"""),4.0)</f>
        <v>4</v>
      </c>
      <c r="T145" s="329">
        <f>IFERROR(__xludf.DUMMYFUNCTION("""COMPUTED_VALUE"""),925.0)</f>
        <v>925</v>
      </c>
      <c r="U145" s="329">
        <f>IFERROR(__xludf.DUMMYFUNCTION("""COMPUTED_VALUE"""),331.0)</f>
        <v>331</v>
      </c>
      <c r="V145" s="329">
        <f>IFERROR(__xludf.DUMMYFUNCTION("""COMPUTED_VALUE"""),343.0)</f>
        <v>343</v>
      </c>
      <c r="W145" s="329">
        <f>IFERROR(__xludf.DUMMYFUNCTION("""COMPUTED_VALUE"""),57.0)</f>
        <v>57</v>
      </c>
      <c r="X145" s="329">
        <f>IFERROR(__xludf.DUMMYFUNCTION("""COMPUTED_VALUE"""),34.0)</f>
        <v>34</v>
      </c>
      <c r="Y145" s="329">
        <f>IFERROR(__xludf.DUMMYFUNCTION("""COMPUTED_VALUE"""),7.0)</f>
        <v>7</v>
      </c>
      <c r="Z145" s="329">
        <f>IFERROR(__xludf.DUMMYFUNCTION("""COMPUTED_VALUE"""),2340.0)</f>
        <v>2340</v>
      </c>
      <c r="AA145" s="258">
        <f>IFERROR(__xludf.DUMMYFUNCTION("""COMPUTED_VALUE"""),2299.0)</f>
        <v>2299</v>
      </c>
      <c r="AB145" s="258">
        <f>IFERROR(__xludf.DUMMYFUNCTION("""COMPUTED_VALUE"""),1197.0)</f>
        <v>1197</v>
      </c>
      <c r="AC145" s="258">
        <f>IFERROR(__xludf.DUMMYFUNCTION("""COMPUTED_VALUE"""),3496.0)</f>
        <v>3496</v>
      </c>
      <c r="AD145" s="258">
        <f>IFERROR(__xludf.DUMMYFUNCTION("""COMPUTED_VALUE"""),99337.0)</f>
        <v>99337</v>
      </c>
      <c r="AE145" s="258">
        <f>IFERROR(__xludf.DUMMYFUNCTION("""COMPUTED_VALUE"""),2299.0)</f>
        <v>2299</v>
      </c>
      <c r="AF145" s="258">
        <f>IFERROR(__xludf.DUMMYFUNCTION("""COMPUTED_VALUE"""),73111.0)</f>
        <v>73111</v>
      </c>
      <c r="AG145" s="258">
        <f>IFERROR(__xludf.DUMMYFUNCTION("""COMPUTED_VALUE"""),1197.0)</f>
        <v>1197</v>
      </c>
      <c r="AH145" s="258">
        <f>IFERROR(__xludf.DUMMYFUNCTION("""COMPUTED_VALUE"""),26227.0)</f>
        <v>26227</v>
      </c>
    </row>
    <row r="146">
      <c r="A146" s="328">
        <f>IFERROR(__xludf.DUMMYFUNCTION("""COMPUTED_VALUE"""),44226.0)</f>
        <v>44226</v>
      </c>
      <c r="B146" s="329">
        <f>IFERROR(__xludf.DUMMYFUNCTION("""COMPUTED_VALUE"""),695.0)</f>
        <v>695</v>
      </c>
      <c r="C146" s="329">
        <f>IFERROR(__xludf.DUMMYFUNCTION("""COMPUTED_VALUE"""),710.0)</f>
        <v>710</v>
      </c>
      <c r="D146" s="329">
        <f>IFERROR(__xludf.DUMMYFUNCTION("""COMPUTED_VALUE"""),138335.0)</f>
        <v>138335</v>
      </c>
      <c r="E146" s="329">
        <f>IFERROR(__xludf.DUMMYFUNCTION("""COMPUTED_VALUE"""),16300.0)</f>
        <v>16300</v>
      </c>
      <c r="F146" s="258">
        <f>IFERROR(__xludf.DUMMYFUNCTION("""COMPUTED_VALUE"""),2403780.0)</f>
        <v>2403780</v>
      </c>
      <c r="G146" s="258">
        <f>IFERROR(__xludf.DUMMYFUNCTION("""COMPUTED_VALUE"""),16995.0)</f>
        <v>16995</v>
      </c>
      <c r="H146" s="258">
        <f>IFERROR(__xludf.DUMMYFUNCTION("""COMPUTED_VALUE"""),2542115.0)</f>
        <v>2542115</v>
      </c>
      <c r="I146" s="329">
        <f>IFERROR(__xludf.DUMMYFUNCTION("""COMPUTED_VALUE"""),591.0)</f>
        <v>591</v>
      </c>
      <c r="J146" s="329">
        <f>IFERROR(__xludf.DUMMYFUNCTION("""COMPUTED_VALUE"""),607.0)</f>
        <v>607</v>
      </c>
      <c r="K146" s="329">
        <f>IFERROR(__xludf.DUMMYFUNCTION("""COMPUTED_VALUE"""),116034.0)</f>
        <v>116034</v>
      </c>
      <c r="L146" s="329">
        <f>IFERROR(__xludf.DUMMYFUNCTION("""COMPUTED_VALUE"""),2285.0)</f>
        <v>2285</v>
      </c>
      <c r="M146" s="329">
        <f>IFERROR(__xludf.DUMMYFUNCTION("""COMPUTED_VALUE"""),617020.0)</f>
        <v>617020</v>
      </c>
      <c r="N146" s="329">
        <f>IFERROR(__xludf.DUMMYFUNCTION("""COMPUTED_VALUE"""),733054.0)</f>
        <v>733054</v>
      </c>
      <c r="O146" s="329">
        <f>IFERROR(__xludf.DUMMYFUNCTION("""COMPUTED_VALUE"""),39.0)</f>
        <v>39</v>
      </c>
      <c r="P146" s="329">
        <f>IFERROR(__xludf.DUMMYFUNCTION("""COMPUTED_VALUE"""),8224.0)</f>
        <v>8224</v>
      </c>
      <c r="Q146" s="329">
        <f>IFERROR(__xludf.DUMMYFUNCTION("""COMPUTED_VALUE"""),30.0)</f>
        <v>30</v>
      </c>
      <c r="R146" s="329">
        <f>IFERROR(__xludf.DUMMYFUNCTION("""COMPUTED_VALUE"""),6959.0)</f>
        <v>6959</v>
      </c>
      <c r="S146" s="329">
        <f>IFERROR(__xludf.DUMMYFUNCTION("""COMPUTED_VALUE"""),4.0)</f>
        <v>4</v>
      </c>
      <c r="T146" s="329">
        <f>IFERROR(__xludf.DUMMYFUNCTION("""COMPUTED_VALUE"""),929.0)</f>
        <v>929</v>
      </c>
      <c r="U146" s="329">
        <f>IFERROR(__xludf.DUMMYFUNCTION("""COMPUTED_VALUE"""),336.0)</f>
        <v>336</v>
      </c>
      <c r="V146" s="329">
        <f>IFERROR(__xludf.DUMMYFUNCTION("""COMPUTED_VALUE"""),338.0)</f>
        <v>338</v>
      </c>
      <c r="W146" s="329">
        <f>IFERROR(__xludf.DUMMYFUNCTION("""COMPUTED_VALUE"""),52.0)</f>
        <v>52</v>
      </c>
      <c r="X146" s="329">
        <f>IFERROR(__xludf.DUMMYFUNCTION("""COMPUTED_VALUE"""),31.0)</f>
        <v>31</v>
      </c>
      <c r="Y146" s="329">
        <f>IFERROR(__xludf.DUMMYFUNCTION("""COMPUTED_VALUE"""),9.0)</f>
        <v>9</v>
      </c>
      <c r="Z146" s="329">
        <f>IFERROR(__xludf.DUMMYFUNCTION("""COMPUTED_VALUE"""),2349.0)</f>
        <v>2349</v>
      </c>
      <c r="AA146" s="258">
        <f>IFERROR(__xludf.DUMMYFUNCTION("""COMPUTED_VALUE"""),3558.0)</f>
        <v>3558</v>
      </c>
      <c r="AB146" s="258">
        <f>IFERROR(__xludf.DUMMYFUNCTION("""COMPUTED_VALUE"""),2109.0)</f>
        <v>2109</v>
      </c>
      <c r="AC146" s="258">
        <f>IFERROR(__xludf.DUMMYFUNCTION("""COMPUTED_VALUE"""),5667.0)</f>
        <v>5667</v>
      </c>
      <c r="AD146" s="258">
        <f>IFERROR(__xludf.DUMMYFUNCTION("""COMPUTED_VALUE"""),105004.0)</f>
        <v>105004</v>
      </c>
      <c r="AE146" s="258">
        <f>IFERROR(__xludf.DUMMYFUNCTION("""COMPUTED_VALUE"""),3558.0)</f>
        <v>3558</v>
      </c>
      <c r="AF146" s="258">
        <f>IFERROR(__xludf.DUMMYFUNCTION("""COMPUTED_VALUE"""),76669.0)</f>
        <v>76669</v>
      </c>
      <c r="AG146" s="258">
        <f>IFERROR(__xludf.DUMMYFUNCTION("""COMPUTED_VALUE"""),2109.0)</f>
        <v>2109</v>
      </c>
      <c r="AH146" s="258">
        <f>IFERROR(__xludf.DUMMYFUNCTION("""COMPUTED_VALUE"""),28336.0)</f>
        <v>28336</v>
      </c>
    </row>
    <row r="147">
      <c r="A147" s="328">
        <f>IFERROR(__xludf.DUMMYFUNCTION("""COMPUTED_VALUE"""),44227.0)</f>
        <v>44227</v>
      </c>
      <c r="B147" s="329">
        <f>IFERROR(__xludf.DUMMYFUNCTION("""COMPUTED_VALUE"""),361.0)</f>
        <v>361</v>
      </c>
      <c r="C147" s="329">
        <f>IFERROR(__xludf.DUMMYFUNCTION("""COMPUTED_VALUE"""),576.0)</f>
        <v>576</v>
      </c>
      <c r="D147" s="329">
        <f>IFERROR(__xludf.DUMMYFUNCTION("""COMPUTED_VALUE"""),138696.0)</f>
        <v>138696</v>
      </c>
      <c r="E147" s="329">
        <f>IFERROR(__xludf.DUMMYFUNCTION("""COMPUTED_VALUE"""),8373.0)</f>
        <v>8373</v>
      </c>
      <c r="F147" s="258">
        <f>IFERROR(__xludf.DUMMYFUNCTION("""COMPUTED_VALUE"""),2412153.0)</f>
        <v>2412153</v>
      </c>
      <c r="G147" s="258">
        <f>IFERROR(__xludf.DUMMYFUNCTION("""COMPUTED_VALUE"""),8734.0)</f>
        <v>8734</v>
      </c>
      <c r="H147" s="258">
        <f>IFERROR(__xludf.DUMMYFUNCTION("""COMPUTED_VALUE"""),2550849.0)</f>
        <v>2550849</v>
      </c>
      <c r="I147" s="329">
        <f>IFERROR(__xludf.DUMMYFUNCTION("""COMPUTED_VALUE"""),322.0)</f>
        <v>322</v>
      </c>
      <c r="J147" s="329">
        <f>IFERROR(__xludf.DUMMYFUNCTION("""COMPUTED_VALUE"""),502.0)</f>
        <v>502</v>
      </c>
      <c r="K147" s="329">
        <f>IFERROR(__xludf.DUMMYFUNCTION("""COMPUTED_VALUE"""),116356.0)</f>
        <v>116356</v>
      </c>
      <c r="L147" s="329">
        <f>IFERROR(__xludf.DUMMYFUNCTION("""COMPUTED_VALUE"""),1146.0)</f>
        <v>1146</v>
      </c>
      <c r="M147" s="329">
        <f>IFERROR(__xludf.DUMMYFUNCTION("""COMPUTED_VALUE"""),618166.0)</f>
        <v>618166</v>
      </c>
      <c r="N147" s="329">
        <f>IFERROR(__xludf.DUMMYFUNCTION("""COMPUTED_VALUE"""),734522.0)</f>
        <v>734522</v>
      </c>
      <c r="O147" s="329">
        <f>IFERROR(__xludf.DUMMYFUNCTION("""COMPUTED_VALUE"""),36.0)</f>
        <v>36</v>
      </c>
      <c r="P147" s="329">
        <f>IFERROR(__xludf.DUMMYFUNCTION("""COMPUTED_VALUE"""),8260.0)</f>
        <v>8260</v>
      </c>
      <c r="Q147" s="329">
        <f>IFERROR(__xludf.DUMMYFUNCTION("""COMPUTED_VALUE"""),36.0)</f>
        <v>36</v>
      </c>
      <c r="R147" s="329">
        <f>IFERROR(__xludf.DUMMYFUNCTION("""COMPUTED_VALUE"""),6995.0)</f>
        <v>6995</v>
      </c>
      <c r="S147" s="329">
        <f>IFERROR(__xludf.DUMMYFUNCTION("""COMPUTED_VALUE"""),2.0)</f>
        <v>2</v>
      </c>
      <c r="T147" s="329">
        <f>IFERROR(__xludf.DUMMYFUNCTION("""COMPUTED_VALUE"""),931.0)</f>
        <v>931</v>
      </c>
      <c r="U147" s="329">
        <f>IFERROR(__xludf.DUMMYFUNCTION("""COMPUTED_VALUE"""),334.0)</f>
        <v>334</v>
      </c>
      <c r="V147" s="329">
        <f>IFERROR(__xludf.DUMMYFUNCTION("""COMPUTED_VALUE"""),334.0)</f>
        <v>334</v>
      </c>
      <c r="W147" s="329">
        <f>IFERROR(__xludf.DUMMYFUNCTION("""COMPUTED_VALUE"""),46.0)</f>
        <v>46</v>
      </c>
      <c r="X147" s="329">
        <f>IFERROR(__xludf.DUMMYFUNCTION("""COMPUTED_VALUE"""),26.0)</f>
        <v>26</v>
      </c>
      <c r="Y147" s="329">
        <f>IFERROR(__xludf.DUMMYFUNCTION("""COMPUTED_VALUE"""),8.0)</f>
        <v>8</v>
      </c>
      <c r="Z147" s="329">
        <f>IFERROR(__xludf.DUMMYFUNCTION("""COMPUTED_VALUE"""),2357.0)</f>
        <v>2357</v>
      </c>
      <c r="AA147" s="258">
        <f>IFERROR(__xludf.DUMMYFUNCTION("""COMPUTED_VALUE"""),2327.0)</f>
        <v>2327</v>
      </c>
      <c r="AB147" s="258">
        <f>IFERROR(__xludf.DUMMYFUNCTION("""COMPUTED_VALUE"""),392.0)</f>
        <v>392</v>
      </c>
      <c r="AC147" s="258">
        <f>IFERROR(__xludf.DUMMYFUNCTION("""COMPUTED_VALUE"""),2719.0)</f>
        <v>2719</v>
      </c>
      <c r="AD147" s="258">
        <f>IFERROR(__xludf.DUMMYFUNCTION("""COMPUTED_VALUE"""),107723.0)</f>
        <v>107723</v>
      </c>
      <c r="AE147" s="258">
        <f>IFERROR(__xludf.DUMMYFUNCTION("""COMPUTED_VALUE"""),2327.0)</f>
        <v>2327</v>
      </c>
      <c r="AF147" s="258">
        <f>IFERROR(__xludf.DUMMYFUNCTION("""COMPUTED_VALUE"""),78996.0)</f>
        <v>78996</v>
      </c>
      <c r="AG147" s="258">
        <f>IFERROR(__xludf.DUMMYFUNCTION("""COMPUTED_VALUE"""),392.0)</f>
        <v>392</v>
      </c>
      <c r="AH147" s="258">
        <f>IFERROR(__xludf.DUMMYFUNCTION("""COMPUTED_VALUE"""),28728.0)</f>
        <v>28728</v>
      </c>
    </row>
    <row r="148">
      <c r="A148" s="328">
        <f>IFERROR(__xludf.DUMMYFUNCTION("""COMPUTED_VALUE"""),44228.0)</f>
        <v>44228</v>
      </c>
      <c r="B148" s="329">
        <f>IFERROR(__xludf.DUMMYFUNCTION("""COMPUTED_VALUE"""),238.0)</f>
        <v>238</v>
      </c>
      <c r="C148" s="329">
        <f>IFERROR(__xludf.DUMMYFUNCTION("""COMPUTED_VALUE"""),431.0)</f>
        <v>431</v>
      </c>
      <c r="D148" s="329">
        <f>IFERROR(__xludf.DUMMYFUNCTION("""COMPUTED_VALUE"""),138934.0)</f>
        <v>138934</v>
      </c>
      <c r="E148" s="329">
        <f>IFERROR(__xludf.DUMMYFUNCTION("""COMPUTED_VALUE"""),7378.0)</f>
        <v>7378</v>
      </c>
      <c r="F148" s="258">
        <f>IFERROR(__xludf.DUMMYFUNCTION("""COMPUTED_VALUE"""),2419531.0)</f>
        <v>2419531</v>
      </c>
      <c r="G148" s="258">
        <f>IFERROR(__xludf.DUMMYFUNCTION("""COMPUTED_VALUE"""),7616.0)</f>
        <v>7616</v>
      </c>
      <c r="H148" s="258">
        <f>IFERROR(__xludf.DUMMYFUNCTION("""COMPUTED_VALUE"""),2558465.0)</f>
        <v>2558465</v>
      </c>
      <c r="I148" s="329">
        <f>IFERROR(__xludf.DUMMYFUNCTION("""COMPUTED_VALUE"""),204.0)</f>
        <v>204</v>
      </c>
      <c r="J148" s="329">
        <f>IFERROR(__xludf.DUMMYFUNCTION("""COMPUTED_VALUE"""),372.0)</f>
        <v>372</v>
      </c>
      <c r="K148" s="329">
        <f>IFERROR(__xludf.DUMMYFUNCTION("""COMPUTED_VALUE"""),116560.0)</f>
        <v>116560</v>
      </c>
      <c r="L148" s="329">
        <f>IFERROR(__xludf.DUMMYFUNCTION("""COMPUTED_VALUE"""),670.0)</f>
        <v>670</v>
      </c>
      <c r="M148" s="329">
        <f>IFERROR(__xludf.DUMMYFUNCTION("""COMPUTED_VALUE"""),618836.0)</f>
        <v>618836</v>
      </c>
      <c r="N148" s="329">
        <f>IFERROR(__xludf.DUMMYFUNCTION("""COMPUTED_VALUE"""),735396.0)</f>
        <v>735396</v>
      </c>
      <c r="O148" s="329">
        <f>IFERROR(__xludf.DUMMYFUNCTION("""COMPUTED_VALUE"""),35.0)</f>
        <v>35</v>
      </c>
      <c r="P148" s="329">
        <f>IFERROR(__xludf.DUMMYFUNCTION("""COMPUTED_VALUE"""),8295.0)</f>
        <v>8295</v>
      </c>
      <c r="Q148" s="329">
        <f>IFERROR(__xludf.DUMMYFUNCTION("""COMPUTED_VALUE"""),39.0)</f>
        <v>39</v>
      </c>
      <c r="R148" s="329">
        <f>IFERROR(__xludf.DUMMYFUNCTION("""COMPUTED_VALUE"""),7034.0)</f>
        <v>7034</v>
      </c>
      <c r="S148" s="329">
        <f>IFERROR(__xludf.DUMMYFUNCTION("""COMPUTED_VALUE"""),7.0)</f>
        <v>7</v>
      </c>
      <c r="T148" s="329">
        <f>IFERROR(__xludf.DUMMYFUNCTION("""COMPUTED_VALUE"""),938.0)</f>
        <v>938</v>
      </c>
      <c r="U148" s="329">
        <f>IFERROR(__xludf.DUMMYFUNCTION("""COMPUTED_VALUE"""),323.0)</f>
        <v>323</v>
      </c>
      <c r="V148" s="329">
        <f>IFERROR(__xludf.DUMMYFUNCTION("""COMPUTED_VALUE"""),331.0)</f>
        <v>331</v>
      </c>
      <c r="W148" s="329">
        <f>IFERROR(__xludf.DUMMYFUNCTION("""COMPUTED_VALUE"""),44.0)</f>
        <v>44</v>
      </c>
      <c r="X148" s="329">
        <f>IFERROR(__xludf.DUMMYFUNCTION("""COMPUTED_VALUE"""),23.0)</f>
        <v>23</v>
      </c>
      <c r="Y148" s="329">
        <f>IFERROR(__xludf.DUMMYFUNCTION("""COMPUTED_VALUE"""),11.0)</f>
        <v>11</v>
      </c>
      <c r="Z148" s="329">
        <f>IFERROR(__xludf.DUMMYFUNCTION("""COMPUTED_VALUE"""),2368.0)</f>
        <v>2368</v>
      </c>
      <c r="AA148" s="258">
        <f>IFERROR(__xludf.DUMMYFUNCTION("""COMPUTED_VALUE"""),440.0)</f>
        <v>440</v>
      </c>
      <c r="AB148" s="258">
        <f>IFERROR(__xludf.DUMMYFUNCTION("""COMPUTED_VALUE"""),1036.0)</f>
        <v>1036</v>
      </c>
      <c r="AC148" s="258">
        <f>IFERROR(__xludf.DUMMYFUNCTION("""COMPUTED_VALUE"""),1476.0)</f>
        <v>1476</v>
      </c>
      <c r="AD148" s="258">
        <f>IFERROR(__xludf.DUMMYFUNCTION("""COMPUTED_VALUE"""),109199.0)</f>
        <v>109199</v>
      </c>
      <c r="AE148" s="258">
        <f>IFERROR(__xludf.DUMMYFUNCTION("""COMPUTED_VALUE"""),440.0)</f>
        <v>440</v>
      </c>
      <c r="AF148" s="258">
        <f>IFERROR(__xludf.DUMMYFUNCTION("""COMPUTED_VALUE"""),79436.0)</f>
        <v>79436</v>
      </c>
      <c r="AG148" s="258">
        <f>IFERROR(__xludf.DUMMYFUNCTION("""COMPUTED_VALUE"""),1036.0)</f>
        <v>1036</v>
      </c>
      <c r="AH148" s="258">
        <f>IFERROR(__xludf.DUMMYFUNCTION("""COMPUTED_VALUE"""),29764.0)</f>
        <v>29764</v>
      </c>
    </row>
    <row r="149">
      <c r="A149" s="328">
        <f>IFERROR(__xludf.DUMMYFUNCTION("""COMPUTED_VALUE"""),44229.0)</f>
        <v>44229</v>
      </c>
      <c r="B149" s="329">
        <f>IFERROR(__xludf.DUMMYFUNCTION("""COMPUTED_VALUE"""),603.0)</f>
        <v>603</v>
      </c>
      <c r="C149" s="329">
        <f>IFERROR(__xludf.DUMMYFUNCTION("""COMPUTED_VALUE"""),401.0)</f>
        <v>401</v>
      </c>
      <c r="D149" s="329">
        <f>IFERROR(__xludf.DUMMYFUNCTION("""COMPUTED_VALUE"""),139537.0)</f>
        <v>139537</v>
      </c>
      <c r="E149" s="329">
        <f>IFERROR(__xludf.DUMMYFUNCTION("""COMPUTED_VALUE"""),14852.0)</f>
        <v>14852</v>
      </c>
      <c r="F149" s="258">
        <f>IFERROR(__xludf.DUMMYFUNCTION("""COMPUTED_VALUE"""),2434383.0)</f>
        <v>2434383</v>
      </c>
      <c r="G149" s="258">
        <f>IFERROR(__xludf.DUMMYFUNCTION("""COMPUTED_VALUE"""),15455.0)</f>
        <v>15455</v>
      </c>
      <c r="H149" s="258">
        <f>IFERROR(__xludf.DUMMYFUNCTION("""COMPUTED_VALUE"""),2573920.0)</f>
        <v>2573920</v>
      </c>
      <c r="I149" s="329">
        <f>IFERROR(__xludf.DUMMYFUNCTION("""COMPUTED_VALUE"""),538.0)</f>
        <v>538</v>
      </c>
      <c r="J149" s="329">
        <f>IFERROR(__xludf.DUMMYFUNCTION("""COMPUTED_VALUE"""),355.0)</f>
        <v>355</v>
      </c>
      <c r="K149" s="329">
        <f>IFERROR(__xludf.DUMMYFUNCTION("""COMPUTED_VALUE"""),117098.0)</f>
        <v>117098</v>
      </c>
      <c r="L149" s="329">
        <f>IFERROR(__xludf.DUMMYFUNCTION("""COMPUTED_VALUE"""),1898.0)</f>
        <v>1898</v>
      </c>
      <c r="M149" s="329">
        <f>IFERROR(__xludf.DUMMYFUNCTION("""COMPUTED_VALUE"""),620734.0)</f>
        <v>620734</v>
      </c>
      <c r="N149" s="329">
        <f>IFERROR(__xludf.DUMMYFUNCTION("""COMPUTED_VALUE"""),737832.0)</f>
        <v>737832</v>
      </c>
      <c r="O149" s="329">
        <f>IFERROR(__xludf.DUMMYFUNCTION("""COMPUTED_VALUE"""),48.0)</f>
        <v>48</v>
      </c>
      <c r="P149" s="329">
        <f>IFERROR(__xludf.DUMMYFUNCTION("""COMPUTED_VALUE"""),8343.0)</f>
        <v>8343</v>
      </c>
      <c r="Q149" s="329">
        <f>IFERROR(__xludf.DUMMYFUNCTION("""COMPUTED_VALUE"""),48.0)</f>
        <v>48</v>
      </c>
      <c r="R149" s="329">
        <f>IFERROR(__xludf.DUMMYFUNCTION("""COMPUTED_VALUE"""),7082.0)</f>
        <v>7082</v>
      </c>
      <c r="S149" s="329">
        <f>IFERROR(__xludf.DUMMYFUNCTION("""COMPUTED_VALUE"""),5.0)</f>
        <v>5</v>
      </c>
      <c r="T149" s="329">
        <f>IFERROR(__xludf.DUMMYFUNCTION("""COMPUTED_VALUE"""),943.0)</f>
        <v>943</v>
      </c>
      <c r="U149" s="329">
        <f>IFERROR(__xludf.DUMMYFUNCTION("""COMPUTED_VALUE"""),318.0)</f>
        <v>318</v>
      </c>
      <c r="V149" s="329">
        <f>IFERROR(__xludf.DUMMYFUNCTION("""COMPUTED_VALUE"""),325.0)</f>
        <v>325</v>
      </c>
      <c r="W149" s="329">
        <f>IFERROR(__xludf.DUMMYFUNCTION("""COMPUTED_VALUE"""),47.0)</f>
        <v>47</v>
      </c>
      <c r="X149" s="329">
        <f>IFERROR(__xludf.DUMMYFUNCTION("""COMPUTED_VALUE"""),24.0)</f>
        <v>24</v>
      </c>
      <c r="Y149" s="329">
        <f>IFERROR(__xludf.DUMMYFUNCTION("""COMPUTED_VALUE"""),14.0)</f>
        <v>14</v>
      </c>
      <c r="Z149" s="329">
        <f>IFERROR(__xludf.DUMMYFUNCTION("""COMPUTED_VALUE"""),2382.0)</f>
        <v>2382</v>
      </c>
      <c r="AA149" s="258">
        <f>IFERROR(__xludf.DUMMYFUNCTION("""COMPUTED_VALUE"""),1722.0)</f>
        <v>1722</v>
      </c>
      <c r="AB149" s="258">
        <f>IFERROR(__xludf.DUMMYFUNCTION("""COMPUTED_VALUE"""),1689.0)</f>
        <v>1689</v>
      </c>
      <c r="AC149" s="258">
        <f>IFERROR(__xludf.DUMMYFUNCTION("""COMPUTED_VALUE"""),3411.0)</f>
        <v>3411</v>
      </c>
      <c r="AD149" s="258">
        <f>IFERROR(__xludf.DUMMYFUNCTION("""COMPUTED_VALUE"""),112610.0)</f>
        <v>112610</v>
      </c>
      <c r="AE149" s="258">
        <f>IFERROR(__xludf.DUMMYFUNCTION("""COMPUTED_VALUE"""),1722.0)</f>
        <v>1722</v>
      </c>
      <c r="AF149" s="258">
        <f>IFERROR(__xludf.DUMMYFUNCTION("""COMPUTED_VALUE"""),81158.0)</f>
        <v>81158</v>
      </c>
      <c r="AG149" s="258">
        <f>IFERROR(__xludf.DUMMYFUNCTION("""COMPUTED_VALUE"""),1689.0)</f>
        <v>1689</v>
      </c>
      <c r="AH149" s="258">
        <f>IFERROR(__xludf.DUMMYFUNCTION("""COMPUTED_VALUE"""),31453.0)</f>
        <v>31453</v>
      </c>
    </row>
    <row r="150">
      <c r="A150" s="328">
        <f>IFERROR(__xludf.DUMMYFUNCTION("""COMPUTED_VALUE"""),44230.0)</f>
        <v>44230</v>
      </c>
      <c r="B150" s="329">
        <f>IFERROR(__xludf.DUMMYFUNCTION("""COMPUTED_VALUE"""),750.0)</f>
        <v>750</v>
      </c>
      <c r="C150" s="329">
        <f>IFERROR(__xludf.DUMMYFUNCTION("""COMPUTED_VALUE"""),530.0)</f>
        <v>530</v>
      </c>
      <c r="D150" s="329">
        <f>IFERROR(__xludf.DUMMYFUNCTION("""COMPUTED_VALUE"""),140287.0)</f>
        <v>140287</v>
      </c>
      <c r="E150" s="329">
        <f>IFERROR(__xludf.DUMMYFUNCTION("""COMPUTED_VALUE"""),24454.0)</f>
        <v>24454</v>
      </c>
      <c r="F150" s="258">
        <f>IFERROR(__xludf.DUMMYFUNCTION("""COMPUTED_VALUE"""),2458837.0)</f>
        <v>2458837</v>
      </c>
      <c r="G150" s="258">
        <f>IFERROR(__xludf.DUMMYFUNCTION("""COMPUTED_VALUE"""),25204.0)</f>
        <v>25204</v>
      </c>
      <c r="H150" s="258">
        <f>IFERROR(__xludf.DUMMYFUNCTION("""COMPUTED_VALUE"""),2599124.0)</f>
        <v>2599124</v>
      </c>
      <c r="I150" s="329">
        <f>IFERROR(__xludf.DUMMYFUNCTION("""COMPUTED_VALUE"""),656.0)</f>
        <v>656</v>
      </c>
      <c r="J150" s="329">
        <f>IFERROR(__xludf.DUMMYFUNCTION("""COMPUTED_VALUE"""),466.0)</f>
        <v>466</v>
      </c>
      <c r="K150" s="329">
        <f>IFERROR(__xludf.DUMMYFUNCTION("""COMPUTED_VALUE"""),117754.0)</f>
        <v>117754</v>
      </c>
      <c r="L150" s="329">
        <f>IFERROR(__xludf.DUMMYFUNCTION("""COMPUTED_VALUE"""),2488.0)</f>
        <v>2488</v>
      </c>
      <c r="M150" s="329">
        <f>IFERROR(__xludf.DUMMYFUNCTION("""COMPUTED_VALUE"""),623222.0)</f>
        <v>623222</v>
      </c>
      <c r="N150" s="329">
        <f>IFERROR(__xludf.DUMMYFUNCTION("""COMPUTED_VALUE"""),740976.0)</f>
        <v>740976</v>
      </c>
      <c r="O150" s="329">
        <f>IFERROR(__xludf.DUMMYFUNCTION("""COMPUTED_VALUE"""),50.0)</f>
        <v>50</v>
      </c>
      <c r="P150" s="329">
        <f>IFERROR(__xludf.DUMMYFUNCTION("""COMPUTED_VALUE"""),8393.0)</f>
        <v>8393</v>
      </c>
      <c r="Q150" s="329">
        <f>IFERROR(__xludf.DUMMYFUNCTION("""COMPUTED_VALUE"""),46.0)</f>
        <v>46</v>
      </c>
      <c r="R150" s="329">
        <f>IFERROR(__xludf.DUMMYFUNCTION("""COMPUTED_VALUE"""),7128.0)</f>
        <v>7128</v>
      </c>
      <c r="S150" s="329">
        <f>IFERROR(__xludf.DUMMYFUNCTION("""COMPUTED_VALUE"""),5.0)</f>
        <v>5</v>
      </c>
      <c r="T150" s="329">
        <f>IFERROR(__xludf.DUMMYFUNCTION("""COMPUTED_VALUE"""),948.0)</f>
        <v>948</v>
      </c>
      <c r="U150" s="329">
        <f>IFERROR(__xludf.DUMMYFUNCTION("""COMPUTED_VALUE"""),317.0)</f>
        <v>317</v>
      </c>
      <c r="V150" s="329">
        <f>IFERROR(__xludf.DUMMYFUNCTION("""COMPUTED_VALUE"""),319.0)</f>
        <v>319</v>
      </c>
      <c r="W150" s="329">
        <f>IFERROR(__xludf.DUMMYFUNCTION("""COMPUTED_VALUE"""),47.0)</f>
        <v>47</v>
      </c>
      <c r="X150" s="329">
        <f>IFERROR(__xludf.DUMMYFUNCTION("""COMPUTED_VALUE"""),22.0)</f>
        <v>22</v>
      </c>
      <c r="Y150" s="329">
        <f>IFERROR(__xludf.DUMMYFUNCTION("""COMPUTED_VALUE"""),15.0)</f>
        <v>15</v>
      </c>
      <c r="Z150" s="329">
        <f>IFERROR(__xludf.DUMMYFUNCTION("""COMPUTED_VALUE"""),2397.0)</f>
        <v>2397</v>
      </c>
      <c r="AA150" s="258">
        <f>IFERROR(__xludf.DUMMYFUNCTION("""COMPUTED_VALUE"""),3913.0)</f>
        <v>3913</v>
      </c>
      <c r="AB150" s="258">
        <f>IFERROR(__xludf.DUMMYFUNCTION("""COMPUTED_VALUE"""),1963.0)</f>
        <v>1963</v>
      </c>
      <c r="AC150" s="258">
        <f>IFERROR(__xludf.DUMMYFUNCTION("""COMPUTED_VALUE"""),5876.0)</f>
        <v>5876</v>
      </c>
      <c r="AD150" s="258">
        <f>IFERROR(__xludf.DUMMYFUNCTION("""COMPUTED_VALUE"""),118486.0)</f>
        <v>118486</v>
      </c>
      <c r="AE150" s="258">
        <f>IFERROR(__xludf.DUMMYFUNCTION("""COMPUTED_VALUE"""),3913.0)</f>
        <v>3913</v>
      </c>
      <c r="AF150" s="258">
        <f>IFERROR(__xludf.DUMMYFUNCTION("""COMPUTED_VALUE"""),85071.0)</f>
        <v>85071</v>
      </c>
      <c r="AG150" s="258">
        <f>IFERROR(__xludf.DUMMYFUNCTION("""COMPUTED_VALUE"""),1963.0)</f>
        <v>1963</v>
      </c>
      <c r="AH150" s="258">
        <f>IFERROR(__xludf.DUMMYFUNCTION("""COMPUTED_VALUE"""),33416.0)</f>
        <v>33416</v>
      </c>
    </row>
    <row r="151">
      <c r="A151" s="328">
        <f>IFERROR(__xludf.DUMMYFUNCTION("""COMPUTED_VALUE"""),44231.0)</f>
        <v>44231</v>
      </c>
      <c r="B151" s="329">
        <f>IFERROR(__xludf.DUMMYFUNCTION("""COMPUTED_VALUE"""),708.0)</f>
        <v>708</v>
      </c>
      <c r="C151" s="329">
        <f>IFERROR(__xludf.DUMMYFUNCTION("""COMPUTED_VALUE"""),687.0)</f>
        <v>687</v>
      </c>
      <c r="D151" s="329">
        <f>IFERROR(__xludf.DUMMYFUNCTION("""COMPUTED_VALUE"""),140995.0)</f>
        <v>140995</v>
      </c>
      <c r="E151" s="329">
        <f>IFERROR(__xludf.DUMMYFUNCTION("""COMPUTED_VALUE"""),23484.0)</f>
        <v>23484</v>
      </c>
      <c r="F151" s="258">
        <f>IFERROR(__xludf.DUMMYFUNCTION("""COMPUTED_VALUE"""),2482321.0)</f>
        <v>2482321</v>
      </c>
      <c r="G151" s="258">
        <f>IFERROR(__xludf.DUMMYFUNCTION("""COMPUTED_VALUE"""),24192.0)</f>
        <v>24192</v>
      </c>
      <c r="H151" s="258">
        <f>IFERROR(__xludf.DUMMYFUNCTION("""COMPUTED_VALUE"""),2623316.0)</f>
        <v>2623316</v>
      </c>
      <c r="I151" s="329">
        <f>IFERROR(__xludf.DUMMYFUNCTION("""COMPUTED_VALUE"""),612.0)</f>
        <v>612</v>
      </c>
      <c r="J151" s="329">
        <f>IFERROR(__xludf.DUMMYFUNCTION("""COMPUTED_VALUE"""),602.0)</f>
        <v>602</v>
      </c>
      <c r="K151" s="329">
        <f>IFERROR(__xludf.DUMMYFUNCTION("""COMPUTED_VALUE"""),118366.0)</f>
        <v>118366</v>
      </c>
      <c r="L151" s="329">
        <f>IFERROR(__xludf.DUMMYFUNCTION("""COMPUTED_VALUE"""),2642.0)</f>
        <v>2642</v>
      </c>
      <c r="M151" s="329">
        <f>IFERROR(__xludf.DUMMYFUNCTION("""COMPUTED_VALUE"""),625864.0)</f>
        <v>625864</v>
      </c>
      <c r="N151" s="329">
        <f>IFERROR(__xludf.DUMMYFUNCTION("""COMPUTED_VALUE"""),744230.0)</f>
        <v>744230</v>
      </c>
      <c r="O151" s="329">
        <f>IFERROR(__xludf.DUMMYFUNCTION("""COMPUTED_VALUE"""),33.0)</f>
        <v>33</v>
      </c>
      <c r="P151" s="329">
        <f>IFERROR(__xludf.DUMMYFUNCTION("""COMPUTED_VALUE"""),8426.0)</f>
        <v>8426</v>
      </c>
      <c r="Q151" s="329">
        <f>IFERROR(__xludf.DUMMYFUNCTION("""COMPUTED_VALUE"""),48.0)</f>
        <v>48</v>
      </c>
      <c r="R151" s="329">
        <f>IFERROR(__xludf.DUMMYFUNCTION("""COMPUTED_VALUE"""),7176.0)</f>
        <v>7176</v>
      </c>
      <c r="S151" s="329">
        <f>IFERROR(__xludf.DUMMYFUNCTION("""COMPUTED_VALUE"""),0.0)</f>
        <v>0</v>
      </c>
      <c r="T151" s="329">
        <f>IFERROR(__xludf.DUMMYFUNCTION("""COMPUTED_VALUE"""),948.0)</f>
        <v>948</v>
      </c>
      <c r="U151" s="329">
        <f>IFERROR(__xludf.DUMMYFUNCTION("""COMPUTED_VALUE"""),302.0)</f>
        <v>302</v>
      </c>
      <c r="V151" s="329">
        <f>IFERROR(__xludf.DUMMYFUNCTION("""COMPUTED_VALUE"""),312.0)</f>
        <v>312</v>
      </c>
      <c r="W151" s="329">
        <f>IFERROR(__xludf.DUMMYFUNCTION("""COMPUTED_VALUE"""),48.0)</f>
        <v>48</v>
      </c>
      <c r="X151" s="329">
        <f>IFERROR(__xludf.DUMMYFUNCTION("""COMPUTED_VALUE"""),23.0)</f>
        <v>23</v>
      </c>
      <c r="Y151" s="329">
        <f>IFERROR(__xludf.DUMMYFUNCTION("""COMPUTED_VALUE"""),8.0)</f>
        <v>8</v>
      </c>
      <c r="Z151" s="329">
        <f>IFERROR(__xludf.DUMMYFUNCTION("""COMPUTED_VALUE"""),2405.0)</f>
        <v>2405</v>
      </c>
      <c r="AA151" s="258">
        <f>IFERROR(__xludf.DUMMYFUNCTION("""COMPUTED_VALUE"""),2930.0)</f>
        <v>2930</v>
      </c>
      <c r="AB151" s="258">
        <f>IFERROR(__xludf.DUMMYFUNCTION("""COMPUTED_VALUE"""),2054.0)</f>
        <v>2054</v>
      </c>
      <c r="AC151" s="258">
        <f>IFERROR(__xludf.DUMMYFUNCTION("""COMPUTED_VALUE"""),4984.0)</f>
        <v>4984</v>
      </c>
      <c r="AD151" s="258">
        <f>IFERROR(__xludf.DUMMYFUNCTION("""COMPUTED_VALUE"""),123470.0)</f>
        <v>123470</v>
      </c>
      <c r="AE151" s="258">
        <f>IFERROR(__xludf.DUMMYFUNCTION("""COMPUTED_VALUE"""),2930.0)</f>
        <v>2930</v>
      </c>
      <c r="AF151" s="258">
        <f>IFERROR(__xludf.DUMMYFUNCTION("""COMPUTED_VALUE"""),88001.0)</f>
        <v>88001</v>
      </c>
      <c r="AG151" s="258">
        <f>IFERROR(__xludf.DUMMYFUNCTION("""COMPUTED_VALUE"""),2054.0)</f>
        <v>2054</v>
      </c>
      <c r="AH151" s="258">
        <f>IFERROR(__xludf.DUMMYFUNCTION("""COMPUTED_VALUE"""),35470.0)</f>
        <v>35470</v>
      </c>
    </row>
    <row r="152">
      <c r="A152" s="328">
        <f>IFERROR(__xludf.DUMMYFUNCTION("""COMPUTED_VALUE"""),44232.0)</f>
        <v>44232</v>
      </c>
      <c r="B152" s="329">
        <f>IFERROR(__xludf.DUMMYFUNCTION("""COMPUTED_VALUE"""),613.0)</f>
        <v>613</v>
      </c>
      <c r="C152" s="329">
        <f>IFERROR(__xludf.DUMMYFUNCTION("""COMPUTED_VALUE"""),690.0)</f>
        <v>690</v>
      </c>
      <c r="D152" s="329">
        <f>IFERROR(__xludf.DUMMYFUNCTION("""COMPUTED_VALUE"""),141608.0)</f>
        <v>141608</v>
      </c>
      <c r="E152" s="329">
        <f>IFERROR(__xludf.DUMMYFUNCTION("""COMPUTED_VALUE"""),20028.0)</f>
        <v>20028</v>
      </c>
      <c r="F152" s="258">
        <f>IFERROR(__xludf.DUMMYFUNCTION("""COMPUTED_VALUE"""),2502349.0)</f>
        <v>2502349</v>
      </c>
      <c r="G152" s="258">
        <f>IFERROR(__xludf.DUMMYFUNCTION("""COMPUTED_VALUE"""),20641.0)</f>
        <v>20641</v>
      </c>
      <c r="H152" s="258">
        <f>IFERROR(__xludf.DUMMYFUNCTION("""COMPUTED_VALUE"""),2643957.0)</f>
        <v>2643957</v>
      </c>
      <c r="I152" s="329">
        <f>IFERROR(__xludf.DUMMYFUNCTION("""COMPUTED_VALUE"""),519.0)</f>
        <v>519</v>
      </c>
      <c r="J152" s="329">
        <f>IFERROR(__xludf.DUMMYFUNCTION("""COMPUTED_VALUE"""),596.0)</f>
        <v>596</v>
      </c>
      <c r="K152" s="329">
        <f>IFERROR(__xludf.DUMMYFUNCTION("""COMPUTED_VALUE"""),118885.0)</f>
        <v>118885</v>
      </c>
      <c r="L152" s="329">
        <f>IFERROR(__xludf.DUMMYFUNCTION("""COMPUTED_VALUE"""),2285.0)</f>
        <v>2285</v>
      </c>
      <c r="M152" s="329">
        <f>IFERROR(__xludf.DUMMYFUNCTION("""COMPUTED_VALUE"""),628149.0)</f>
        <v>628149</v>
      </c>
      <c r="N152" s="329">
        <f>IFERROR(__xludf.DUMMYFUNCTION("""COMPUTED_VALUE"""),747034.0)</f>
        <v>747034</v>
      </c>
      <c r="O152" s="329">
        <f>IFERROR(__xludf.DUMMYFUNCTION("""COMPUTED_VALUE"""),25.0)</f>
        <v>25</v>
      </c>
      <c r="P152" s="329">
        <f>IFERROR(__xludf.DUMMYFUNCTION("""COMPUTED_VALUE"""),8451.0)</f>
        <v>8451</v>
      </c>
      <c r="Q152" s="329">
        <f>IFERROR(__xludf.DUMMYFUNCTION("""COMPUTED_VALUE"""),41.0)</f>
        <v>41</v>
      </c>
      <c r="R152" s="329">
        <f>IFERROR(__xludf.DUMMYFUNCTION("""COMPUTED_VALUE"""),7217.0)</f>
        <v>7217</v>
      </c>
      <c r="S152" s="329">
        <f>IFERROR(__xludf.DUMMYFUNCTION("""COMPUTED_VALUE"""),3.0)</f>
        <v>3</v>
      </c>
      <c r="T152" s="329">
        <f>IFERROR(__xludf.DUMMYFUNCTION("""COMPUTED_VALUE"""),951.0)</f>
        <v>951</v>
      </c>
      <c r="U152" s="329">
        <f>IFERROR(__xludf.DUMMYFUNCTION("""COMPUTED_VALUE"""),283.0)</f>
        <v>283</v>
      </c>
      <c r="V152" s="329">
        <f>IFERROR(__xludf.DUMMYFUNCTION("""COMPUTED_VALUE"""),301.0)</f>
        <v>301</v>
      </c>
      <c r="W152" s="329">
        <f>IFERROR(__xludf.DUMMYFUNCTION("""COMPUTED_VALUE"""),51.0)</f>
        <v>51</v>
      </c>
      <c r="X152" s="329">
        <f>IFERROR(__xludf.DUMMYFUNCTION("""COMPUTED_VALUE"""),24.0)</f>
        <v>24</v>
      </c>
      <c r="Y152" s="329">
        <f>IFERROR(__xludf.DUMMYFUNCTION("""COMPUTED_VALUE"""),6.0)</f>
        <v>6</v>
      </c>
      <c r="Z152" s="329">
        <f>IFERROR(__xludf.DUMMYFUNCTION("""COMPUTED_VALUE"""),2411.0)</f>
        <v>2411</v>
      </c>
      <c r="AA152" s="258">
        <f>IFERROR(__xludf.DUMMYFUNCTION("""COMPUTED_VALUE"""),2963.0)</f>
        <v>2963</v>
      </c>
      <c r="AB152" s="258">
        <f>IFERROR(__xludf.DUMMYFUNCTION("""COMPUTED_VALUE"""),1555.0)</f>
        <v>1555</v>
      </c>
      <c r="AC152" s="258">
        <f>IFERROR(__xludf.DUMMYFUNCTION("""COMPUTED_VALUE"""),4518.0)</f>
        <v>4518</v>
      </c>
      <c r="AD152" s="258">
        <f>IFERROR(__xludf.DUMMYFUNCTION("""COMPUTED_VALUE"""),127988.0)</f>
        <v>127988</v>
      </c>
      <c r="AE152" s="258">
        <f>IFERROR(__xludf.DUMMYFUNCTION("""COMPUTED_VALUE"""),2963.0)</f>
        <v>2963</v>
      </c>
      <c r="AF152" s="258">
        <f>IFERROR(__xludf.DUMMYFUNCTION("""COMPUTED_VALUE"""),90964.0)</f>
        <v>90964</v>
      </c>
      <c r="AG152" s="258">
        <f>IFERROR(__xludf.DUMMYFUNCTION("""COMPUTED_VALUE"""),1555.0)</f>
        <v>1555</v>
      </c>
      <c r="AH152" s="258">
        <f>IFERROR(__xludf.DUMMYFUNCTION("""COMPUTED_VALUE"""),37025.0)</f>
        <v>37025</v>
      </c>
    </row>
    <row r="153">
      <c r="A153" s="328">
        <f>IFERROR(__xludf.DUMMYFUNCTION("""COMPUTED_VALUE"""),44233.0)</f>
        <v>44233</v>
      </c>
      <c r="B153" s="329">
        <f>IFERROR(__xludf.DUMMYFUNCTION("""COMPUTED_VALUE"""),413.0)</f>
        <v>413</v>
      </c>
      <c r="C153" s="329">
        <f>IFERROR(__xludf.DUMMYFUNCTION("""COMPUTED_VALUE"""),578.0)</f>
        <v>578</v>
      </c>
      <c r="D153" s="329">
        <f>IFERROR(__xludf.DUMMYFUNCTION("""COMPUTED_VALUE"""),142021.0)</f>
        <v>142021</v>
      </c>
      <c r="E153" s="329">
        <f>IFERROR(__xludf.DUMMYFUNCTION("""COMPUTED_VALUE"""),15174.0)</f>
        <v>15174</v>
      </c>
      <c r="F153" s="258">
        <f>IFERROR(__xludf.DUMMYFUNCTION("""COMPUTED_VALUE"""),2517523.0)</f>
        <v>2517523</v>
      </c>
      <c r="G153" s="258">
        <f>IFERROR(__xludf.DUMMYFUNCTION("""COMPUTED_VALUE"""),15587.0)</f>
        <v>15587</v>
      </c>
      <c r="H153" s="258">
        <f>IFERROR(__xludf.DUMMYFUNCTION("""COMPUTED_VALUE"""),2659544.0)</f>
        <v>2659544</v>
      </c>
      <c r="I153" s="329">
        <f>IFERROR(__xludf.DUMMYFUNCTION("""COMPUTED_VALUE"""),366.0)</f>
        <v>366</v>
      </c>
      <c r="J153" s="329">
        <f>IFERROR(__xludf.DUMMYFUNCTION("""COMPUTED_VALUE"""),499.0)</f>
        <v>499</v>
      </c>
      <c r="K153" s="329">
        <f>IFERROR(__xludf.DUMMYFUNCTION("""COMPUTED_VALUE"""),119251.0)</f>
        <v>119251</v>
      </c>
      <c r="L153" s="329">
        <f>IFERROR(__xludf.DUMMYFUNCTION("""COMPUTED_VALUE"""),1713.0)</f>
        <v>1713</v>
      </c>
      <c r="M153" s="329">
        <f>IFERROR(__xludf.DUMMYFUNCTION("""COMPUTED_VALUE"""),629862.0)</f>
        <v>629862</v>
      </c>
      <c r="N153" s="329">
        <f>IFERROR(__xludf.DUMMYFUNCTION("""COMPUTED_VALUE"""),749113.0)</f>
        <v>749113</v>
      </c>
      <c r="O153" s="329">
        <f>IFERROR(__xludf.DUMMYFUNCTION("""COMPUTED_VALUE"""),28.0)</f>
        <v>28</v>
      </c>
      <c r="P153" s="329">
        <f>IFERROR(__xludf.DUMMYFUNCTION("""COMPUTED_VALUE"""),8479.0)</f>
        <v>8479</v>
      </c>
      <c r="Q153" s="329">
        <f>IFERROR(__xludf.DUMMYFUNCTION("""COMPUTED_VALUE"""),28.0)</f>
        <v>28</v>
      </c>
      <c r="R153" s="329">
        <f>IFERROR(__xludf.DUMMYFUNCTION("""COMPUTED_VALUE"""),7245.0)</f>
        <v>7245</v>
      </c>
      <c r="S153" s="329">
        <f>IFERROR(__xludf.DUMMYFUNCTION("""COMPUTED_VALUE"""),3.0)</f>
        <v>3</v>
      </c>
      <c r="T153" s="329">
        <f>IFERROR(__xludf.DUMMYFUNCTION("""COMPUTED_VALUE"""),954.0)</f>
        <v>954</v>
      </c>
      <c r="U153" s="329">
        <f>IFERROR(__xludf.DUMMYFUNCTION("""COMPUTED_VALUE"""),280.0)</f>
        <v>280</v>
      </c>
      <c r="V153" s="329">
        <f>IFERROR(__xludf.DUMMYFUNCTION("""COMPUTED_VALUE"""),288.0)</f>
        <v>288</v>
      </c>
      <c r="W153" s="329">
        <f>IFERROR(__xludf.DUMMYFUNCTION("""COMPUTED_VALUE"""),52.0)</f>
        <v>52</v>
      </c>
      <c r="X153" s="329">
        <f>IFERROR(__xludf.DUMMYFUNCTION("""COMPUTED_VALUE"""),23.0)</f>
        <v>23</v>
      </c>
      <c r="Y153" s="329">
        <f>IFERROR(__xludf.DUMMYFUNCTION("""COMPUTED_VALUE"""),9.0)</f>
        <v>9</v>
      </c>
      <c r="Z153" s="329">
        <f>IFERROR(__xludf.DUMMYFUNCTION("""COMPUTED_VALUE"""),2420.0)</f>
        <v>2420</v>
      </c>
      <c r="AA153" s="258">
        <f>IFERROR(__xludf.DUMMYFUNCTION("""COMPUTED_VALUE"""),3237.0)</f>
        <v>3237</v>
      </c>
      <c r="AB153" s="258">
        <f>IFERROR(__xludf.DUMMYFUNCTION("""COMPUTED_VALUE"""),1661.0)</f>
        <v>1661</v>
      </c>
      <c r="AC153" s="258">
        <f>IFERROR(__xludf.DUMMYFUNCTION("""COMPUTED_VALUE"""),4898.0)</f>
        <v>4898</v>
      </c>
      <c r="AD153" s="258">
        <f>IFERROR(__xludf.DUMMYFUNCTION("""COMPUTED_VALUE"""),132886.0)</f>
        <v>132886</v>
      </c>
      <c r="AE153" s="258">
        <f>IFERROR(__xludf.DUMMYFUNCTION("""COMPUTED_VALUE"""),3237.0)</f>
        <v>3237</v>
      </c>
      <c r="AF153" s="258">
        <f>IFERROR(__xludf.DUMMYFUNCTION("""COMPUTED_VALUE"""),94201.0)</f>
        <v>94201</v>
      </c>
      <c r="AG153" s="258">
        <f>IFERROR(__xludf.DUMMYFUNCTION("""COMPUTED_VALUE"""),1661.0)</f>
        <v>1661</v>
      </c>
      <c r="AH153" s="258">
        <f>IFERROR(__xludf.DUMMYFUNCTION("""COMPUTED_VALUE"""),38686.0)</f>
        <v>38686</v>
      </c>
    </row>
    <row r="154">
      <c r="A154" s="328">
        <f>IFERROR(__xludf.DUMMYFUNCTION("""COMPUTED_VALUE"""),44234.0)</f>
        <v>44234</v>
      </c>
      <c r="B154" s="329">
        <f>IFERROR(__xludf.DUMMYFUNCTION("""COMPUTED_VALUE"""),240.0)</f>
        <v>240</v>
      </c>
      <c r="C154" s="329">
        <f>IFERROR(__xludf.DUMMYFUNCTION("""COMPUTED_VALUE"""),422.0)</f>
        <v>422</v>
      </c>
      <c r="D154" s="329">
        <f>IFERROR(__xludf.DUMMYFUNCTION("""COMPUTED_VALUE"""),142261.0)</f>
        <v>142261</v>
      </c>
      <c r="E154" s="329">
        <f>IFERROR(__xludf.DUMMYFUNCTION("""COMPUTED_VALUE"""),4713.0)</f>
        <v>4713</v>
      </c>
      <c r="F154" s="258">
        <f>IFERROR(__xludf.DUMMYFUNCTION("""COMPUTED_VALUE"""),2522236.0)</f>
        <v>2522236</v>
      </c>
      <c r="G154" s="258">
        <f>IFERROR(__xludf.DUMMYFUNCTION("""COMPUTED_VALUE"""),4953.0)</f>
        <v>4953</v>
      </c>
      <c r="H154" s="258">
        <f>IFERROR(__xludf.DUMMYFUNCTION("""COMPUTED_VALUE"""),2664497.0)</f>
        <v>2664497</v>
      </c>
      <c r="I154" s="329">
        <f>IFERROR(__xludf.DUMMYFUNCTION("""COMPUTED_VALUE"""),189.0)</f>
        <v>189</v>
      </c>
      <c r="J154" s="329">
        <f>IFERROR(__xludf.DUMMYFUNCTION("""COMPUTED_VALUE"""),358.0)</f>
        <v>358</v>
      </c>
      <c r="K154" s="329">
        <f>IFERROR(__xludf.DUMMYFUNCTION("""COMPUTED_VALUE"""),119440.0)</f>
        <v>119440</v>
      </c>
      <c r="L154" s="329">
        <f>IFERROR(__xludf.DUMMYFUNCTION("""COMPUTED_VALUE"""),712.0)</f>
        <v>712</v>
      </c>
      <c r="M154" s="329">
        <f>IFERROR(__xludf.DUMMYFUNCTION("""COMPUTED_VALUE"""),630574.0)</f>
        <v>630574</v>
      </c>
      <c r="N154" s="329">
        <f>IFERROR(__xludf.DUMMYFUNCTION("""COMPUTED_VALUE"""),750014.0)</f>
        <v>750014</v>
      </c>
      <c r="O154" s="329">
        <f>IFERROR(__xludf.DUMMYFUNCTION("""COMPUTED_VALUE"""),25.0)</f>
        <v>25</v>
      </c>
      <c r="P154" s="329">
        <f>IFERROR(__xludf.DUMMYFUNCTION("""COMPUTED_VALUE"""),8504.0)</f>
        <v>8504</v>
      </c>
      <c r="Q154" s="329">
        <f>IFERROR(__xludf.DUMMYFUNCTION("""COMPUTED_VALUE"""),22.0)</f>
        <v>22</v>
      </c>
      <c r="R154" s="329">
        <f>IFERROR(__xludf.DUMMYFUNCTION("""COMPUTED_VALUE"""),7267.0)</f>
        <v>7267</v>
      </c>
      <c r="S154" s="329">
        <f>IFERROR(__xludf.DUMMYFUNCTION("""COMPUTED_VALUE"""),7.0)</f>
        <v>7</v>
      </c>
      <c r="T154" s="329">
        <f>IFERROR(__xludf.DUMMYFUNCTION("""COMPUTED_VALUE"""),961.0)</f>
        <v>961</v>
      </c>
      <c r="U154" s="329">
        <f>IFERROR(__xludf.DUMMYFUNCTION("""COMPUTED_VALUE"""),276.0)</f>
        <v>276</v>
      </c>
      <c r="V154" s="329">
        <f>IFERROR(__xludf.DUMMYFUNCTION("""COMPUTED_VALUE"""),280.0)</f>
        <v>280</v>
      </c>
      <c r="W154" s="329">
        <f>IFERROR(__xludf.DUMMYFUNCTION("""COMPUTED_VALUE"""),49.0)</f>
        <v>49</v>
      </c>
      <c r="X154" s="329">
        <f>IFERROR(__xludf.DUMMYFUNCTION("""COMPUTED_VALUE"""),24.0)</f>
        <v>24</v>
      </c>
      <c r="Y154" s="329">
        <f>IFERROR(__xludf.DUMMYFUNCTION("""COMPUTED_VALUE"""),14.0)</f>
        <v>14</v>
      </c>
      <c r="Z154" s="329">
        <f>IFERROR(__xludf.DUMMYFUNCTION("""COMPUTED_VALUE"""),2434.0)</f>
        <v>2434</v>
      </c>
      <c r="AA154" s="258">
        <f>IFERROR(__xludf.DUMMYFUNCTION("""COMPUTED_VALUE"""),417.0)</f>
        <v>417</v>
      </c>
      <c r="AB154" s="258">
        <f>IFERROR(__xludf.DUMMYFUNCTION("""COMPUTED_VALUE"""),445.0)</f>
        <v>445</v>
      </c>
      <c r="AC154" s="258">
        <f>IFERROR(__xludf.DUMMYFUNCTION("""COMPUTED_VALUE"""),862.0)</f>
        <v>862</v>
      </c>
      <c r="AD154" s="258">
        <f>IFERROR(__xludf.DUMMYFUNCTION("""COMPUTED_VALUE"""),133748.0)</f>
        <v>133748</v>
      </c>
      <c r="AE154" s="258">
        <f>IFERROR(__xludf.DUMMYFUNCTION("""COMPUTED_VALUE"""),417.0)</f>
        <v>417</v>
      </c>
      <c r="AF154" s="258">
        <f>IFERROR(__xludf.DUMMYFUNCTION("""COMPUTED_VALUE"""),94618.0)</f>
        <v>94618</v>
      </c>
      <c r="AG154" s="258">
        <f>IFERROR(__xludf.DUMMYFUNCTION("""COMPUTED_VALUE"""),445.0)</f>
        <v>445</v>
      </c>
      <c r="AH154" s="258">
        <f>IFERROR(__xludf.DUMMYFUNCTION("""COMPUTED_VALUE"""),39131.0)</f>
        <v>39131</v>
      </c>
    </row>
    <row r="155">
      <c r="A155" s="328">
        <f>IFERROR(__xludf.DUMMYFUNCTION("""COMPUTED_VALUE"""),44235.0)</f>
        <v>44235</v>
      </c>
      <c r="B155" s="329">
        <f>IFERROR(__xludf.DUMMYFUNCTION("""COMPUTED_VALUE"""),387.0)</f>
        <v>387</v>
      </c>
      <c r="C155" s="329">
        <f>IFERROR(__xludf.DUMMYFUNCTION("""COMPUTED_VALUE"""),347.0)</f>
        <v>347</v>
      </c>
      <c r="D155" s="329">
        <f>IFERROR(__xludf.DUMMYFUNCTION("""COMPUTED_VALUE"""),142648.0)</f>
        <v>142648</v>
      </c>
      <c r="E155" s="329">
        <f>IFERROR(__xludf.DUMMYFUNCTION("""COMPUTED_VALUE"""),13023.0)</f>
        <v>13023</v>
      </c>
      <c r="F155" s="258">
        <f>IFERROR(__xludf.DUMMYFUNCTION("""COMPUTED_VALUE"""),2535259.0)</f>
        <v>2535259</v>
      </c>
      <c r="G155" s="258">
        <f>IFERROR(__xludf.DUMMYFUNCTION("""COMPUTED_VALUE"""),13410.0)</f>
        <v>13410</v>
      </c>
      <c r="H155" s="258">
        <f>IFERROR(__xludf.DUMMYFUNCTION("""COMPUTED_VALUE"""),2677907.0)</f>
        <v>2677907</v>
      </c>
      <c r="I155" s="329">
        <f>IFERROR(__xludf.DUMMYFUNCTION("""COMPUTED_VALUE"""),338.0)</f>
        <v>338</v>
      </c>
      <c r="J155" s="329">
        <f>IFERROR(__xludf.DUMMYFUNCTION("""COMPUTED_VALUE"""),298.0)</f>
        <v>298</v>
      </c>
      <c r="K155" s="329">
        <f>IFERROR(__xludf.DUMMYFUNCTION("""COMPUTED_VALUE"""),119778.0)</f>
        <v>119778</v>
      </c>
      <c r="L155" s="329">
        <f>IFERROR(__xludf.DUMMYFUNCTION("""COMPUTED_VALUE"""),1605.0)</f>
        <v>1605</v>
      </c>
      <c r="M155" s="329">
        <f>IFERROR(__xludf.DUMMYFUNCTION("""COMPUTED_VALUE"""),632179.0)</f>
        <v>632179</v>
      </c>
      <c r="N155" s="329">
        <f>IFERROR(__xludf.DUMMYFUNCTION("""COMPUTED_VALUE"""),751957.0)</f>
        <v>751957</v>
      </c>
      <c r="O155" s="329">
        <f>IFERROR(__xludf.DUMMYFUNCTION("""COMPUTED_VALUE"""),23.0)</f>
        <v>23</v>
      </c>
      <c r="P155" s="329">
        <f>IFERROR(__xludf.DUMMYFUNCTION("""COMPUTED_VALUE"""),8527.0)</f>
        <v>8527</v>
      </c>
      <c r="Q155" s="329">
        <f>IFERROR(__xludf.DUMMYFUNCTION("""COMPUTED_VALUE"""),30.0)</f>
        <v>30</v>
      </c>
      <c r="R155" s="329">
        <f>IFERROR(__xludf.DUMMYFUNCTION("""COMPUTED_VALUE"""),7297.0)</f>
        <v>7297</v>
      </c>
      <c r="S155" s="329">
        <f>IFERROR(__xludf.DUMMYFUNCTION("""COMPUTED_VALUE"""),1.0)</f>
        <v>1</v>
      </c>
      <c r="T155" s="329">
        <f>IFERROR(__xludf.DUMMYFUNCTION("""COMPUTED_VALUE"""),962.0)</f>
        <v>962</v>
      </c>
      <c r="U155" s="329">
        <f>IFERROR(__xludf.DUMMYFUNCTION("""COMPUTED_VALUE"""),268.0)</f>
        <v>268</v>
      </c>
      <c r="V155" s="329">
        <f>IFERROR(__xludf.DUMMYFUNCTION("""COMPUTED_VALUE"""),275.0)</f>
        <v>275</v>
      </c>
      <c r="W155" s="329">
        <f>IFERROR(__xludf.DUMMYFUNCTION("""COMPUTED_VALUE"""),46.0)</f>
        <v>46</v>
      </c>
      <c r="X155" s="329">
        <f>IFERROR(__xludf.DUMMYFUNCTION("""COMPUTED_VALUE"""),23.0)</f>
        <v>23</v>
      </c>
      <c r="Y155" s="329">
        <f>IFERROR(__xludf.DUMMYFUNCTION("""COMPUTED_VALUE"""),8.0)</f>
        <v>8</v>
      </c>
      <c r="Z155" s="329">
        <f>IFERROR(__xludf.DUMMYFUNCTION("""COMPUTED_VALUE"""),2442.0)</f>
        <v>2442</v>
      </c>
      <c r="AA155" s="258">
        <f>IFERROR(__xludf.DUMMYFUNCTION("""COMPUTED_VALUE"""),1721.0)</f>
        <v>1721</v>
      </c>
      <c r="AB155" s="258">
        <f>IFERROR(__xludf.DUMMYFUNCTION("""COMPUTED_VALUE"""),1388.0)</f>
        <v>1388</v>
      </c>
      <c r="AC155" s="258">
        <f>IFERROR(__xludf.DUMMYFUNCTION("""COMPUTED_VALUE"""),3109.0)</f>
        <v>3109</v>
      </c>
      <c r="AD155" s="258">
        <f>IFERROR(__xludf.DUMMYFUNCTION("""COMPUTED_VALUE"""),136857.0)</f>
        <v>136857</v>
      </c>
      <c r="AE155" s="258">
        <f>IFERROR(__xludf.DUMMYFUNCTION("""COMPUTED_VALUE"""),1721.0)</f>
        <v>1721</v>
      </c>
      <c r="AF155" s="258">
        <f>IFERROR(__xludf.DUMMYFUNCTION("""COMPUTED_VALUE"""),96339.0)</f>
        <v>96339</v>
      </c>
      <c r="AG155" s="258">
        <f>IFERROR(__xludf.DUMMYFUNCTION("""COMPUTED_VALUE"""),1388.0)</f>
        <v>1388</v>
      </c>
      <c r="AH155" s="258">
        <f>IFERROR(__xludf.DUMMYFUNCTION("""COMPUTED_VALUE"""),40519.0)</f>
        <v>40519</v>
      </c>
    </row>
    <row r="156">
      <c r="A156" s="328">
        <f>IFERROR(__xludf.DUMMYFUNCTION("""COMPUTED_VALUE"""),44236.0)</f>
        <v>44236</v>
      </c>
      <c r="B156" s="329">
        <f>IFERROR(__xludf.DUMMYFUNCTION("""COMPUTED_VALUE"""),563.0)</f>
        <v>563</v>
      </c>
      <c r="C156" s="329">
        <f>IFERROR(__xludf.DUMMYFUNCTION("""COMPUTED_VALUE"""),397.0)</f>
        <v>397</v>
      </c>
      <c r="D156" s="329">
        <f>IFERROR(__xludf.DUMMYFUNCTION("""COMPUTED_VALUE"""),143211.0)</f>
        <v>143211</v>
      </c>
      <c r="E156" s="329">
        <f>IFERROR(__xludf.DUMMYFUNCTION("""COMPUTED_VALUE"""),17930.0)</f>
        <v>17930</v>
      </c>
      <c r="F156" s="258">
        <f>IFERROR(__xludf.DUMMYFUNCTION("""COMPUTED_VALUE"""),2553189.0)</f>
        <v>2553189</v>
      </c>
      <c r="G156" s="258">
        <f>IFERROR(__xludf.DUMMYFUNCTION("""COMPUTED_VALUE"""),18493.0)</f>
        <v>18493</v>
      </c>
      <c r="H156" s="258">
        <f>IFERROR(__xludf.DUMMYFUNCTION("""COMPUTED_VALUE"""),2696400.0)</f>
        <v>2696400</v>
      </c>
      <c r="I156" s="329">
        <f>IFERROR(__xludf.DUMMYFUNCTION("""COMPUTED_VALUE"""),493.0)</f>
        <v>493</v>
      </c>
      <c r="J156" s="329">
        <f>IFERROR(__xludf.DUMMYFUNCTION("""COMPUTED_VALUE"""),340.0)</f>
        <v>340</v>
      </c>
      <c r="K156" s="329">
        <f>IFERROR(__xludf.DUMMYFUNCTION("""COMPUTED_VALUE"""),120271.0)</f>
        <v>120271</v>
      </c>
      <c r="L156" s="329">
        <f>IFERROR(__xludf.DUMMYFUNCTION("""COMPUTED_VALUE"""),1766.0)</f>
        <v>1766</v>
      </c>
      <c r="M156" s="329">
        <f>IFERROR(__xludf.DUMMYFUNCTION("""COMPUTED_VALUE"""),633945.0)</f>
        <v>633945</v>
      </c>
      <c r="N156" s="329">
        <f>IFERROR(__xludf.DUMMYFUNCTION("""COMPUTED_VALUE"""),754216.0)</f>
        <v>754216</v>
      </c>
      <c r="O156" s="329">
        <f>IFERROR(__xludf.DUMMYFUNCTION("""COMPUTED_VALUE"""),34.0)</f>
        <v>34</v>
      </c>
      <c r="P156" s="329">
        <f>IFERROR(__xludf.DUMMYFUNCTION("""COMPUTED_VALUE"""),8561.0)</f>
        <v>8561</v>
      </c>
      <c r="Q156" s="329">
        <f>IFERROR(__xludf.DUMMYFUNCTION("""COMPUTED_VALUE"""),35.0)</f>
        <v>35</v>
      </c>
      <c r="R156" s="329">
        <f>IFERROR(__xludf.DUMMYFUNCTION("""COMPUTED_VALUE"""),7332.0)</f>
        <v>7332</v>
      </c>
      <c r="S156" s="329">
        <f>IFERROR(__xludf.DUMMYFUNCTION("""COMPUTED_VALUE"""),4.0)</f>
        <v>4</v>
      </c>
      <c r="T156" s="329">
        <f>IFERROR(__xludf.DUMMYFUNCTION("""COMPUTED_VALUE"""),966.0)</f>
        <v>966</v>
      </c>
      <c r="U156" s="329">
        <f>IFERROR(__xludf.DUMMYFUNCTION("""COMPUTED_VALUE"""),263.0)</f>
        <v>263</v>
      </c>
      <c r="V156" s="329">
        <f>IFERROR(__xludf.DUMMYFUNCTION("""COMPUTED_VALUE"""),269.0)</f>
        <v>269</v>
      </c>
      <c r="W156" s="329">
        <f>IFERROR(__xludf.DUMMYFUNCTION("""COMPUTED_VALUE"""),48.0)</f>
        <v>48</v>
      </c>
      <c r="X156" s="329">
        <f>IFERROR(__xludf.DUMMYFUNCTION("""COMPUTED_VALUE"""),24.0)</f>
        <v>24</v>
      </c>
      <c r="Y156" s="329">
        <f>IFERROR(__xludf.DUMMYFUNCTION("""COMPUTED_VALUE"""),7.0)</f>
        <v>7</v>
      </c>
      <c r="Z156" s="329">
        <f>IFERROR(__xludf.DUMMYFUNCTION("""COMPUTED_VALUE"""),2449.0)</f>
        <v>2449</v>
      </c>
      <c r="AA156" s="258">
        <f>IFERROR(__xludf.DUMMYFUNCTION("""COMPUTED_VALUE"""),2712.0)</f>
        <v>2712</v>
      </c>
      <c r="AB156" s="258">
        <f>IFERROR(__xludf.DUMMYFUNCTION("""COMPUTED_VALUE"""),1399.0)</f>
        <v>1399</v>
      </c>
      <c r="AC156" s="258">
        <f>IFERROR(__xludf.DUMMYFUNCTION("""COMPUTED_VALUE"""),4111.0)</f>
        <v>4111</v>
      </c>
      <c r="AD156" s="258">
        <f>IFERROR(__xludf.DUMMYFUNCTION("""COMPUTED_VALUE"""),140968.0)</f>
        <v>140968</v>
      </c>
      <c r="AE156" s="258">
        <f>IFERROR(__xludf.DUMMYFUNCTION("""COMPUTED_VALUE"""),2712.0)</f>
        <v>2712</v>
      </c>
      <c r="AF156" s="258">
        <f>IFERROR(__xludf.DUMMYFUNCTION("""COMPUTED_VALUE"""),99051.0)</f>
        <v>99051</v>
      </c>
      <c r="AG156" s="258">
        <f>IFERROR(__xludf.DUMMYFUNCTION("""COMPUTED_VALUE"""),1399.0)</f>
        <v>1399</v>
      </c>
      <c r="AH156" s="258">
        <f>IFERROR(__xludf.DUMMYFUNCTION("""COMPUTED_VALUE"""),41918.0)</f>
        <v>41918</v>
      </c>
    </row>
    <row r="157">
      <c r="A157" s="328">
        <f>IFERROR(__xludf.DUMMYFUNCTION("""COMPUTED_VALUE"""),44237.0)</f>
        <v>44237</v>
      </c>
      <c r="B157" s="329">
        <f>IFERROR(__xludf.DUMMYFUNCTION("""COMPUTED_VALUE"""),549.0)</f>
        <v>549</v>
      </c>
      <c r="C157" s="329">
        <f>IFERROR(__xludf.DUMMYFUNCTION("""COMPUTED_VALUE"""),500.0)</f>
        <v>500</v>
      </c>
      <c r="D157" s="329">
        <f>IFERROR(__xludf.DUMMYFUNCTION("""COMPUTED_VALUE"""),143760.0)</f>
        <v>143760</v>
      </c>
      <c r="E157" s="329">
        <f>IFERROR(__xludf.DUMMYFUNCTION("""COMPUTED_VALUE"""),23770.0)</f>
        <v>23770</v>
      </c>
      <c r="F157" s="258">
        <f>IFERROR(__xludf.DUMMYFUNCTION("""COMPUTED_VALUE"""),2576959.0)</f>
        <v>2576959</v>
      </c>
      <c r="G157" s="258">
        <f>IFERROR(__xludf.DUMMYFUNCTION("""COMPUTED_VALUE"""),24319.0)</f>
        <v>24319</v>
      </c>
      <c r="H157" s="258">
        <f>IFERROR(__xludf.DUMMYFUNCTION("""COMPUTED_VALUE"""),2720719.0)</f>
        <v>2720719</v>
      </c>
      <c r="I157" s="329">
        <f>IFERROR(__xludf.DUMMYFUNCTION("""COMPUTED_VALUE"""),472.0)</f>
        <v>472</v>
      </c>
      <c r="J157" s="329">
        <f>IFERROR(__xludf.DUMMYFUNCTION("""COMPUTED_VALUE"""),434.0)</f>
        <v>434</v>
      </c>
      <c r="K157" s="329">
        <f>IFERROR(__xludf.DUMMYFUNCTION("""COMPUTED_VALUE"""),120743.0)</f>
        <v>120743</v>
      </c>
      <c r="L157" s="329">
        <f>IFERROR(__xludf.DUMMYFUNCTION("""COMPUTED_VALUE"""),2135.0)</f>
        <v>2135</v>
      </c>
      <c r="M157" s="329">
        <f>IFERROR(__xludf.DUMMYFUNCTION("""COMPUTED_VALUE"""),636080.0)</f>
        <v>636080</v>
      </c>
      <c r="N157" s="329">
        <f>IFERROR(__xludf.DUMMYFUNCTION("""COMPUTED_VALUE"""),756823.0)</f>
        <v>756823</v>
      </c>
      <c r="O157" s="329">
        <f>IFERROR(__xludf.DUMMYFUNCTION("""COMPUTED_VALUE"""),30.0)</f>
        <v>30</v>
      </c>
      <c r="P157" s="329">
        <f>IFERROR(__xludf.DUMMYFUNCTION("""COMPUTED_VALUE"""),8591.0)</f>
        <v>8591</v>
      </c>
      <c r="Q157" s="329">
        <f>IFERROR(__xludf.DUMMYFUNCTION("""COMPUTED_VALUE"""),44.0)</f>
        <v>44</v>
      </c>
      <c r="R157" s="329">
        <f>IFERROR(__xludf.DUMMYFUNCTION("""COMPUTED_VALUE"""),7376.0)</f>
        <v>7376</v>
      </c>
      <c r="S157" s="329">
        <f>IFERROR(__xludf.DUMMYFUNCTION("""COMPUTED_VALUE"""),6.0)</f>
        <v>6</v>
      </c>
      <c r="T157" s="329">
        <f>IFERROR(__xludf.DUMMYFUNCTION("""COMPUTED_VALUE"""),972.0)</f>
        <v>972</v>
      </c>
      <c r="U157" s="329">
        <f>IFERROR(__xludf.DUMMYFUNCTION("""COMPUTED_VALUE"""),243.0)</f>
        <v>243</v>
      </c>
      <c r="V157" s="329">
        <f>IFERROR(__xludf.DUMMYFUNCTION("""COMPUTED_VALUE"""),258.0)</f>
        <v>258</v>
      </c>
      <c r="W157" s="329">
        <f>IFERROR(__xludf.DUMMYFUNCTION("""COMPUTED_VALUE"""),44.0)</f>
        <v>44</v>
      </c>
      <c r="X157" s="329">
        <f>IFERROR(__xludf.DUMMYFUNCTION("""COMPUTED_VALUE"""),22.0)</f>
        <v>22</v>
      </c>
      <c r="Y157" s="329">
        <f>IFERROR(__xludf.DUMMYFUNCTION("""COMPUTED_VALUE"""),11.0)</f>
        <v>11</v>
      </c>
      <c r="Z157" s="329">
        <f>IFERROR(__xludf.DUMMYFUNCTION("""COMPUTED_VALUE"""),2460.0)</f>
        <v>2460</v>
      </c>
      <c r="AA157" s="258">
        <f>IFERROR(__xludf.DUMMYFUNCTION("""COMPUTED_VALUE"""),2756.0)</f>
        <v>2756</v>
      </c>
      <c r="AB157" s="258">
        <f>IFERROR(__xludf.DUMMYFUNCTION("""COMPUTED_VALUE"""),2249.0)</f>
        <v>2249</v>
      </c>
      <c r="AC157" s="258">
        <f>IFERROR(__xludf.DUMMYFUNCTION("""COMPUTED_VALUE"""),5005.0)</f>
        <v>5005</v>
      </c>
      <c r="AD157" s="258">
        <f>IFERROR(__xludf.DUMMYFUNCTION("""COMPUTED_VALUE"""),145973.0)</f>
        <v>145973</v>
      </c>
      <c r="AE157" s="258">
        <f>IFERROR(__xludf.DUMMYFUNCTION("""COMPUTED_VALUE"""),2756.0)</f>
        <v>2756</v>
      </c>
      <c r="AF157" s="258">
        <f>IFERROR(__xludf.DUMMYFUNCTION("""COMPUTED_VALUE"""),101807.0)</f>
        <v>101807</v>
      </c>
      <c r="AG157" s="258">
        <f>IFERROR(__xludf.DUMMYFUNCTION("""COMPUTED_VALUE"""),2249.0)</f>
        <v>2249</v>
      </c>
      <c r="AH157" s="258">
        <f>IFERROR(__xludf.DUMMYFUNCTION("""COMPUTED_VALUE"""),44167.0)</f>
        <v>44167</v>
      </c>
    </row>
    <row r="158">
      <c r="A158" s="328">
        <f>IFERROR(__xludf.DUMMYFUNCTION("""COMPUTED_VALUE"""),44238.0)</f>
        <v>44238</v>
      </c>
      <c r="B158" s="329">
        <f>IFERROR(__xludf.DUMMYFUNCTION("""COMPUTED_VALUE"""),478.0)</f>
        <v>478</v>
      </c>
      <c r="C158" s="329">
        <f>IFERROR(__xludf.DUMMYFUNCTION("""COMPUTED_VALUE"""),530.0)</f>
        <v>530</v>
      </c>
      <c r="D158" s="329">
        <f>IFERROR(__xludf.DUMMYFUNCTION("""COMPUTED_VALUE"""),144238.0)</f>
        <v>144238</v>
      </c>
      <c r="E158" s="329">
        <f>IFERROR(__xludf.DUMMYFUNCTION("""COMPUTED_VALUE"""),21077.0)</f>
        <v>21077</v>
      </c>
      <c r="F158" s="258">
        <f>IFERROR(__xludf.DUMMYFUNCTION("""COMPUTED_VALUE"""),2598036.0)</f>
        <v>2598036</v>
      </c>
      <c r="G158" s="258">
        <f>IFERROR(__xludf.DUMMYFUNCTION("""COMPUTED_VALUE"""),21555.0)</f>
        <v>21555</v>
      </c>
      <c r="H158" s="258">
        <f>IFERROR(__xludf.DUMMYFUNCTION("""COMPUTED_VALUE"""),2742274.0)</f>
        <v>2742274</v>
      </c>
      <c r="I158" s="329">
        <f>IFERROR(__xludf.DUMMYFUNCTION("""COMPUTED_VALUE"""),409.0)</f>
        <v>409</v>
      </c>
      <c r="J158" s="329">
        <f>IFERROR(__xludf.DUMMYFUNCTION("""COMPUTED_VALUE"""),458.0)</f>
        <v>458</v>
      </c>
      <c r="K158" s="329">
        <f>IFERROR(__xludf.DUMMYFUNCTION("""COMPUTED_VALUE"""),121152.0)</f>
        <v>121152</v>
      </c>
      <c r="L158" s="329">
        <f>IFERROR(__xludf.DUMMYFUNCTION("""COMPUTED_VALUE"""),2005.0)</f>
        <v>2005</v>
      </c>
      <c r="M158" s="329">
        <f>IFERROR(__xludf.DUMMYFUNCTION("""COMPUTED_VALUE"""),638085.0)</f>
        <v>638085</v>
      </c>
      <c r="N158" s="329">
        <f>IFERROR(__xludf.DUMMYFUNCTION("""COMPUTED_VALUE"""),759237.0)</f>
        <v>759237</v>
      </c>
      <c r="O158" s="329">
        <f>IFERROR(__xludf.DUMMYFUNCTION("""COMPUTED_VALUE"""),31.0)</f>
        <v>31</v>
      </c>
      <c r="P158" s="329">
        <f>IFERROR(__xludf.DUMMYFUNCTION("""COMPUTED_VALUE"""),8622.0)</f>
        <v>8622</v>
      </c>
      <c r="Q158" s="329">
        <f>IFERROR(__xludf.DUMMYFUNCTION("""COMPUTED_VALUE"""),34.0)</f>
        <v>34</v>
      </c>
      <c r="R158" s="329">
        <f>IFERROR(__xludf.DUMMYFUNCTION("""COMPUTED_VALUE"""),7410.0)</f>
        <v>7410</v>
      </c>
      <c r="S158" s="329">
        <f>IFERROR(__xludf.DUMMYFUNCTION("""COMPUTED_VALUE"""),4.0)</f>
        <v>4</v>
      </c>
      <c r="T158" s="329">
        <f>IFERROR(__xludf.DUMMYFUNCTION("""COMPUTED_VALUE"""),976.0)</f>
        <v>976</v>
      </c>
      <c r="U158" s="329">
        <f>IFERROR(__xludf.DUMMYFUNCTION("""COMPUTED_VALUE"""),236.0)</f>
        <v>236</v>
      </c>
      <c r="V158" s="329">
        <f>IFERROR(__xludf.DUMMYFUNCTION("""COMPUTED_VALUE"""),247.0)</f>
        <v>247</v>
      </c>
      <c r="W158" s="329">
        <f>IFERROR(__xludf.DUMMYFUNCTION("""COMPUTED_VALUE"""),43.0)</f>
        <v>43</v>
      </c>
      <c r="X158" s="329">
        <f>IFERROR(__xludf.DUMMYFUNCTION("""COMPUTED_VALUE"""),22.0)</f>
        <v>22</v>
      </c>
      <c r="Y158" s="329">
        <f>IFERROR(__xludf.DUMMYFUNCTION("""COMPUTED_VALUE"""),11.0)</f>
        <v>11</v>
      </c>
      <c r="Z158" s="329">
        <f>IFERROR(__xludf.DUMMYFUNCTION("""COMPUTED_VALUE"""),2471.0)</f>
        <v>2471</v>
      </c>
      <c r="AA158" s="258">
        <f>IFERROR(__xludf.DUMMYFUNCTION("""COMPUTED_VALUE"""),3043.0)</f>
        <v>3043</v>
      </c>
      <c r="AB158" s="258">
        <f>IFERROR(__xludf.DUMMYFUNCTION("""COMPUTED_VALUE"""),1958.0)</f>
        <v>1958</v>
      </c>
      <c r="AC158" s="258">
        <f>IFERROR(__xludf.DUMMYFUNCTION("""COMPUTED_VALUE"""),5001.0)</f>
        <v>5001</v>
      </c>
      <c r="AD158" s="258">
        <f>IFERROR(__xludf.DUMMYFUNCTION("""COMPUTED_VALUE"""),150974.0)</f>
        <v>150974</v>
      </c>
      <c r="AE158" s="258">
        <f>IFERROR(__xludf.DUMMYFUNCTION("""COMPUTED_VALUE"""),3043.0)</f>
        <v>3043</v>
      </c>
      <c r="AF158" s="258">
        <f>IFERROR(__xludf.DUMMYFUNCTION("""COMPUTED_VALUE"""),104850.0)</f>
        <v>104850</v>
      </c>
      <c r="AG158" s="258">
        <f>IFERROR(__xludf.DUMMYFUNCTION("""COMPUTED_VALUE"""),1958.0)</f>
        <v>1958</v>
      </c>
      <c r="AH158" s="258">
        <f>IFERROR(__xludf.DUMMYFUNCTION("""COMPUTED_VALUE"""),46125.0)</f>
        <v>46125</v>
      </c>
    </row>
    <row r="159">
      <c r="A159" s="328">
        <f>IFERROR(__xludf.DUMMYFUNCTION("""COMPUTED_VALUE"""),44239.0)</f>
        <v>44239</v>
      </c>
      <c r="B159" s="329">
        <f>IFERROR(__xludf.DUMMYFUNCTION("""COMPUTED_VALUE"""),444.0)</f>
        <v>444</v>
      </c>
      <c r="C159" s="329">
        <f>IFERROR(__xludf.DUMMYFUNCTION("""COMPUTED_VALUE"""),490.0)</f>
        <v>490</v>
      </c>
      <c r="D159" s="329">
        <f>IFERROR(__xludf.DUMMYFUNCTION("""COMPUTED_VALUE"""),144682.0)</f>
        <v>144682</v>
      </c>
      <c r="E159" s="329">
        <f>IFERROR(__xludf.DUMMYFUNCTION("""COMPUTED_VALUE"""),20707.0)</f>
        <v>20707</v>
      </c>
      <c r="F159" s="258">
        <f>IFERROR(__xludf.DUMMYFUNCTION("""COMPUTED_VALUE"""),2618743.0)</f>
        <v>2618743</v>
      </c>
      <c r="G159" s="258">
        <f>IFERROR(__xludf.DUMMYFUNCTION("""COMPUTED_VALUE"""),21151.0)</f>
        <v>21151</v>
      </c>
      <c r="H159" s="258">
        <f>IFERROR(__xludf.DUMMYFUNCTION("""COMPUTED_VALUE"""),2763425.0)</f>
        <v>2763425</v>
      </c>
      <c r="I159" s="329">
        <f>IFERROR(__xludf.DUMMYFUNCTION("""COMPUTED_VALUE"""),383.0)</f>
        <v>383</v>
      </c>
      <c r="J159" s="329">
        <f>IFERROR(__xludf.DUMMYFUNCTION("""COMPUTED_VALUE"""),421.0)</f>
        <v>421</v>
      </c>
      <c r="K159" s="329">
        <f>IFERROR(__xludf.DUMMYFUNCTION("""COMPUTED_VALUE"""),121535.0)</f>
        <v>121535</v>
      </c>
      <c r="L159" s="329">
        <f>IFERROR(__xludf.DUMMYFUNCTION("""COMPUTED_VALUE"""),1934.0)</f>
        <v>1934</v>
      </c>
      <c r="M159" s="329">
        <f>IFERROR(__xludf.DUMMYFUNCTION("""COMPUTED_VALUE"""),640019.0)</f>
        <v>640019</v>
      </c>
      <c r="N159" s="329">
        <f>IFERROR(__xludf.DUMMYFUNCTION("""COMPUTED_VALUE"""),761554.0)</f>
        <v>761554</v>
      </c>
      <c r="O159" s="329">
        <f>IFERROR(__xludf.DUMMYFUNCTION("""COMPUTED_VALUE"""),19.0)</f>
        <v>19</v>
      </c>
      <c r="P159" s="329">
        <f>IFERROR(__xludf.DUMMYFUNCTION("""COMPUTED_VALUE"""),8641.0)</f>
        <v>8641</v>
      </c>
      <c r="Q159" s="329">
        <f>IFERROR(__xludf.DUMMYFUNCTION("""COMPUTED_VALUE"""),27.0)</f>
        <v>27</v>
      </c>
      <c r="R159" s="329">
        <f>IFERROR(__xludf.DUMMYFUNCTION("""COMPUTED_VALUE"""),7437.0)</f>
        <v>7437</v>
      </c>
      <c r="S159" s="329">
        <f>IFERROR(__xludf.DUMMYFUNCTION("""COMPUTED_VALUE"""),2.0)</f>
        <v>2</v>
      </c>
      <c r="T159" s="329">
        <f>IFERROR(__xludf.DUMMYFUNCTION("""COMPUTED_VALUE"""),978.0)</f>
        <v>978</v>
      </c>
      <c r="U159" s="329">
        <f>IFERROR(__xludf.DUMMYFUNCTION("""COMPUTED_VALUE"""),226.0)</f>
        <v>226</v>
      </c>
      <c r="V159" s="329">
        <f>IFERROR(__xludf.DUMMYFUNCTION("""COMPUTED_VALUE"""),235.0)</f>
        <v>235</v>
      </c>
      <c r="W159" s="329">
        <f>IFERROR(__xludf.DUMMYFUNCTION("""COMPUTED_VALUE"""),41.0)</f>
        <v>41</v>
      </c>
      <c r="X159" s="329">
        <f>IFERROR(__xludf.DUMMYFUNCTION("""COMPUTED_VALUE"""),21.0)</f>
        <v>21</v>
      </c>
      <c r="Y159" s="329">
        <f>IFERROR(__xludf.DUMMYFUNCTION("""COMPUTED_VALUE"""),5.0)</f>
        <v>5</v>
      </c>
      <c r="Z159" s="329">
        <f>IFERROR(__xludf.DUMMYFUNCTION("""COMPUTED_VALUE"""),2476.0)</f>
        <v>2476</v>
      </c>
      <c r="AA159" s="258">
        <f>IFERROR(__xludf.DUMMYFUNCTION("""COMPUTED_VALUE"""),3401.0)</f>
        <v>3401</v>
      </c>
      <c r="AB159" s="258">
        <f>IFERROR(__xludf.DUMMYFUNCTION("""COMPUTED_VALUE"""),2404.0)</f>
        <v>2404</v>
      </c>
      <c r="AC159" s="258">
        <f>IFERROR(__xludf.DUMMYFUNCTION("""COMPUTED_VALUE"""),5805.0)</f>
        <v>5805</v>
      </c>
      <c r="AD159" s="258">
        <f>IFERROR(__xludf.DUMMYFUNCTION("""COMPUTED_VALUE"""),156779.0)</f>
        <v>156779</v>
      </c>
      <c r="AE159" s="258">
        <f>IFERROR(__xludf.DUMMYFUNCTION("""COMPUTED_VALUE"""),3401.0)</f>
        <v>3401</v>
      </c>
      <c r="AF159" s="258">
        <f>IFERROR(__xludf.DUMMYFUNCTION("""COMPUTED_VALUE"""),108251.0)</f>
        <v>108251</v>
      </c>
      <c r="AG159" s="258">
        <f>IFERROR(__xludf.DUMMYFUNCTION("""COMPUTED_VALUE"""),2404.0)</f>
        <v>2404</v>
      </c>
      <c r="AH159" s="258">
        <f>IFERROR(__xludf.DUMMYFUNCTION("""COMPUTED_VALUE"""),48529.0)</f>
        <v>48529</v>
      </c>
    </row>
    <row r="160">
      <c r="A160" s="328">
        <f>IFERROR(__xludf.DUMMYFUNCTION("""COMPUTED_VALUE"""),44240.0)</f>
        <v>44240</v>
      </c>
      <c r="B160" s="329">
        <f>IFERROR(__xludf.DUMMYFUNCTION("""COMPUTED_VALUE"""),387.0)</f>
        <v>387</v>
      </c>
      <c r="C160" s="329">
        <f>IFERROR(__xludf.DUMMYFUNCTION("""COMPUTED_VALUE"""),436.0)</f>
        <v>436</v>
      </c>
      <c r="D160" s="329">
        <f>IFERROR(__xludf.DUMMYFUNCTION("""COMPUTED_VALUE"""),145069.0)</f>
        <v>145069</v>
      </c>
      <c r="E160" s="329">
        <f>IFERROR(__xludf.DUMMYFUNCTION("""COMPUTED_VALUE"""),14068.0)</f>
        <v>14068</v>
      </c>
      <c r="F160" s="258">
        <f>IFERROR(__xludf.DUMMYFUNCTION("""COMPUTED_VALUE"""),2632811.0)</f>
        <v>2632811</v>
      </c>
      <c r="G160" s="258">
        <f>IFERROR(__xludf.DUMMYFUNCTION("""COMPUTED_VALUE"""),14455.0)</f>
        <v>14455</v>
      </c>
      <c r="H160" s="258">
        <f>IFERROR(__xludf.DUMMYFUNCTION("""COMPUTED_VALUE"""),2777880.0)</f>
        <v>2777880</v>
      </c>
      <c r="I160" s="329">
        <f>IFERROR(__xludf.DUMMYFUNCTION("""COMPUTED_VALUE"""),329.0)</f>
        <v>329</v>
      </c>
      <c r="J160" s="329">
        <f>IFERROR(__xludf.DUMMYFUNCTION("""COMPUTED_VALUE"""),374.0)</f>
        <v>374</v>
      </c>
      <c r="K160" s="329">
        <f>IFERROR(__xludf.DUMMYFUNCTION("""COMPUTED_VALUE"""),121864.0)</f>
        <v>121864</v>
      </c>
      <c r="L160" s="329">
        <f>IFERROR(__xludf.DUMMYFUNCTION("""COMPUTED_VALUE"""),1579.0)</f>
        <v>1579</v>
      </c>
      <c r="M160" s="329">
        <f>IFERROR(__xludf.DUMMYFUNCTION("""COMPUTED_VALUE"""),641598.0)</f>
        <v>641598</v>
      </c>
      <c r="N160" s="329">
        <f>IFERROR(__xludf.DUMMYFUNCTION("""COMPUTED_VALUE"""),763462.0)</f>
        <v>763462</v>
      </c>
      <c r="O160" s="329">
        <f>IFERROR(__xludf.DUMMYFUNCTION("""COMPUTED_VALUE"""),22.0)</f>
        <v>22</v>
      </c>
      <c r="P160" s="329">
        <f>IFERROR(__xludf.DUMMYFUNCTION("""COMPUTED_VALUE"""),8663.0)</f>
        <v>8663</v>
      </c>
      <c r="Q160" s="329">
        <f>IFERROR(__xludf.DUMMYFUNCTION("""COMPUTED_VALUE"""),34.0)</f>
        <v>34</v>
      </c>
      <c r="R160" s="329">
        <f>IFERROR(__xludf.DUMMYFUNCTION("""COMPUTED_VALUE"""),7471.0)</f>
        <v>7471</v>
      </c>
      <c r="S160" s="329">
        <f>IFERROR(__xludf.DUMMYFUNCTION("""COMPUTED_VALUE"""),4.0)</f>
        <v>4</v>
      </c>
      <c r="T160" s="329">
        <f>IFERROR(__xludf.DUMMYFUNCTION("""COMPUTED_VALUE"""),982.0)</f>
        <v>982</v>
      </c>
      <c r="U160" s="329">
        <f>IFERROR(__xludf.DUMMYFUNCTION("""COMPUTED_VALUE"""),210.0)</f>
        <v>210</v>
      </c>
      <c r="V160" s="329">
        <f>IFERROR(__xludf.DUMMYFUNCTION("""COMPUTED_VALUE"""),224.0)</f>
        <v>224</v>
      </c>
      <c r="W160" s="329">
        <f>IFERROR(__xludf.DUMMYFUNCTION("""COMPUTED_VALUE"""),38.0)</f>
        <v>38</v>
      </c>
      <c r="X160" s="329">
        <f>IFERROR(__xludf.DUMMYFUNCTION("""COMPUTED_VALUE"""),19.0)</f>
        <v>19</v>
      </c>
      <c r="Y160" s="329">
        <f>IFERROR(__xludf.DUMMYFUNCTION("""COMPUTED_VALUE"""),10.0)</f>
        <v>10</v>
      </c>
      <c r="Z160" s="329">
        <f>IFERROR(__xludf.DUMMYFUNCTION("""COMPUTED_VALUE"""),2486.0)</f>
        <v>2486</v>
      </c>
      <c r="AA160" s="258">
        <f>IFERROR(__xludf.DUMMYFUNCTION("""COMPUTED_VALUE"""),3342.0)</f>
        <v>3342</v>
      </c>
      <c r="AB160" s="258">
        <f>IFERROR(__xludf.DUMMYFUNCTION("""COMPUTED_VALUE"""),2877.0)</f>
        <v>2877</v>
      </c>
      <c r="AC160" s="258">
        <f>IFERROR(__xludf.DUMMYFUNCTION("""COMPUTED_VALUE"""),6219.0)</f>
        <v>6219</v>
      </c>
      <c r="AD160" s="258">
        <f>IFERROR(__xludf.DUMMYFUNCTION("""COMPUTED_VALUE"""),162998.0)</f>
        <v>162998</v>
      </c>
      <c r="AE160" s="258">
        <f>IFERROR(__xludf.DUMMYFUNCTION("""COMPUTED_VALUE"""),3342.0)</f>
        <v>3342</v>
      </c>
      <c r="AF160" s="258">
        <f>IFERROR(__xludf.DUMMYFUNCTION("""COMPUTED_VALUE"""),111593.0)</f>
        <v>111593</v>
      </c>
      <c r="AG160" s="258">
        <f>IFERROR(__xludf.DUMMYFUNCTION("""COMPUTED_VALUE"""),2878.0)</f>
        <v>2878</v>
      </c>
      <c r="AH160" s="258">
        <f>IFERROR(__xludf.DUMMYFUNCTION("""COMPUTED_VALUE"""),51407.0)</f>
        <v>51407</v>
      </c>
    </row>
    <row r="161">
      <c r="A161" s="328">
        <f>IFERROR(__xludf.DUMMYFUNCTION("""COMPUTED_VALUE"""),44241.0)</f>
        <v>44241</v>
      </c>
      <c r="B161" s="329">
        <f>IFERROR(__xludf.DUMMYFUNCTION("""COMPUTED_VALUE"""),266.0)</f>
        <v>266</v>
      </c>
      <c r="C161" s="329">
        <f>IFERROR(__xludf.DUMMYFUNCTION("""COMPUTED_VALUE"""),366.0)</f>
        <v>366</v>
      </c>
      <c r="D161" s="329">
        <f>IFERROR(__xludf.DUMMYFUNCTION("""COMPUTED_VALUE"""),145335.0)</f>
        <v>145335</v>
      </c>
      <c r="E161" s="329">
        <f>IFERROR(__xludf.DUMMYFUNCTION("""COMPUTED_VALUE"""),6593.0)</f>
        <v>6593</v>
      </c>
      <c r="F161" s="258">
        <f>IFERROR(__xludf.DUMMYFUNCTION("""COMPUTED_VALUE"""),2639404.0)</f>
        <v>2639404</v>
      </c>
      <c r="G161" s="258">
        <f>IFERROR(__xludf.DUMMYFUNCTION("""COMPUTED_VALUE"""),6859.0)</f>
        <v>6859</v>
      </c>
      <c r="H161" s="258">
        <f>IFERROR(__xludf.DUMMYFUNCTION("""COMPUTED_VALUE"""),2784739.0)</f>
        <v>2784739</v>
      </c>
      <c r="I161" s="329">
        <f>IFERROR(__xludf.DUMMYFUNCTION("""COMPUTED_VALUE"""),231.0)</f>
        <v>231</v>
      </c>
      <c r="J161" s="329">
        <f>IFERROR(__xludf.DUMMYFUNCTION("""COMPUTED_VALUE"""),314.0)</f>
        <v>314</v>
      </c>
      <c r="K161" s="329">
        <f>IFERROR(__xludf.DUMMYFUNCTION("""COMPUTED_VALUE"""),122095.0)</f>
        <v>122095</v>
      </c>
      <c r="L161" s="329">
        <f>IFERROR(__xludf.DUMMYFUNCTION("""COMPUTED_VALUE"""),894.0)</f>
        <v>894</v>
      </c>
      <c r="M161" s="329">
        <f>IFERROR(__xludf.DUMMYFUNCTION("""COMPUTED_VALUE"""),642492.0)</f>
        <v>642492</v>
      </c>
      <c r="N161" s="329">
        <f>IFERROR(__xludf.DUMMYFUNCTION("""COMPUTED_VALUE"""),764587.0)</f>
        <v>764587</v>
      </c>
      <c r="O161" s="329">
        <f>IFERROR(__xludf.DUMMYFUNCTION("""COMPUTED_VALUE"""),26.0)</f>
        <v>26</v>
      </c>
      <c r="P161" s="329">
        <f>IFERROR(__xludf.DUMMYFUNCTION("""COMPUTED_VALUE"""),8689.0)</f>
        <v>8689</v>
      </c>
      <c r="Q161" s="329">
        <f>IFERROR(__xludf.DUMMYFUNCTION("""COMPUTED_VALUE"""),15.0)</f>
        <v>15</v>
      </c>
      <c r="R161" s="329">
        <f>IFERROR(__xludf.DUMMYFUNCTION("""COMPUTED_VALUE"""),7486.0)</f>
        <v>7486</v>
      </c>
      <c r="S161" s="329">
        <f>IFERROR(__xludf.DUMMYFUNCTION("""COMPUTED_VALUE"""),0.0)</f>
        <v>0</v>
      </c>
      <c r="T161" s="329">
        <f>IFERROR(__xludf.DUMMYFUNCTION("""COMPUTED_VALUE"""),982.0)</f>
        <v>982</v>
      </c>
      <c r="U161" s="329">
        <f>IFERROR(__xludf.DUMMYFUNCTION("""COMPUTED_VALUE"""),221.0)</f>
        <v>221</v>
      </c>
      <c r="V161" s="329">
        <f>IFERROR(__xludf.DUMMYFUNCTION("""COMPUTED_VALUE"""),219.0)</f>
        <v>219</v>
      </c>
      <c r="W161" s="329">
        <f>IFERROR(__xludf.DUMMYFUNCTION("""COMPUTED_VALUE"""),38.0)</f>
        <v>38</v>
      </c>
      <c r="X161" s="329">
        <f>IFERROR(__xludf.DUMMYFUNCTION("""COMPUTED_VALUE"""),23.0)</f>
        <v>23</v>
      </c>
      <c r="Y161" s="329">
        <f>IFERROR(__xludf.DUMMYFUNCTION("""COMPUTED_VALUE"""),4.0)</f>
        <v>4</v>
      </c>
      <c r="Z161" s="329">
        <f>IFERROR(__xludf.DUMMYFUNCTION("""COMPUTED_VALUE"""),2490.0)</f>
        <v>2490</v>
      </c>
      <c r="AA161" s="258">
        <f>IFERROR(__xludf.DUMMYFUNCTION("""COMPUTED_VALUE"""),1332.0)</f>
        <v>1332</v>
      </c>
      <c r="AB161" s="258">
        <f>IFERROR(__xludf.DUMMYFUNCTION("""COMPUTED_VALUE"""),787.0)</f>
        <v>787</v>
      </c>
      <c r="AC161" s="258">
        <f>IFERROR(__xludf.DUMMYFUNCTION("""COMPUTED_VALUE"""),2119.0)</f>
        <v>2119</v>
      </c>
      <c r="AD161" s="258">
        <f>IFERROR(__xludf.DUMMYFUNCTION("""COMPUTED_VALUE"""),165117.0)</f>
        <v>165117</v>
      </c>
      <c r="AE161" s="258">
        <f>IFERROR(__xludf.DUMMYFUNCTION("""COMPUTED_VALUE"""),1332.0)</f>
        <v>1332</v>
      </c>
      <c r="AF161" s="258">
        <f>IFERROR(__xludf.DUMMYFUNCTION("""COMPUTED_VALUE"""),112925.0)</f>
        <v>112925</v>
      </c>
      <c r="AG161" s="258">
        <f>IFERROR(__xludf.DUMMYFUNCTION("""COMPUTED_VALUE"""),787.0)</f>
        <v>787</v>
      </c>
      <c r="AH161" s="258">
        <f>IFERROR(__xludf.DUMMYFUNCTION("""COMPUTED_VALUE"""),52194.0)</f>
        <v>52194</v>
      </c>
    </row>
    <row r="162">
      <c r="A162" s="328">
        <f>IFERROR(__xludf.DUMMYFUNCTION("""COMPUTED_VALUE"""),44242.0)</f>
        <v>44242</v>
      </c>
      <c r="B162" s="329">
        <f>IFERROR(__xludf.DUMMYFUNCTION("""COMPUTED_VALUE"""),330.0)</f>
        <v>330</v>
      </c>
      <c r="C162" s="329">
        <f>IFERROR(__xludf.DUMMYFUNCTION("""COMPUTED_VALUE"""),328.0)</f>
        <v>328</v>
      </c>
      <c r="D162" s="329">
        <f>IFERROR(__xludf.DUMMYFUNCTION("""COMPUTED_VALUE"""),145665.0)</f>
        <v>145665</v>
      </c>
      <c r="E162" s="329">
        <f>IFERROR(__xludf.DUMMYFUNCTION("""COMPUTED_VALUE"""),11090.0)</f>
        <v>11090</v>
      </c>
      <c r="F162" s="258">
        <f>IFERROR(__xludf.DUMMYFUNCTION("""COMPUTED_VALUE"""),2650494.0)</f>
        <v>2650494</v>
      </c>
      <c r="G162" s="258">
        <f>IFERROR(__xludf.DUMMYFUNCTION("""COMPUTED_VALUE"""),11420.0)</f>
        <v>11420</v>
      </c>
      <c r="H162" s="258">
        <f>IFERROR(__xludf.DUMMYFUNCTION("""COMPUTED_VALUE"""),2796159.0)</f>
        <v>2796159</v>
      </c>
      <c r="I162" s="329">
        <f>IFERROR(__xludf.DUMMYFUNCTION("""COMPUTED_VALUE"""),301.0)</f>
        <v>301</v>
      </c>
      <c r="J162" s="329">
        <f>IFERROR(__xludf.DUMMYFUNCTION("""COMPUTED_VALUE"""),287.0)</f>
        <v>287</v>
      </c>
      <c r="K162" s="329">
        <f>IFERROR(__xludf.DUMMYFUNCTION("""COMPUTED_VALUE"""),122396.0)</f>
        <v>122396</v>
      </c>
      <c r="L162" s="329">
        <f>IFERROR(__xludf.DUMMYFUNCTION("""COMPUTED_VALUE"""),1181.0)</f>
        <v>1181</v>
      </c>
      <c r="M162" s="329">
        <f>IFERROR(__xludf.DUMMYFUNCTION("""COMPUTED_VALUE"""),643673.0)</f>
        <v>643673</v>
      </c>
      <c r="N162" s="329">
        <f>IFERROR(__xludf.DUMMYFUNCTION("""COMPUTED_VALUE"""),766069.0)</f>
        <v>766069</v>
      </c>
      <c r="O162" s="329">
        <f>IFERROR(__xludf.DUMMYFUNCTION("""COMPUTED_VALUE"""),28.0)</f>
        <v>28</v>
      </c>
      <c r="P162" s="329">
        <f>IFERROR(__xludf.DUMMYFUNCTION("""COMPUTED_VALUE"""),8717.0)</f>
        <v>8717</v>
      </c>
      <c r="Q162" s="329">
        <f>IFERROR(__xludf.DUMMYFUNCTION("""COMPUTED_VALUE"""),28.0)</f>
        <v>28</v>
      </c>
      <c r="R162" s="329">
        <f>IFERROR(__xludf.DUMMYFUNCTION("""COMPUTED_VALUE"""),7514.0)</f>
        <v>7514</v>
      </c>
      <c r="S162" s="329">
        <f>IFERROR(__xludf.DUMMYFUNCTION("""COMPUTED_VALUE"""),3.0)</f>
        <v>3</v>
      </c>
      <c r="T162" s="329">
        <f>IFERROR(__xludf.DUMMYFUNCTION("""COMPUTED_VALUE"""),985.0)</f>
        <v>985</v>
      </c>
      <c r="U162" s="329">
        <f>IFERROR(__xludf.DUMMYFUNCTION("""COMPUTED_VALUE"""),218.0)</f>
        <v>218</v>
      </c>
      <c r="V162" s="329">
        <f>IFERROR(__xludf.DUMMYFUNCTION("""COMPUTED_VALUE"""),216.0)</f>
        <v>216</v>
      </c>
      <c r="W162" s="329">
        <f>IFERROR(__xludf.DUMMYFUNCTION("""COMPUTED_VALUE"""),33.0)</f>
        <v>33</v>
      </c>
      <c r="X162" s="329">
        <f>IFERROR(__xludf.DUMMYFUNCTION("""COMPUTED_VALUE"""),22.0)</f>
        <v>22</v>
      </c>
      <c r="Y162" s="329">
        <f>IFERROR(__xludf.DUMMYFUNCTION("""COMPUTED_VALUE"""),3.0)</f>
        <v>3</v>
      </c>
      <c r="Z162" s="329">
        <f>IFERROR(__xludf.DUMMYFUNCTION("""COMPUTED_VALUE"""),2493.0)</f>
        <v>2493</v>
      </c>
      <c r="AA162" s="258">
        <f>IFERROR(__xludf.DUMMYFUNCTION("""COMPUTED_VALUE"""),3822.0)</f>
        <v>3822</v>
      </c>
      <c r="AB162" s="258">
        <f>IFERROR(__xludf.DUMMYFUNCTION("""COMPUTED_VALUE"""),1073.0)</f>
        <v>1073</v>
      </c>
      <c r="AC162" s="258">
        <f>IFERROR(__xludf.DUMMYFUNCTION("""COMPUTED_VALUE"""),4895.0)</f>
        <v>4895</v>
      </c>
      <c r="AD162" s="258">
        <f>IFERROR(__xludf.DUMMYFUNCTION("""COMPUTED_VALUE"""),170012.0)</f>
        <v>170012</v>
      </c>
      <c r="AE162" s="258">
        <f>IFERROR(__xludf.DUMMYFUNCTION("""COMPUTED_VALUE"""),3822.0)</f>
        <v>3822</v>
      </c>
      <c r="AF162" s="258">
        <f>IFERROR(__xludf.DUMMYFUNCTION("""COMPUTED_VALUE"""),116747.0)</f>
        <v>116747</v>
      </c>
      <c r="AG162" s="258">
        <f>IFERROR(__xludf.DUMMYFUNCTION("""COMPUTED_VALUE"""),1073.0)</f>
        <v>1073</v>
      </c>
      <c r="AH162" s="258">
        <f>IFERROR(__xludf.DUMMYFUNCTION("""COMPUTED_VALUE"""),53267.0)</f>
        <v>53267</v>
      </c>
    </row>
    <row r="163">
      <c r="A163" s="328">
        <f>IFERROR(__xludf.DUMMYFUNCTION("""COMPUTED_VALUE"""),44243.0)</f>
        <v>44243</v>
      </c>
      <c r="B163" s="329">
        <f>IFERROR(__xludf.DUMMYFUNCTION("""COMPUTED_VALUE"""),472.0)</f>
        <v>472</v>
      </c>
      <c r="C163" s="329">
        <f>IFERROR(__xludf.DUMMYFUNCTION("""COMPUTED_VALUE"""),356.0)</f>
        <v>356</v>
      </c>
      <c r="D163" s="329">
        <f>IFERROR(__xludf.DUMMYFUNCTION("""COMPUTED_VALUE"""),146137.0)</f>
        <v>146137</v>
      </c>
      <c r="E163" s="329">
        <f>IFERROR(__xludf.DUMMYFUNCTION("""COMPUTED_VALUE"""),20049.0)</f>
        <v>20049</v>
      </c>
      <c r="F163" s="258">
        <f>IFERROR(__xludf.DUMMYFUNCTION("""COMPUTED_VALUE"""),2670543.0)</f>
        <v>2670543</v>
      </c>
      <c r="G163" s="258">
        <f>IFERROR(__xludf.DUMMYFUNCTION("""COMPUTED_VALUE"""),20521.0)</f>
        <v>20521</v>
      </c>
      <c r="H163" s="258">
        <f>IFERROR(__xludf.DUMMYFUNCTION("""COMPUTED_VALUE"""),2816680.0)</f>
        <v>2816680</v>
      </c>
      <c r="I163" s="329">
        <f>IFERROR(__xludf.DUMMYFUNCTION("""COMPUTED_VALUE"""),410.0)</f>
        <v>410</v>
      </c>
      <c r="J163" s="329">
        <f>IFERROR(__xludf.DUMMYFUNCTION("""COMPUTED_VALUE"""),314.0)</f>
        <v>314</v>
      </c>
      <c r="K163" s="329">
        <f>IFERROR(__xludf.DUMMYFUNCTION("""COMPUTED_VALUE"""),122806.0)</f>
        <v>122806</v>
      </c>
      <c r="L163" s="329">
        <f>IFERROR(__xludf.DUMMYFUNCTION("""COMPUTED_VALUE"""),1793.0)</f>
        <v>1793</v>
      </c>
      <c r="M163" s="329">
        <f>IFERROR(__xludf.DUMMYFUNCTION("""COMPUTED_VALUE"""),645466.0)</f>
        <v>645466</v>
      </c>
      <c r="N163" s="329">
        <f>IFERROR(__xludf.DUMMYFUNCTION("""COMPUTED_VALUE"""),768272.0)</f>
        <v>768272</v>
      </c>
      <c r="O163" s="329">
        <f>IFERROR(__xludf.DUMMYFUNCTION("""COMPUTED_VALUE"""),22.0)</f>
        <v>22</v>
      </c>
      <c r="P163" s="329">
        <f>IFERROR(__xludf.DUMMYFUNCTION("""COMPUTED_VALUE"""),8739.0)</f>
        <v>8739</v>
      </c>
      <c r="Q163" s="329">
        <f>IFERROR(__xludf.DUMMYFUNCTION("""COMPUTED_VALUE"""),41.0)</f>
        <v>41</v>
      </c>
      <c r="R163" s="329">
        <f>IFERROR(__xludf.DUMMYFUNCTION("""COMPUTED_VALUE"""),7555.0)</f>
        <v>7555</v>
      </c>
      <c r="S163" s="329">
        <f>IFERROR(__xludf.DUMMYFUNCTION("""COMPUTED_VALUE"""),3.0)</f>
        <v>3</v>
      </c>
      <c r="T163" s="329">
        <f>IFERROR(__xludf.DUMMYFUNCTION("""COMPUTED_VALUE"""),988.0)</f>
        <v>988</v>
      </c>
      <c r="U163" s="329">
        <f>IFERROR(__xludf.DUMMYFUNCTION("""COMPUTED_VALUE"""),196.0)</f>
        <v>196</v>
      </c>
      <c r="V163" s="329">
        <f>IFERROR(__xludf.DUMMYFUNCTION("""COMPUTED_VALUE"""),212.0)</f>
        <v>212</v>
      </c>
      <c r="W163" s="329">
        <f>IFERROR(__xludf.DUMMYFUNCTION("""COMPUTED_VALUE"""),34.0)</f>
        <v>34</v>
      </c>
      <c r="X163" s="329">
        <f>IFERROR(__xludf.DUMMYFUNCTION("""COMPUTED_VALUE"""),20.0)</f>
        <v>20</v>
      </c>
      <c r="Y163" s="329">
        <f>IFERROR(__xludf.DUMMYFUNCTION("""COMPUTED_VALUE"""),9.0)</f>
        <v>9</v>
      </c>
      <c r="Z163" s="329">
        <f>IFERROR(__xludf.DUMMYFUNCTION("""COMPUTED_VALUE"""),2502.0)</f>
        <v>2502</v>
      </c>
      <c r="AA163" s="258">
        <f>IFERROR(__xludf.DUMMYFUNCTION("""COMPUTED_VALUE"""),3645.0)</f>
        <v>3645</v>
      </c>
      <c r="AB163" s="258">
        <f>IFERROR(__xludf.DUMMYFUNCTION("""COMPUTED_VALUE"""),1311.0)</f>
        <v>1311</v>
      </c>
      <c r="AC163" s="258">
        <f>IFERROR(__xludf.DUMMYFUNCTION("""COMPUTED_VALUE"""),4956.0)</f>
        <v>4956</v>
      </c>
      <c r="AD163" s="258">
        <f>IFERROR(__xludf.DUMMYFUNCTION("""COMPUTED_VALUE"""),174968.0)</f>
        <v>174968</v>
      </c>
      <c r="AE163" s="258">
        <f>IFERROR(__xludf.DUMMYFUNCTION("""COMPUTED_VALUE"""),3645.0)</f>
        <v>3645</v>
      </c>
      <c r="AF163" s="258">
        <f>IFERROR(__xludf.DUMMYFUNCTION("""COMPUTED_VALUE"""),120392.0)</f>
        <v>120392</v>
      </c>
      <c r="AG163" s="258">
        <f>IFERROR(__xludf.DUMMYFUNCTION("""COMPUTED_VALUE"""),1311.0)</f>
        <v>1311</v>
      </c>
      <c r="AH163" s="258">
        <f>IFERROR(__xludf.DUMMYFUNCTION("""COMPUTED_VALUE"""),54578.0)</f>
        <v>54578</v>
      </c>
    </row>
    <row r="164">
      <c r="A164" s="328">
        <f>IFERROR(__xludf.DUMMYFUNCTION("""COMPUTED_VALUE"""),44244.0)</f>
        <v>44244</v>
      </c>
      <c r="B164" s="329">
        <f>IFERROR(__xludf.DUMMYFUNCTION("""COMPUTED_VALUE"""),412.0)</f>
        <v>412</v>
      </c>
      <c r="C164" s="329">
        <f>IFERROR(__xludf.DUMMYFUNCTION("""COMPUTED_VALUE"""),405.0)</f>
        <v>405</v>
      </c>
      <c r="D164" s="329">
        <f>IFERROR(__xludf.DUMMYFUNCTION("""COMPUTED_VALUE"""),146549.0)</f>
        <v>146549</v>
      </c>
      <c r="E164" s="329">
        <f>IFERROR(__xludf.DUMMYFUNCTION("""COMPUTED_VALUE"""),22259.0)</f>
        <v>22259</v>
      </c>
      <c r="F164" s="258">
        <f>IFERROR(__xludf.DUMMYFUNCTION("""COMPUTED_VALUE"""),2692802.0)</f>
        <v>2692802</v>
      </c>
      <c r="G164" s="258">
        <f>IFERROR(__xludf.DUMMYFUNCTION("""COMPUTED_VALUE"""),22671.0)</f>
        <v>22671</v>
      </c>
      <c r="H164" s="258">
        <f>IFERROR(__xludf.DUMMYFUNCTION("""COMPUTED_VALUE"""),2839351.0)</f>
        <v>2839351</v>
      </c>
      <c r="I164" s="329">
        <f>IFERROR(__xludf.DUMMYFUNCTION("""COMPUTED_VALUE"""),359.0)</f>
        <v>359</v>
      </c>
      <c r="J164" s="329">
        <f>IFERROR(__xludf.DUMMYFUNCTION("""COMPUTED_VALUE"""),357.0)</f>
        <v>357</v>
      </c>
      <c r="K164" s="329">
        <f>IFERROR(__xludf.DUMMYFUNCTION("""COMPUTED_VALUE"""),123165.0)</f>
        <v>123165</v>
      </c>
      <c r="L164" s="329">
        <f>IFERROR(__xludf.DUMMYFUNCTION("""COMPUTED_VALUE"""),1741.0)</f>
        <v>1741</v>
      </c>
      <c r="M164" s="329">
        <f>IFERROR(__xludf.DUMMYFUNCTION("""COMPUTED_VALUE"""),647207.0)</f>
        <v>647207</v>
      </c>
      <c r="N164" s="329">
        <f>IFERROR(__xludf.DUMMYFUNCTION("""COMPUTED_VALUE"""),770372.0)</f>
        <v>770372</v>
      </c>
      <c r="O164" s="329">
        <f>IFERROR(__xludf.DUMMYFUNCTION("""COMPUTED_VALUE"""),25.0)</f>
        <v>25</v>
      </c>
      <c r="P164" s="329">
        <f>IFERROR(__xludf.DUMMYFUNCTION("""COMPUTED_VALUE"""),8764.0)</f>
        <v>8764</v>
      </c>
      <c r="Q164" s="329">
        <f>IFERROR(__xludf.DUMMYFUNCTION("""COMPUTED_VALUE"""),27.0)</f>
        <v>27</v>
      </c>
      <c r="R164" s="329">
        <f>IFERROR(__xludf.DUMMYFUNCTION("""COMPUTED_VALUE"""),7582.0)</f>
        <v>7582</v>
      </c>
      <c r="S164" s="329">
        <f>IFERROR(__xludf.DUMMYFUNCTION("""COMPUTED_VALUE"""),0.0)</f>
        <v>0</v>
      </c>
      <c r="T164" s="329">
        <f>IFERROR(__xludf.DUMMYFUNCTION("""COMPUTED_VALUE"""),988.0)</f>
        <v>988</v>
      </c>
      <c r="U164" s="329">
        <f>IFERROR(__xludf.DUMMYFUNCTION("""COMPUTED_VALUE"""),194.0)</f>
        <v>194</v>
      </c>
      <c r="V164" s="329">
        <f>IFERROR(__xludf.DUMMYFUNCTION("""COMPUTED_VALUE"""),203.0)</f>
        <v>203</v>
      </c>
      <c r="W164" s="329">
        <f>IFERROR(__xludf.DUMMYFUNCTION("""COMPUTED_VALUE"""),30.0)</f>
        <v>30</v>
      </c>
      <c r="X164" s="329">
        <f>IFERROR(__xludf.DUMMYFUNCTION("""COMPUTED_VALUE"""),20.0)</f>
        <v>20</v>
      </c>
      <c r="Y164" s="329">
        <f>IFERROR(__xludf.DUMMYFUNCTION("""COMPUTED_VALUE"""),2.0)</f>
        <v>2</v>
      </c>
      <c r="Z164" s="329">
        <f>IFERROR(__xludf.DUMMYFUNCTION("""COMPUTED_VALUE"""),2504.0)</f>
        <v>2504</v>
      </c>
      <c r="AA164" s="258">
        <f>IFERROR(__xludf.DUMMYFUNCTION("""COMPUTED_VALUE"""),5201.0)</f>
        <v>5201</v>
      </c>
      <c r="AB164" s="258">
        <f>IFERROR(__xludf.DUMMYFUNCTION("""COMPUTED_VALUE"""),1930.0)</f>
        <v>1930</v>
      </c>
      <c r="AC164" s="258">
        <f>IFERROR(__xludf.DUMMYFUNCTION("""COMPUTED_VALUE"""),7131.0)</f>
        <v>7131</v>
      </c>
      <c r="AD164" s="258">
        <f>IFERROR(__xludf.DUMMYFUNCTION("""COMPUTED_VALUE"""),182099.0)</f>
        <v>182099</v>
      </c>
      <c r="AE164" s="258">
        <f>IFERROR(__xludf.DUMMYFUNCTION("""COMPUTED_VALUE"""),5201.0)</f>
        <v>5201</v>
      </c>
      <c r="AF164" s="258">
        <f>IFERROR(__xludf.DUMMYFUNCTION("""COMPUTED_VALUE"""),125593.0)</f>
        <v>125593</v>
      </c>
      <c r="AG164" s="258">
        <f>IFERROR(__xludf.DUMMYFUNCTION("""COMPUTED_VALUE"""),1930.0)</f>
        <v>1930</v>
      </c>
      <c r="AH164" s="258">
        <f>IFERROR(__xludf.DUMMYFUNCTION("""COMPUTED_VALUE"""),56508.0)</f>
        <v>56508</v>
      </c>
    </row>
    <row r="165">
      <c r="A165" s="328">
        <f>IFERROR(__xludf.DUMMYFUNCTION("""COMPUTED_VALUE"""),44245.0)</f>
        <v>44245</v>
      </c>
      <c r="B165" s="329">
        <f>IFERROR(__xludf.DUMMYFUNCTION("""COMPUTED_VALUE"""),397.0)</f>
        <v>397</v>
      </c>
      <c r="C165" s="329">
        <f>IFERROR(__xludf.DUMMYFUNCTION("""COMPUTED_VALUE"""),427.0)</f>
        <v>427</v>
      </c>
      <c r="D165" s="329">
        <f>IFERROR(__xludf.DUMMYFUNCTION("""COMPUTED_VALUE"""),146946.0)</f>
        <v>146946</v>
      </c>
      <c r="E165" s="329">
        <f>IFERROR(__xludf.DUMMYFUNCTION("""COMPUTED_VALUE"""),20161.0)</f>
        <v>20161</v>
      </c>
      <c r="F165" s="258">
        <f>IFERROR(__xludf.DUMMYFUNCTION("""COMPUTED_VALUE"""),2712963.0)</f>
        <v>2712963</v>
      </c>
      <c r="G165" s="258">
        <f>IFERROR(__xludf.DUMMYFUNCTION("""COMPUTED_VALUE"""),20558.0)</f>
        <v>20558</v>
      </c>
      <c r="H165" s="258">
        <f>IFERROR(__xludf.DUMMYFUNCTION("""COMPUTED_VALUE"""),2859909.0)</f>
        <v>2859909</v>
      </c>
      <c r="I165" s="329">
        <f>IFERROR(__xludf.DUMMYFUNCTION("""COMPUTED_VALUE"""),333.0)</f>
        <v>333</v>
      </c>
      <c r="J165" s="329">
        <f>IFERROR(__xludf.DUMMYFUNCTION("""COMPUTED_VALUE"""),367.0)</f>
        <v>367</v>
      </c>
      <c r="K165" s="329">
        <f>IFERROR(__xludf.DUMMYFUNCTION("""COMPUTED_VALUE"""),123498.0)</f>
        <v>123498</v>
      </c>
      <c r="L165" s="329">
        <f>IFERROR(__xludf.DUMMYFUNCTION("""COMPUTED_VALUE"""),1573.0)</f>
        <v>1573</v>
      </c>
      <c r="M165" s="329">
        <f>IFERROR(__xludf.DUMMYFUNCTION("""COMPUTED_VALUE"""),648780.0)</f>
        <v>648780</v>
      </c>
      <c r="N165" s="329">
        <f>IFERROR(__xludf.DUMMYFUNCTION("""COMPUTED_VALUE"""),772278.0)</f>
        <v>772278</v>
      </c>
      <c r="O165" s="329">
        <f>IFERROR(__xludf.DUMMYFUNCTION("""COMPUTED_VALUE"""),17.0)</f>
        <v>17</v>
      </c>
      <c r="P165" s="329">
        <f>IFERROR(__xludf.DUMMYFUNCTION("""COMPUTED_VALUE"""),8781.0)</f>
        <v>8781</v>
      </c>
      <c r="Q165" s="329">
        <f>IFERROR(__xludf.DUMMYFUNCTION("""COMPUTED_VALUE"""),19.0)</f>
        <v>19</v>
      </c>
      <c r="R165" s="329">
        <f>IFERROR(__xludf.DUMMYFUNCTION("""COMPUTED_VALUE"""),7601.0)</f>
        <v>7601</v>
      </c>
      <c r="S165" s="329">
        <f>IFERROR(__xludf.DUMMYFUNCTION("""COMPUTED_VALUE"""),2.0)</f>
        <v>2</v>
      </c>
      <c r="T165" s="329">
        <f>IFERROR(__xludf.DUMMYFUNCTION("""COMPUTED_VALUE"""),990.0)</f>
        <v>990</v>
      </c>
      <c r="U165" s="329">
        <f>IFERROR(__xludf.DUMMYFUNCTION("""COMPUTED_VALUE"""),190.0)</f>
        <v>190</v>
      </c>
      <c r="V165" s="329">
        <f>IFERROR(__xludf.DUMMYFUNCTION("""COMPUTED_VALUE"""),193.0)</f>
        <v>193</v>
      </c>
      <c r="W165" s="329">
        <f>IFERROR(__xludf.DUMMYFUNCTION("""COMPUTED_VALUE"""),35.0)</f>
        <v>35</v>
      </c>
      <c r="X165" s="329">
        <f>IFERROR(__xludf.DUMMYFUNCTION("""COMPUTED_VALUE"""),19.0)</f>
        <v>19</v>
      </c>
      <c r="Y165" s="329">
        <f>IFERROR(__xludf.DUMMYFUNCTION("""COMPUTED_VALUE"""),4.0)</f>
        <v>4</v>
      </c>
      <c r="Z165" s="329">
        <f>IFERROR(__xludf.DUMMYFUNCTION("""COMPUTED_VALUE"""),2508.0)</f>
        <v>2508</v>
      </c>
      <c r="AA165" s="258">
        <f>IFERROR(__xludf.DUMMYFUNCTION("""COMPUTED_VALUE"""),6035.0)</f>
        <v>6035</v>
      </c>
      <c r="AB165" s="258">
        <f>IFERROR(__xludf.DUMMYFUNCTION("""COMPUTED_VALUE"""),2326.0)</f>
        <v>2326</v>
      </c>
      <c r="AC165" s="258">
        <f>IFERROR(__xludf.DUMMYFUNCTION("""COMPUTED_VALUE"""),8361.0)</f>
        <v>8361</v>
      </c>
      <c r="AD165" s="258">
        <f>IFERROR(__xludf.DUMMYFUNCTION("""COMPUTED_VALUE"""),190460.0)</f>
        <v>190460</v>
      </c>
      <c r="AE165" s="258">
        <f>IFERROR(__xludf.DUMMYFUNCTION("""COMPUTED_VALUE"""),6035.0)</f>
        <v>6035</v>
      </c>
      <c r="AF165" s="258">
        <f>IFERROR(__xludf.DUMMYFUNCTION("""COMPUTED_VALUE"""),131628.0)</f>
        <v>131628</v>
      </c>
      <c r="AG165" s="258">
        <f>IFERROR(__xludf.DUMMYFUNCTION("""COMPUTED_VALUE"""),2326.0)</f>
        <v>2326</v>
      </c>
      <c r="AH165" s="258">
        <f>IFERROR(__xludf.DUMMYFUNCTION("""COMPUTED_VALUE"""),58834.0)</f>
        <v>58834</v>
      </c>
    </row>
    <row r="166">
      <c r="A166" s="328">
        <f>IFERROR(__xludf.DUMMYFUNCTION("""COMPUTED_VALUE"""),44246.0)</f>
        <v>44246</v>
      </c>
      <c r="B166" s="329">
        <f>IFERROR(__xludf.DUMMYFUNCTION("""COMPUTED_VALUE"""),418.0)</f>
        <v>418</v>
      </c>
      <c r="C166" s="329">
        <f>IFERROR(__xludf.DUMMYFUNCTION("""COMPUTED_VALUE"""),409.0)</f>
        <v>409</v>
      </c>
      <c r="D166" s="329">
        <f>IFERROR(__xludf.DUMMYFUNCTION("""COMPUTED_VALUE"""),147364.0)</f>
        <v>147364</v>
      </c>
      <c r="E166" s="329">
        <f>IFERROR(__xludf.DUMMYFUNCTION("""COMPUTED_VALUE"""),16724.0)</f>
        <v>16724</v>
      </c>
      <c r="F166" s="258">
        <f>IFERROR(__xludf.DUMMYFUNCTION("""COMPUTED_VALUE"""),2729687.0)</f>
        <v>2729687</v>
      </c>
      <c r="G166" s="258">
        <f>IFERROR(__xludf.DUMMYFUNCTION("""COMPUTED_VALUE"""),17142.0)</f>
        <v>17142</v>
      </c>
      <c r="H166" s="258">
        <f>IFERROR(__xludf.DUMMYFUNCTION("""COMPUTED_VALUE"""),2877051.0)</f>
        <v>2877051</v>
      </c>
      <c r="I166" s="329">
        <f>IFERROR(__xludf.DUMMYFUNCTION("""COMPUTED_VALUE"""),352.0)</f>
        <v>352</v>
      </c>
      <c r="J166" s="329">
        <f>IFERROR(__xludf.DUMMYFUNCTION("""COMPUTED_VALUE"""),348.0)</f>
        <v>348</v>
      </c>
      <c r="K166" s="329">
        <f>IFERROR(__xludf.DUMMYFUNCTION("""COMPUTED_VALUE"""),123850.0)</f>
        <v>123850</v>
      </c>
      <c r="L166" s="329">
        <f>IFERROR(__xludf.DUMMYFUNCTION("""COMPUTED_VALUE"""),1542.0)</f>
        <v>1542</v>
      </c>
      <c r="M166" s="329">
        <f>IFERROR(__xludf.DUMMYFUNCTION("""COMPUTED_VALUE"""),650322.0)</f>
        <v>650322</v>
      </c>
      <c r="N166" s="329">
        <f>IFERROR(__xludf.DUMMYFUNCTION("""COMPUTED_VALUE"""),774172.0)</f>
        <v>774172</v>
      </c>
      <c r="O166" s="329">
        <f>IFERROR(__xludf.DUMMYFUNCTION("""COMPUTED_VALUE"""),22.0)</f>
        <v>22</v>
      </c>
      <c r="P166" s="329">
        <f>IFERROR(__xludf.DUMMYFUNCTION("""COMPUTED_VALUE"""),8803.0)</f>
        <v>8803</v>
      </c>
      <c r="Q166" s="329">
        <f>IFERROR(__xludf.DUMMYFUNCTION("""COMPUTED_VALUE"""),34.0)</f>
        <v>34</v>
      </c>
      <c r="R166" s="329">
        <f>IFERROR(__xludf.DUMMYFUNCTION("""COMPUTED_VALUE"""),7635.0)</f>
        <v>7635</v>
      </c>
      <c r="S166" s="329">
        <f>IFERROR(__xludf.DUMMYFUNCTION("""COMPUTED_VALUE"""),3.0)</f>
        <v>3</v>
      </c>
      <c r="T166" s="329">
        <f>IFERROR(__xludf.DUMMYFUNCTION("""COMPUTED_VALUE"""),993.0)</f>
        <v>993</v>
      </c>
      <c r="U166" s="329">
        <f>IFERROR(__xludf.DUMMYFUNCTION("""COMPUTED_VALUE"""),175.0)</f>
        <v>175</v>
      </c>
      <c r="V166" s="329">
        <f>IFERROR(__xludf.DUMMYFUNCTION("""COMPUTED_VALUE"""),186.0)</f>
        <v>186</v>
      </c>
      <c r="W166" s="329">
        <f>IFERROR(__xludf.DUMMYFUNCTION("""COMPUTED_VALUE"""),29.0)</f>
        <v>29</v>
      </c>
      <c r="X166" s="329">
        <f>IFERROR(__xludf.DUMMYFUNCTION("""COMPUTED_VALUE"""),17.0)</f>
        <v>17</v>
      </c>
      <c r="Y166" s="329">
        <f>IFERROR(__xludf.DUMMYFUNCTION("""COMPUTED_VALUE"""),6.0)</f>
        <v>6</v>
      </c>
      <c r="Z166" s="329">
        <f>IFERROR(__xludf.DUMMYFUNCTION("""COMPUTED_VALUE"""),2514.0)</f>
        <v>2514</v>
      </c>
      <c r="AA166" s="258">
        <f>IFERROR(__xludf.DUMMYFUNCTION("""COMPUTED_VALUE"""),5578.0)</f>
        <v>5578</v>
      </c>
      <c r="AB166" s="258">
        <f>IFERROR(__xludf.DUMMYFUNCTION("""COMPUTED_VALUE"""),2252.0)</f>
        <v>2252</v>
      </c>
      <c r="AC166" s="258">
        <f>IFERROR(__xludf.DUMMYFUNCTION("""COMPUTED_VALUE"""),7830.0)</f>
        <v>7830</v>
      </c>
      <c r="AD166" s="258">
        <f>IFERROR(__xludf.DUMMYFUNCTION("""COMPUTED_VALUE"""),198290.0)</f>
        <v>198290</v>
      </c>
      <c r="AE166" s="258">
        <f>IFERROR(__xludf.DUMMYFUNCTION("""COMPUTED_VALUE"""),5578.0)</f>
        <v>5578</v>
      </c>
      <c r="AF166" s="258">
        <f>IFERROR(__xludf.DUMMYFUNCTION("""COMPUTED_VALUE"""),137206.0)</f>
        <v>137206</v>
      </c>
      <c r="AG166" s="258">
        <f>IFERROR(__xludf.DUMMYFUNCTION("""COMPUTED_VALUE"""),2252.0)</f>
        <v>2252</v>
      </c>
      <c r="AH166" s="258">
        <f>IFERROR(__xludf.DUMMYFUNCTION("""COMPUTED_VALUE"""),61086.0)</f>
        <v>61086</v>
      </c>
    </row>
    <row r="167">
      <c r="A167" s="328">
        <f>IFERROR(__xludf.DUMMYFUNCTION("""COMPUTED_VALUE"""),44247.0)</f>
        <v>44247</v>
      </c>
      <c r="B167" s="329">
        <f>IFERROR(__xludf.DUMMYFUNCTION("""COMPUTED_VALUE"""),336.0)</f>
        <v>336</v>
      </c>
      <c r="C167" s="329">
        <f>IFERROR(__xludf.DUMMYFUNCTION("""COMPUTED_VALUE"""),384.0)</f>
        <v>384</v>
      </c>
      <c r="D167" s="329">
        <f>IFERROR(__xludf.DUMMYFUNCTION("""COMPUTED_VALUE"""),147700.0)</f>
        <v>147700</v>
      </c>
      <c r="E167" s="329">
        <f>IFERROR(__xludf.DUMMYFUNCTION("""COMPUTED_VALUE"""),10618.0)</f>
        <v>10618</v>
      </c>
      <c r="F167" s="329">
        <f>IFERROR(__xludf.DUMMYFUNCTION("""COMPUTED_VALUE"""),2740305.0)</f>
        <v>2740305</v>
      </c>
      <c r="G167" s="329">
        <f>IFERROR(__xludf.DUMMYFUNCTION("""COMPUTED_VALUE"""),10954.0)</f>
        <v>10954</v>
      </c>
      <c r="H167" s="329">
        <f>IFERROR(__xludf.DUMMYFUNCTION("""COMPUTED_VALUE"""),2888005.0)</f>
        <v>2888005</v>
      </c>
      <c r="I167" s="329">
        <f>IFERROR(__xludf.DUMMYFUNCTION("""COMPUTED_VALUE"""),285.0)</f>
        <v>285</v>
      </c>
      <c r="J167" s="329">
        <f>IFERROR(__xludf.DUMMYFUNCTION("""COMPUTED_VALUE"""),323.0)</f>
        <v>323</v>
      </c>
      <c r="K167" s="329">
        <f>IFERROR(__xludf.DUMMYFUNCTION("""COMPUTED_VALUE"""),124135.0)</f>
        <v>124135</v>
      </c>
      <c r="L167" s="329">
        <f>IFERROR(__xludf.DUMMYFUNCTION("""COMPUTED_VALUE"""),1307.0)</f>
        <v>1307</v>
      </c>
      <c r="M167" s="329">
        <f>IFERROR(__xludf.DUMMYFUNCTION("""COMPUTED_VALUE"""),651629.0)</f>
        <v>651629</v>
      </c>
      <c r="N167" s="329">
        <f>IFERROR(__xludf.DUMMYFUNCTION("""COMPUTED_VALUE"""),775764.0)</f>
        <v>775764</v>
      </c>
      <c r="O167" s="329">
        <f>IFERROR(__xludf.DUMMYFUNCTION("""COMPUTED_VALUE"""),37.0)</f>
        <v>37</v>
      </c>
      <c r="P167" s="329">
        <f>IFERROR(__xludf.DUMMYFUNCTION("""COMPUTED_VALUE"""),8840.0)</f>
        <v>8840</v>
      </c>
      <c r="Q167" s="329">
        <f>IFERROR(__xludf.DUMMYFUNCTION("""COMPUTED_VALUE"""),21.0)</f>
        <v>21</v>
      </c>
      <c r="R167" s="329">
        <f>IFERROR(__xludf.DUMMYFUNCTION("""COMPUTED_VALUE"""),7656.0)</f>
        <v>7656</v>
      </c>
      <c r="S167" s="329">
        <f>IFERROR(__xludf.DUMMYFUNCTION("""COMPUTED_VALUE"""),2.0)</f>
        <v>2</v>
      </c>
      <c r="T167" s="329">
        <f>IFERROR(__xludf.DUMMYFUNCTION("""COMPUTED_VALUE"""),995.0)</f>
        <v>995</v>
      </c>
      <c r="U167" s="329">
        <f>IFERROR(__xludf.DUMMYFUNCTION("""COMPUTED_VALUE"""),189.0)</f>
        <v>189</v>
      </c>
      <c r="V167" s="329">
        <f>IFERROR(__xludf.DUMMYFUNCTION("""COMPUTED_VALUE"""),185.0)</f>
        <v>185</v>
      </c>
      <c r="W167" s="329">
        <f>IFERROR(__xludf.DUMMYFUNCTION("""COMPUTED_VALUE"""),29.0)</f>
        <v>29</v>
      </c>
      <c r="X167" s="329">
        <f>IFERROR(__xludf.DUMMYFUNCTION("""COMPUTED_VALUE"""),17.0)</f>
        <v>17</v>
      </c>
      <c r="Y167" s="329">
        <f>IFERROR(__xludf.DUMMYFUNCTION("""COMPUTED_VALUE"""),4.0)</f>
        <v>4</v>
      </c>
      <c r="Z167" s="329">
        <f>IFERROR(__xludf.DUMMYFUNCTION("""COMPUTED_VALUE"""),2518.0)</f>
        <v>2518</v>
      </c>
      <c r="AA167" s="329">
        <f>IFERROR(__xludf.DUMMYFUNCTION("""COMPUTED_VALUE"""),7944.0)</f>
        <v>7944</v>
      </c>
      <c r="AB167" s="329">
        <f>IFERROR(__xludf.DUMMYFUNCTION("""COMPUTED_VALUE"""),2027.0)</f>
        <v>2027</v>
      </c>
      <c r="AC167" s="329">
        <f>IFERROR(__xludf.DUMMYFUNCTION("""COMPUTED_VALUE"""),9971.0)</f>
        <v>9971</v>
      </c>
      <c r="AD167" s="329">
        <f>IFERROR(__xludf.DUMMYFUNCTION("""COMPUTED_VALUE"""),208261.0)</f>
        <v>208261</v>
      </c>
      <c r="AE167" s="329">
        <f>IFERROR(__xludf.DUMMYFUNCTION("""COMPUTED_VALUE"""),7944.0)</f>
        <v>7944</v>
      </c>
      <c r="AF167" s="329">
        <f>IFERROR(__xludf.DUMMYFUNCTION("""COMPUTED_VALUE"""),145150.0)</f>
        <v>145150</v>
      </c>
      <c r="AG167" s="329">
        <f>IFERROR(__xludf.DUMMYFUNCTION("""COMPUTED_VALUE"""),2027.0)</f>
        <v>2027</v>
      </c>
      <c r="AH167" s="329">
        <f>IFERROR(__xludf.DUMMYFUNCTION("""COMPUTED_VALUE"""),63113.0)</f>
        <v>63113</v>
      </c>
    </row>
    <row r="168">
      <c r="A168" s="328">
        <f>IFERROR(__xludf.DUMMYFUNCTION("""COMPUTED_VALUE"""),44248.0)</f>
        <v>44248</v>
      </c>
      <c r="B168" s="329">
        <f>IFERROR(__xludf.DUMMYFUNCTION("""COMPUTED_VALUE"""),199.0)</f>
        <v>199</v>
      </c>
      <c r="C168" s="329">
        <f>IFERROR(__xludf.DUMMYFUNCTION("""COMPUTED_VALUE"""),318.0)</f>
        <v>318</v>
      </c>
      <c r="D168" s="329">
        <f>IFERROR(__xludf.DUMMYFUNCTION("""COMPUTED_VALUE"""),147899.0)</f>
        <v>147899</v>
      </c>
      <c r="E168" s="329">
        <f>IFERROR(__xludf.DUMMYFUNCTION("""COMPUTED_VALUE"""),6308.0)</f>
        <v>6308</v>
      </c>
      <c r="F168" s="329">
        <f>IFERROR(__xludf.DUMMYFUNCTION("""COMPUTED_VALUE"""),2746613.0)</f>
        <v>2746613</v>
      </c>
      <c r="G168" s="329">
        <f>IFERROR(__xludf.DUMMYFUNCTION("""COMPUTED_VALUE"""),6507.0)</f>
        <v>6507</v>
      </c>
      <c r="H168" s="329">
        <f>IFERROR(__xludf.DUMMYFUNCTION("""COMPUTED_VALUE"""),2894512.0)</f>
        <v>2894512</v>
      </c>
      <c r="I168" s="329">
        <f>IFERROR(__xludf.DUMMYFUNCTION("""COMPUTED_VALUE"""),177.0)</f>
        <v>177</v>
      </c>
      <c r="J168" s="329">
        <f>IFERROR(__xludf.DUMMYFUNCTION("""COMPUTED_VALUE"""),271.0)</f>
        <v>271</v>
      </c>
      <c r="K168" s="329">
        <f>IFERROR(__xludf.DUMMYFUNCTION("""COMPUTED_VALUE"""),124312.0)</f>
        <v>124312</v>
      </c>
      <c r="L168" s="329">
        <f>IFERROR(__xludf.DUMMYFUNCTION("""COMPUTED_VALUE"""),832.0)</f>
        <v>832</v>
      </c>
      <c r="M168" s="329">
        <f>IFERROR(__xludf.DUMMYFUNCTION("""COMPUTED_VALUE"""),652461.0)</f>
        <v>652461</v>
      </c>
      <c r="N168" s="329">
        <f>IFERROR(__xludf.DUMMYFUNCTION("""COMPUTED_VALUE"""),776773.0)</f>
        <v>776773</v>
      </c>
      <c r="O168" s="329">
        <f>IFERROR(__xludf.DUMMYFUNCTION("""COMPUTED_VALUE"""),6.0)</f>
        <v>6</v>
      </c>
      <c r="P168" s="329">
        <f>IFERROR(__xludf.DUMMYFUNCTION("""COMPUTED_VALUE"""),8846.0)</f>
        <v>8846</v>
      </c>
      <c r="Q168" s="329">
        <f>IFERROR(__xludf.DUMMYFUNCTION("""COMPUTED_VALUE"""),14.0)</f>
        <v>14</v>
      </c>
      <c r="R168" s="329">
        <f>IFERROR(__xludf.DUMMYFUNCTION("""COMPUTED_VALUE"""),7670.0)</f>
        <v>7670</v>
      </c>
      <c r="S168" s="329">
        <f>IFERROR(__xludf.DUMMYFUNCTION("""COMPUTED_VALUE"""),2.0)</f>
        <v>2</v>
      </c>
      <c r="T168" s="329">
        <f>IFERROR(__xludf.DUMMYFUNCTION("""COMPUTED_VALUE"""),997.0)</f>
        <v>997</v>
      </c>
      <c r="U168" s="329">
        <f>IFERROR(__xludf.DUMMYFUNCTION("""COMPUTED_VALUE"""),179.0)</f>
        <v>179</v>
      </c>
      <c r="V168" s="329">
        <f>IFERROR(__xludf.DUMMYFUNCTION("""COMPUTED_VALUE"""),181.0)</f>
        <v>181</v>
      </c>
      <c r="W168" s="329">
        <f>IFERROR(__xludf.DUMMYFUNCTION("""COMPUTED_VALUE"""),33.0)</f>
        <v>33</v>
      </c>
      <c r="X168" s="329">
        <f>IFERROR(__xludf.DUMMYFUNCTION("""COMPUTED_VALUE"""),18.0)</f>
        <v>18</v>
      </c>
      <c r="Y168" s="329">
        <f>IFERROR(__xludf.DUMMYFUNCTION("""COMPUTED_VALUE"""),3.0)</f>
        <v>3</v>
      </c>
      <c r="Z168" s="329">
        <f>IFERROR(__xludf.DUMMYFUNCTION("""COMPUTED_VALUE"""),2521.0)</f>
        <v>2521</v>
      </c>
      <c r="AA168" s="329">
        <f>IFERROR(__xludf.DUMMYFUNCTION("""COMPUTED_VALUE"""),1943.0)</f>
        <v>1943</v>
      </c>
      <c r="AB168" s="329">
        <f>IFERROR(__xludf.DUMMYFUNCTION("""COMPUTED_VALUE"""),618.0)</f>
        <v>618</v>
      </c>
      <c r="AC168" s="329">
        <f>IFERROR(__xludf.DUMMYFUNCTION("""COMPUTED_VALUE"""),2561.0)</f>
        <v>2561</v>
      </c>
      <c r="AD168" s="329">
        <f>IFERROR(__xludf.DUMMYFUNCTION("""COMPUTED_VALUE"""),210822.0)</f>
        <v>210822</v>
      </c>
      <c r="AE168" s="329">
        <f>IFERROR(__xludf.DUMMYFUNCTION("""COMPUTED_VALUE"""),1943.0)</f>
        <v>1943</v>
      </c>
      <c r="AF168" s="329">
        <f>IFERROR(__xludf.DUMMYFUNCTION("""COMPUTED_VALUE"""),147093.0)</f>
        <v>147093</v>
      </c>
      <c r="AG168" s="329">
        <f>IFERROR(__xludf.DUMMYFUNCTION("""COMPUTED_VALUE"""),618.0)</f>
        <v>618</v>
      </c>
      <c r="AH168" s="329">
        <f>IFERROR(__xludf.DUMMYFUNCTION("""COMPUTED_VALUE"""),63731.0)</f>
        <v>63731</v>
      </c>
    </row>
    <row r="169">
      <c r="A169" s="328">
        <f>IFERROR(__xludf.DUMMYFUNCTION("""COMPUTED_VALUE"""),44249.0)</f>
        <v>44249</v>
      </c>
      <c r="B169" s="329">
        <f>IFERROR(__xludf.DUMMYFUNCTION("""COMPUTED_VALUE"""),389.0)</f>
        <v>389</v>
      </c>
      <c r="C169" s="329">
        <f>IFERROR(__xludf.DUMMYFUNCTION("""COMPUTED_VALUE"""),308.0)</f>
        <v>308</v>
      </c>
      <c r="D169" s="329">
        <f>IFERROR(__xludf.DUMMYFUNCTION("""COMPUTED_VALUE"""),148288.0)</f>
        <v>148288</v>
      </c>
      <c r="E169" s="329">
        <f>IFERROR(__xludf.DUMMYFUNCTION("""COMPUTED_VALUE"""),12032.0)</f>
        <v>12032</v>
      </c>
      <c r="F169" s="329">
        <f>IFERROR(__xludf.DUMMYFUNCTION("""COMPUTED_VALUE"""),2758645.0)</f>
        <v>2758645</v>
      </c>
      <c r="G169" s="329">
        <f>IFERROR(__xludf.DUMMYFUNCTION("""COMPUTED_VALUE"""),12421.0)</f>
        <v>12421</v>
      </c>
      <c r="H169" s="329">
        <f>IFERROR(__xludf.DUMMYFUNCTION("""COMPUTED_VALUE"""),2906933.0)</f>
        <v>2906933</v>
      </c>
      <c r="I169" s="329">
        <f>IFERROR(__xludf.DUMMYFUNCTION("""COMPUTED_VALUE"""),344.0)</f>
        <v>344</v>
      </c>
      <c r="J169" s="329">
        <f>IFERROR(__xludf.DUMMYFUNCTION("""COMPUTED_VALUE"""),269.0)</f>
        <v>269</v>
      </c>
      <c r="K169" s="329">
        <f>IFERROR(__xludf.DUMMYFUNCTION("""COMPUTED_VALUE"""),124656.0)</f>
        <v>124656</v>
      </c>
      <c r="L169" s="329">
        <f>IFERROR(__xludf.DUMMYFUNCTION("""COMPUTED_VALUE"""),1511.0)</f>
        <v>1511</v>
      </c>
      <c r="M169" s="329">
        <f>IFERROR(__xludf.DUMMYFUNCTION("""COMPUTED_VALUE"""),653972.0)</f>
        <v>653972</v>
      </c>
      <c r="N169" s="329">
        <f>IFERROR(__xludf.DUMMYFUNCTION("""COMPUTED_VALUE"""),778628.0)</f>
        <v>778628</v>
      </c>
      <c r="O169" s="329">
        <f>IFERROR(__xludf.DUMMYFUNCTION("""COMPUTED_VALUE"""),16.0)</f>
        <v>16</v>
      </c>
      <c r="P169" s="329">
        <f>IFERROR(__xludf.DUMMYFUNCTION("""COMPUTED_VALUE"""),8862.0)</f>
        <v>8862</v>
      </c>
      <c r="Q169" s="329">
        <f>IFERROR(__xludf.DUMMYFUNCTION("""COMPUTED_VALUE"""),17.0)</f>
        <v>17</v>
      </c>
      <c r="R169" s="329">
        <f>IFERROR(__xludf.DUMMYFUNCTION("""COMPUTED_VALUE"""),7687.0)</f>
        <v>7687</v>
      </c>
      <c r="S169" s="329">
        <f>IFERROR(__xludf.DUMMYFUNCTION("""COMPUTED_VALUE"""),0.0)</f>
        <v>0</v>
      </c>
      <c r="T169" s="329">
        <f>IFERROR(__xludf.DUMMYFUNCTION("""COMPUTED_VALUE"""),997.0)</f>
        <v>997</v>
      </c>
      <c r="U169" s="329">
        <f>IFERROR(__xludf.DUMMYFUNCTION("""COMPUTED_VALUE"""),178.0)</f>
        <v>178</v>
      </c>
      <c r="V169" s="329">
        <f>IFERROR(__xludf.DUMMYFUNCTION("""COMPUTED_VALUE"""),182.0)</f>
        <v>182</v>
      </c>
      <c r="W169" s="329">
        <f>IFERROR(__xludf.DUMMYFUNCTION("""COMPUTED_VALUE"""),32.0)</f>
        <v>32</v>
      </c>
      <c r="X169" s="329">
        <f>IFERROR(__xludf.DUMMYFUNCTION("""COMPUTED_VALUE"""),17.0)</f>
        <v>17</v>
      </c>
      <c r="Y169" s="329">
        <f>IFERROR(__xludf.DUMMYFUNCTION("""COMPUTED_VALUE"""),3.0)</f>
        <v>3</v>
      </c>
      <c r="Z169" s="329">
        <f>IFERROR(__xludf.DUMMYFUNCTION("""COMPUTED_VALUE"""),2524.0)</f>
        <v>2524</v>
      </c>
      <c r="AA169" s="329">
        <f>IFERROR(__xludf.DUMMYFUNCTION("""COMPUTED_VALUE"""),5487.0)</f>
        <v>5487</v>
      </c>
      <c r="AB169" s="329">
        <f>IFERROR(__xludf.DUMMYFUNCTION("""COMPUTED_VALUE"""),1397.0)</f>
        <v>1397</v>
      </c>
      <c r="AC169" s="329">
        <f>IFERROR(__xludf.DUMMYFUNCTION("""COMPUTED_VALUE"""),6884.0)</f>
        <v>6884</v>
      </c>
      <c r="AD169" s="329">
        <f>IFERROR(__xludf.DUMMYFUNCTION("""COMPUTED_VALUE"""),217706.0)</f>
        <v>217706</v>
      </c>
      <c r="AE169" s="329">
        <f>IFERROR(__xludf.DUMMYFUNCTION("""COMPUTED_VALUE"""),5487.0)</f>
        <v>5487</v>
      </c>
      <c r="AF169" s="329">
        <f>IFERROR(__xludf.DUMMYFUNCTION("""COMPUTED_VALUE"""),152580.0)</f>
        <v>152580</v>
      </c>
      <c r="AG169" s="329">
        <f>IFERROR(__xludf.DUMMYFUNCTION("""COMPUTED_VALUE"""),1397.0)</f>
        <v>1397</v>
      </c>
      <c r="AH169" s="329">
        <f>IFERROR(__xludf.DUMMYFUNCTION("""COMPUTED_VALUE"""),65128.0)</f>
        <v>65128</v>
      </c>
    </row>
    <row r="170">
      <c r="A170" s="328">
        <f>IFERROR(__xludf.DUMMYFUNCTION("""COMPUTED_VALUE"""),44250.0)</f>
        <v>44250</v>
      </c>
      <c r="B170" s="329">
        <f>IFERROR(__xludf.DUMMYFUNCTION("""COMPUTED_VALUE"""),489.0)</f>
        <v>489</v>
      </c>
      <c r="C170" s="329">
        <f>IFERROR(__xludf.DUMMYFUNCTION("""COMPUTED_VALUE"""),359.0)</f>
        <v>359</v>
      </c>
      <c r="D170" s="329">
        <f>IFERROR(__xludf.DUMMYFUNCTION("""COMPUTED_VALUE"""),148777.0)</f>
        <v>148777</v>
      </c>
      <c r="E170" s="329">
        <f>IFERROR(__xludf.DUMMYFUNCTION("""COMPUTED_VALUE"""),19938.0)</f>
        <v>19938</v>
      </c>
      <c r="F170" s="329">
        <f>IFERROR(__xludf.DUMMYFUNCTION("""COMPUTED_VALUE"""),2778583.0)</f>
        <v>2778583</v>
      </c>
      <c r="G170" s="329">
        <f>IFERROR(__xludf.DUMMYFUNCTION("""COMPUTED_VALUE"""),20427.0)</f>
        <v>20427</v>
      </c>
      <c r="H170" s="329">
        <f>IFERROR(__xludf.DUMMYFUNCTION("""COMPUTED_VALUE"""),2927360.0)</f>
        <v>2927360</v>
      </c>
      <c r="I170" s="329">
        <f>IFERROR(__xludf.DUMMYFUNCTION("""COMPUTED_VALUE"""),443.0)</f>
        <v>443</v>
      </c>
      <c r="J170" s="329">
        <f>IFERROR(__xludf.DUMMYFUNCTION("""COMPUTED_VALUE"""),321.0)</f>
        <v>321</v>
      </c>
      <c r="K170" s="329">
        <f>IFERROR(__xludf.DUMMYFUNCTION("""COMPUTED_VALUE"""),125099.0)</f>
        <v>125099</v>
      </c>
      <c r="L170" s="329">
        <f>IFERROR(__xludf.DUMMYFUNCTION("""COMPUTED_VALUE"""),2092.0)</f>
        <v>2092</v>
      </c>
      <c r="M170" s="329">
        <f>IFERROR(__xludf.DUMMYFUNCTION("""COMPUTED_VALUE"""),656064.0)</f>
        <v>656064</v>
      </c>
      <c r="N170" s="329">
        <f>IFERROR(__xludf.DUMMYFUNCTION("""COMPUTED_VALUE"""),781163.0)</f>
        <v>781163</v>
      </c>
      <c r="O170" s="329">
        <f>IFERROR(__xludf.DUMMYFUNCTION("""COMPUTED_VALUE"""),27.0)</f>
        <v>27</v>
      </c>
      <c r="P170" s="329">
        <f>IFERROR(__xludf.DUMMYFUNCTION("""COMPUTED_VALUE"""),8889.0)</f>
        <v>8889</v>
      </c>
      <c r="Q170" s="329">
        <f>IFERROR(__xludf.DUMMYFUNCTION("""COMPUTED_VALUE"""),27.0)</f>
        <v>27</v>
      </c>
      <c r="R170" s="329">
        <f>IFERROR(__xludf.DUMMYFUNCTION("""COMPUTED_VALUE"""),7714.0)</f>
        <v>7714</v>
      </c>
      <c r="S170" s="329">
        <f>IFERROR(__xludf.DUMMYFUNCTION("""COMPUTED_VALUE"""),2.0)</f>
        <v>2</v>
      </c>
      <c r="T170" s="329">
        <f>IFERROR(__xludf.DUMMYFUNCTION("""COMPUTED_VALUE"""),999.0)</f>
        <v>999</v>
      </c>
      <c r="U170" s="329">
        <f>IFERROR(__xludf.DUMMYFUNCTION("""COMPUTED_VALUE"""),176.0)</f>
        <v>176</v>
      </c>
      <c r="V170" s="329">
        <f>IFERROR(__xludf.DUMMYFUNCTION("""COMPUTED_VALUE"""),178.0)</f>
        <v>178</v>
      </c>
      <c r="W170" s="329">
        <f>IFERROR(__xludf.DUMMYFUNCTION("""COMPUTED_VALUE"""),32.0)</f>
        <v>32</v>
      </c>
      <c r="X170" s="329">
        <f>IFERROR(__xludf.DUMMYFUNCTION("""COMPUTED_VALUE"""),18.0)</f>
        <v>18</v>
      </c>
      <c r="Y170" s="329">
        <f>IFERROR(__xludf.DUMMYFUNCTION("""COMPUTED_VALUE"""),6.0)</f>
        <v>6</v>
      </c>
      <c r="Z170" s="329">
        <f>IFERROR(__xludf.DUMMYFUNCTION("""COMPUTED_VALUE"""),2530.0)</f>
        <v>2530</v>
      </c>
      <c r="AA170" s="329">
        <f>IFERROR(__xludf.DUMMYFUNCTION("""COMPUTED_VALUE"""),6124.0)</f>
        <v>6124</v>
      </c>
      <c r="AB170" s="329">
        <f>IFERROR(__xludf.DUMMYFUNCTION("""COMPUTED_VALUE"""),1382.0)</f>
        <v>1382</v>
      </c>
      <c r="AC170" s="329">
        <f>IFERROR(__xludf.DUMMYFUNCTION("""COMPUTED_VALUE"""),7506.0)</f>
        <v>7506</v>
      </c>
      <c r="AD170" s="329">
        <f>IFERROR(__xludf.DUMMYFUNCTION("""COMPUTED_VALUE"""),225212.0)</f>
        <v>225212</v>
      </c>
      <c r="AE170" s="329">
        <f>IFERROR(__xludf.DUMMYFUNCTION("""COMPUTED_VALUE"""),6124.0)</f>
        <v>6124</v>
      </c>
      <c r="AF170" s="329">
        <f>IFERROR(__xludf.DUMMYFUNCTION("""COMPUTED_VALUE"""),158704.0)</f>
        <v>158704</v>
      </c>
      <c r="AG170" s="329">
        <f>IFERROR(__xludf.DUMMYFUNCTION("""COMPUTED_VALUE"""),1382.0)</f>
        <v>1382</v>
      </c>
      <c r="AH170" s="329">
        <f>IFERROR(__xludf.DUMMYFUNCTION("""COMPUTED_VALUE"""),66510.0)</f>
        <v>66510</v>
      </c>
    </row>
    <row r="171">
      <c r="A171" s="328">
        <f>IFERROR(__xludf.DUMMYFUNCTION("""COMPUTED_VALUE"""),44251.0)</f>
        <v>44251</v>
      </c>
      <c r="B171" s="329">
        <f>IFERROR(__xludf.DUMMYFUNCTION("""COMPUTED_VALUE"""),489.0)</f>
        <v>489</v>
      </c>
      <c r="C171" s="329">
        <f>IFERROR(__xludf.DUMMYFUNCTION("""COMPUTED_VALUE"""),456.0)</f>
        <v>456</v>
      </c>
      <c r="D171" s="329">
        <f>IFERROR(__xludf.DUMMYFUNCTION("""COMPUTED_VALUE"""),149266.0)</f>
        <v>149266</v>
      </c>
      <c r="E171" s="329">
        <f>IFERROR(__xludf.DUMMYFUNCTION("""COMPUTED_VALUE"""),23277.0)</f>
        <v>23277</v>
      </c>
      <c r="F171" s="329">
        <f>IFERROR(__xludf.DUMMYFUNCTION("""COMPUTED_VALUE"""),2801860.0)</f>
        <v>2801860</v>
      </c>
      <c r="G171" s="329">
        <f>IFERROR(__xludf.DUMMYFUNCTION("""COMPUTED_VALUE"""),23766.0)</f>
        <v>23766</v>
      </c>
      <c r="H171" s="329">
        <f>IFERROR(__xludf.DUMMYFUNCTION("""COMPUTED_VALUE"""),2951126.0)</f>
        <v>2951126</v>
      </c>
      <c r="I171" s="329">
        <f>IFERROR(__xludf.DUMMYFUNCTION("""COMPUTED_VALUE"""),427.0)</f>
        <v>427</v>
      </c>
      <c r="J171" s="329">
        <f>IFERROR(__xludf.DUMMYFUNCTION("""COMPUTED_VALUE"""),405.0)</f>
        <v>405</v>
      </c>
      <c r="K171" s="329">
        <f>IFERROR(__xludf.DUMMYFUNCTION("""COMPUTED_VALUE"""),125526.0)</f>
        <v>125526</v>
      </c>
      <c r="L171" s="329">
        <f>IFERROR(__xludf.DUMMYFUNCTION("""COMPUTED_VALUE"""),2019.0)</f>
        <v>2019</v>
      </c>
      <c r="M171" s="329">
        <f>IFERROR(__xludf.DUMMYFUNCTION("""COMPUTED_VALUE"""),658083.0)</f>
        <v>658083</v>
      </c>
      <c r="N171" s="329">
        <f>IFERROR(__xludf.DUMMYFUNCTION("""COMPUTED_VALUE"""),783609.0)</f>
        <v>783609</v>
      </c>
      <c r="O171" s="329">
        <f>IFERROR(__xludf.DUMMYFUNCTION("""COMPUTED_VALUE"""),28.0)</f>
        <v>28</v>
      </c>
      <c r="P171" s="329">
        <f>IFERROR(__xludf.DUMMYFUNCTION("""COMPUTED_VALUE"""),8917.0)</f>
        <v>8917</v>
      </c>
      <c r="Q171" s="329">
        <f>IFERROR(__xludf.DUMMYFUNCTION("""COMPUTED_VALUE"""),20.0)</f>
        <v>20</v>
      </c>
      <c r="R171" s="329">
        <f>IFERROR(__xludf.DUMMYFUNCTION("""COMPUTED_VALUE"""),7734.0)</f>
        <v>7734</v>
      </c>
      <c r="S171" s="329">
        <f>IFERROR(__xludf.DUMMYFUNCTION("""COMPUTED_VALUE"""),2.0)</f>
        <v>2</v>
      </c>
      <c r="T171" s="329">
        <f>IFERROR(__xludf.DUMMYFUNCTION("""COMPUTED_VALUE"""),1001.0)</f>
        <v>1001</v>
      </c>
      <c r="U171" s="329">
        <f>IFERROR(__xludf.DUMMYFUNCTION("""COMPUTED_VALUE"""),182.0)</f>
        <v>182</v>
      </c>
      <c r="V171" s="329">
        <f>IFERROR(__xludf.DUMMYFUNCTION("""COMPUTED_VALUE"""),179.0)</f>
        <v>179</v>
      </c>
      <c r="W171" s="329">
        <f>IFERROR(__xludf.DUMMYFUNCTION("""COMPUTED_VALUE"""),33.0)</f>
        <v>33</v>
      </c>
      <c r="X171" s="329">
        <f>IFERROR(__xludf.DUMMYFUNCTION("""COMPUTED_VALUE"""),20.0)</f>
        <v>20</v>
      </c>
      <c r="Y171" s="329">
        <f>IFERROR(__xludf.DUMMYFUNCTION("""COMPUTED_VALUE"""),5.0)</f>
        <v>5</v>
      </c>
      <c r="Z171" s="329">
        <f>IFERROR(__xludf.DUMMYFUNCTION("""COMPUTED_VALUE"""),2535.0)</f>
        <v>2535</v>
      </c>
      <c r="AA171" s="329">
        <f>IFERROR(__xludf.DUMMYFUNCTION("""COMPUTED_VALUE"""),6641.0)</f>
        <v>6641</v>
      </c>
      <c r="AB171" s="329">
        <f>IFERROR(__xludf.DUMMYFUNCTION("""COMPUTED_VALUE"""),1821.0)</f>
        <v>1821</v>
      </c>
      <c r="AC171" s="329">
        <f>IFERROR(__xludf.DUMMYFUNCTION("""COMPUTED_VALUE"""),8462.0)</f>
        <v>8462</v>
      </c>
      <c r="AD171" s="329">
        <f>IFERROR(__xludf.DUMMYFUNCTION("""COMPUTED_VALUE"""),233674.0)</f>
        <v>233674</v>
      </c>
      <c r="AE171" s="329">
        <f>IFERROR(__xludf.DUMMYFUNCTION("""COMPUTED_VALUE"""),6641.0)</f>
        <v>6641</v>
      </c>
      <c r="AF171" s="329">
        <f>IFERROR(__xludf.DUMMYFUNCTION("""COMPUTED_VALUE"""),165345.0)</f>
        <v>165345</v>
      </c>
      <c r="AG171" s="329">
        <f>IFERROR(__xludf.DUMMYFUNCTION("""COMPUTED_VALUE"""),1821.0)</f>
        <v>1821</v>
      </c>
      <c r="AH171" s="329">
        <f>IFERROR(__xludf.DUMMYFUNCTION("""COMPUTED_VALUE"""),68331.0)</f>
        <v>68331</v>
      </c>
    </row>
    <row r="172">
      <c r="A172" s="328">
        <f>IFERROR(__xludf.DUMMYFUNCTION("""COMPUTED_VALUE"""),44252.0)</f>
        <v>44252</v>
      </c>
      <c r="B172" s="329">
        <f>IFERROR(__xludf.DUMMYFUNCTION("""COMPUTED_VALUE"""),526.0)</f>
        <v>526</v>
      </c>
      <c r="C172" s="329">
        <f>IFERROR(__xludf.DUMMYFUNCTION("""COMPUTED_VALUE"""),501.0)</f>
        <v>501</v>
      </c>
      <c r="D172" s="329">
        <f>IFERROR(__xludf.DUMMYFUNCTION("""COMPUTED_VALUE"""),149792.0)</f>
        <v>149792</v>
      </c>
      <c r="E172" s="329">
        <f>IFERROR(__xludf.DUMMYFUNCTION("""COMPUTED_VALUE"""),21113.0)</f>
        <v>21113</v>
      </c>
      <c r="F172" s="329">
        <f>IFERROR(__xludf.DUMMYFUNCTION("""COMPUTED_VALUE"""),2822973.0)</f>
        <v>2822973</v>
      </c>
      <c r="G172" s="329">
        <f>IFERROR(__xludf.DUMMYFUNCTION("""COMPUTED_VALUE"""),21639.0)</f>
        <v>21639</v>
      </c>
      <c r="H172" s="329">
        <f>IFERROR(__xludf.DUMMYFUNCTION("""COMPUTED_VALUE"""),2972765.0)</f>
        <v>2972765</v>
      </c>
      <c r="I172" s="329">
        <f>IFERROR(__xludf.DUMMYFUNCTION("""COMPUTED_VALUE"""),463.0)</f>
        <v>463</v>
      </c>
      <c r="J172" s="329">
        <f>IFERROR(__xludf.DUMMYFUNCTION("""COMPUTED_VALUE"""),444.0)</f>
        <v>444</v>
      </c>
      <c r="K172" s="329">
        <f>IFERROR(__xludf.DUMMYFUNCTION("""COMPUTED_VALUE"""),125989.0)</f>
        <v>125989</v>
      </c>
      <c r="L172" s="329">
        <f>IFERROR(__xludf.DUMMYFUNCTION("""COMPUTED_VALUE"""),1925.0)</f>
        <v>1925</v>
      </c>
      <c r="M172" s="329">
        <f>IFERROR(__xludf.DUMMYFUNCTION("""COMPUTED_VALUE"""),660008.0)</f>
        <v>660008</v>
      </c>
      <c r="N172" s="329">
        <f>IFERROR(__xludf.DUMMYFUNCTION("""COMPUTED_VALUE"""),785997.0)</f>
        <v>785997</v>
      </c>
      <c r="O172" s="329">
        <f>IFERROR(__xludf.DUMMYFUNCTION("""COMPUTED_VALUE"""),19.0)</f>
        <v>19</v>
      </c>
      <c r="P172" s="329">
        <f>IFERROR(__xludf.DUMMYFUNCTION("""COMPUTED_VALUE"""),8936.0)</f>
        <v>8936</v>
      </c>
      <c r="Q172" s="329">
        <f>IFERROR(__xludf.DUMMYFUNCTION("""COMPUTED_VALUE"""),20.0)</f>
        <v>20</v>
      </c>
      <c r="R172" s="329">
        <f>IFERROR(__xludf.DUMMYFUNCTION("""COMPUTED_VALUE"""),7754.0)</f>
        <v>7754</v>
      </c>
      <c r="S172" s="329">
        <f>IFERROR(__xludf.DUMMYFUNCTION("""COMPUTED_VALUE"""),3.0)</f>
        <v>3</v>
      </c>
      <c r="T172" s="329">
        <f>IFERROR(__xludf.DUMMYFUNCTION("""COMPUTED_VALUE"""),1004.0)</f>
        <v>1004</v>
      </c>
      <c r="U172" s="329">
        <f>IFERROR(__xludf.DUMMYFUNCTION("""COMPUTED_VALUE"""),178.0)</f>
        <v>178</v>
      </c>
      <c r="V172" s="329">
        <f>IFERROR(__xludf.DUMMYFUNCTION("""COMPUTED_VALUE"""),179.0)</f>
        <v>179</v>
      </c>
      <c r="W172" s="329">
        <f>IFERROR(__xludf.DUMMYFUNCTION("""COMPUTED_VALUE"""),30.0)</f>
        <v>30</v>
      </c>
      <c r="X172" s="329">
        <f>IFERROR(__xludf.DUMMYFUNCTION("""COMPUTED_VALUE"""),20.0)</f>
        <v>20</v>
      </c>
      <c r="Y172" s="329">
        <f>IFERROR(__xludf.DUMMYFUNCTION("""COMPUTED_VALUE"""),5.0)</f>
        <v>5</v>
      </c>
      <c r="Z172" s="329">
        <f>IFERROR(__xludf.DUMMYFUNCTION("""COMPUTED_VALUE"""),2540.0)</f>
        <v>2540</v>
      </c>
      <c r="AA172" s="329">
        <f>IFERROR(__xludf.DUMMYFUNCTION("""COMPUTED_VALUE"""),8711.0)</f>
        <v>8711</v>
      </c>
      <c r="AB172" s="329">
        <f>IFERROR(__xludf.DUMMYFUNCTION("""COMPUTED_VALUE"""),2981.0)</f>
        <v>2981</v>
      </c>
      <c r="AC172" s="329">
        <f>IFERROR(__xludf.DUMMYFUNCTION("""COMPUTED_VALUE"""),11692.0)</f>
        <v>11692</v>
      </c>
      <c r="AD172" s="329">
        <f>IFERROR(__xludf.DUMMYFUNCTION("""COMPUTED_VALUE"""),245366.0)</f>
        <v>245366</v>
      </c>
      <c r="AE172" s="329">
        <f>IFERROR(__xludf.DUMMYFUNCTION("""COMPUTED_VALUE"""),8711.0)</f>
        <v>8711</v>
      </c>
      <c r="AF172" s="329">
        <f>IFERROR(__xludf.DUMMYFUNCTION("""COMPUTED_VALUE"""),174056.0)</f>
        <v>174056</v>
      </c>
      <c r="AG172" s="329">
        <f>IFERROR(__xludf.DUMMYFUNCTION("""COMPUTED_VALUE"""),2981.0)</f>
        <v>2981</v>
      </c>
      <c r="AH172" s="329">
        <f>IFERROR(__xludf.DUMMYFUNCTION("""COMPUTED_VALUE"""),71312.0)</f>
        <v>71312</v>
      </c>
    </row>
    <row r="173">
      <c r="A173" s="328">
        <f>IFERROR(__xludf.DUMMYFUNCTION("""COMPUTED_VALUE"""),44253.0)</f>
        <v>44253</v>
      </c>
      <c r="B173" s="329">
        <f>IFERROR(__xludf.DUMMYFUNCTION("""COMPUTED_VALUE"""),433.0)</f>
        <v>433</v>
      </c>
      <c r="C173" s="329">
        <f>IFERROR(__xludf.DUMMYFUNCTION("""COMPUTED_VALUE"""),483.0)</f>
        <v>483</v>
      </c>
      <c r="D173" s="329">
        <f>IFERROR(__xludf.DUMMYFUNCTION("""COMPUTED_VALUE"""),150225.0)</f>
        <v>150225</v>
      </c>
      <c r="E173" s="329">
        <f>IFERROR(__xludf.DUMMYFUNCTION("""COMPUTED_VALUE"""),18585.0)</f>
        <v>18585</v>
      </c>
      <c r="F173" s="329">
        <f>IFERROR(__xludf.DUMMYFUNCTION("""COMPUTED_VALUE"""),2841558.0)</f>
        <v>2841558</v>
      </c>
      <c r="G173" s="329">
        <f>IFERROR(__xludf.DUMMYFUNCTION("""COMPUTED_VALUE"""),19018.0)</f>
        <v>19018</v>
      </c>
      <c r="H173" s="329">
        <f>IFERROR(__xludf.DUMMYFUNCTION("""COMPUTED_VALUE"""),2991783.0)</f>
        <v>2991783</v>
      </c>
      <c r="I173" s="329">
        <f>IFERROR(__xludf.DUMMYFUNCTION("""COMPUTED_VALUE"""),377.0)</f>
        <v>377</v>
      </c>
      <c r="J173" s="329">
        <f>IFERROR(__xludf.DUMMYFUNCTION("""COMPUTED_VALUE"""),422.0)</f>
        <v>422</v>
      </c>
      <c r="K173" s="329">
        <f>IFERROR(__xludf.DUMMYFUNCTION("""COMPUTED_VALUE"""),126366.0)</f>
        <v>126366</v>
      </c>
      <c r="L173" s="329">
        <f>IFERROR(__xludf.DUMMYFUNCTION("""COMPUTED_VALUE"""),1584.0)</f>
        <v>1584</v>
      </c>
      <c r="M173" s="329">
        <f>IFERROR(__xludf.DUMMYFUNCTION("""COMPUTED_VALUE"""),661592.0)</f>
        <v>661592</v>
      </c>
      <c r="N173" s="329">
        <f>IFERROR(__xludf.DUMMYFUNCTION("""COMPUTED_VALUE"""),787958.0)</f>
        <v>787958</v>
      </c>
      <c r="O173" s="329">
        <f>IFERROR(__xludf.DUMMYFUNCTION("""COMPUTED_VALUE"""),26.0)</f>
        <v>26</v>
      </c>
      <c r="P173" s="329">
        <f>IFERROR(__xludf.DUMMYFUNCTION("""COMPUTED_VALUE"""),8962.0)</f>
        <v>8962</v>
      </c>
      <c r="Q173" s="329">
        <f>IFERROR(__xludf.DUMMYFUNCTION("""COMPUTED_VALUE"""),24.0)</f>
        <v>24</v>
      </c>
      <c r="R173" s="329">
        <f>IFERROR(__xludf.DUMMYFUNCTION("""COMPUTED_VALUE"""),7778.0)</f>
        <v>7778</v>
      </c>
      <c r="S173" s="329">
        <f>IFERROR(__xludf.DUMMYFUNCTION("""COMPUTED_VALUE"""),1.0)</f>
        <v>1</v>
      </c>
      <c r="T173" s="329">
        <f>IFERROR(__xludf.DUMMYFUNCTION("""COMPUTED_VALUE"""),1005.0)</f>
        <v>1005</v>
      </c>
      <c r="U173" s="329">
        <f>IFERROR(__xludf.DUMMYFUNCTION("""COMPUTED_VALUE"""),179.0)</f>
        <v>179</v>
      </c>
      <c r="V173" s="329">
        <f>IFERROR(__xludf.DUMMYFUNCTION("""COMPUTED_VALUE"""),180.0)</f>
        <v>180</v>
      </c>
      <c r="W173" s="329">
        <f>IFERROR(__xludf.DUMMYFUNCTION("""COMPUTED_VALUE"""),30.0)</f>
        <v>30</v>
      </c>
      <c r="X173" s="329">
        <f>IFERROR(__xludf.DUMMYFUNCTION("""COMPUTED_VALUE"""),21.0)</f>
        <v>21</v>
      </c>
      <c r="Y173" s="329">
        <f>IFERROR(__xludf.DUMMYFUNCTION("""COMPUTED_VALUE"""),0.0)</f>
        <v>0</v>
      </c>
      <c r="Z173" s="329">
        <f>IFERROR(__xludf.DUMMYFUNCTION("""COMPUTED_VALUE"""),2540.0)</f>
        <v>2540</v>
      </c>
      <c r="AA173" s="329">
        <f>IFERROR(__xludf.DUMMYFUNCTION("""COMPUTED_VALUE"""),8431.0)</f>
        <v>8431</v>
      </c>
      <c r="AB173" s="329">
        <f>IFERROR(__xludf.DUMMYFUNCTION("""COMPUTED_VALUE"""),2644.0)</f>
        <v>2644</v>
      </c>
      <c r="AC173" s="329">
        <f>IFERROR(__xludf.DUMMYFUNCTION("""COMPUTED_VALUE"""),11075.0)</f>
        <v>11075</v>
      </c>
      <c r="AD173" s="329">
        <f>IFERROR(__xludf.DUMMYFUNCTION("""COMPUTED_VALUE"""),256441.0)</f>
        <v>256441</v>
      </c>
      <c r="AE173" s="329">
        <f>IFERROR(__xludf.DUMMYFUNCTION("""COMPUTED_VALUE"""),8431.0)</f>
        <v>8431</v>
      </c>
      <c r="AF173" s="329">
        <f>IFERROR(__xludf.DUMMYFUNCTION("""COMPUTED_VALUE"""),182487.0)</f>
        <v>182487</v>
      </c>
      <c r="AG173" s="329">
        <f>IFERROR(__xludf.DUMMYFUNCTION("""COMPUTED_VALUE"""),2644.0)</f>
        <v>2644</v>
      </c>
      <c r="AH173" s="329">
        <f>IFERROR(__xludf.DUMMYFUNCTION("""COMPUTED_VALUE"""),73956.0)</f>
        <v>73956</v>
      </c>
    </row>
    <row r="174">
      <c r="A174" s="328">
        <f>IFERROR(__xludf.DUMMYFUNCTION("""COMPUTED_VALUE"""),44254.0)</f>
        <v>44254</v>
      </c>
      <c r="B174" s="329">
        <f>IFERROR(__xludf.DUMMYFUNCTION("""COMPUTED_VALUE"""),384.0)</f>
        <v>384</v>
      </c>
      <c r="C174" s="329">
        <f>IFERROR(__xludf.DUMMYFUNCTION("""COMPUTED_VALUE"""),448.0)</f>
        <v>448</v>
      </c>
      <c r="D174" s="329">
        <f>IFERROR(__xludf.DUMMYFUNCTION("""COMPUTED_VALUE"""),150609.0)</f>
        <v>150609</v>
      </c>
      <c r="E174" s="329">
        <f>IFERROR(__xludf.DUMMYFUNCTION("""COMPUTED_VALUE"""),14920.0)</f>
        <v>14920</v>
      </c>
      <c r="F174" s="329">
        <f>IFERROR(__xludf.DUMMYFUNCTION("""COMPUTED_VALUE"""),2856478.0)</f>
        <v>2856478</v>
      </c>
      <c r="G174" s="329">
        <f>IFERROR(__xludf.DUMMYFUNCTION("""COMPUTED_VALUE"""),15304.0)</f>
        <v>15304</v>
      </c>
      <c r="H174" s="329">
        <f>IFERROR(__xludf.DUMMYFUNCTION("""COMPUTED_VALUE"""),3007087.0)</f>
        <v>3007087</v>
      </c>
      <c r="I174" s="329">
        <f>IFERROR(__xludf.DUMMYFUNCTION("""COMPUTED_VALUE"""),356.0)</f>
        <v>356</v>
      </c>
      <c r="J174" s="329">
        <f>IFERROR(__xludf.DUMMYFUNCTION("""COMPUTED_VALUE"""),399.0)</f>
        <v>399</v>
      </c>
      <c r="K174" s="329">
        <f>IFERROR(__xludf.DUMMYFUNCTION("""COMPUTED_VALUE"""),126722.0)</f>
        <v>126722</v>
      </c>
      <c r="L174" s="329">
        <f>IFERROR(__xludf.DUMMYFUNCTION("""COMPUTED_VALUE"""),1626.0)</f>
        <v>1626</v>
      </c>
      <c r="M174" s="329">
        <f>IFERROR(__xludf.DUMMYFUNCTION("""COMPUTED_VALUE"""),663218.0)</f>
        <v>663218</v>
      </c>
      <c r="N174" s="329">
        <f>IFERROR(__xludf.DUMMYFUNCTION("""COMPUTED_VALUE"""),789940.0)</f>
        <v>789940</v>
      </c>
      <c r="O174" s="329">
        <f>IFERROR(__xludf.DUMMYFUNCTION("""COMPUTED_VALUE"""),14.0)</f>
        <v>14</v>
      </c>
      <c r="P174" s="329">
        <f>IFERROR(__xludf.DUMMYFUNCTION("""COMPUTED_VALUE"""),8976.0)</f>
        <v>8976</v>
      </c>
      <c r="Q174" s="329">
        <f>IFERROR(__xludf.DUMMYFUNCTION("""COMPUTED_VALUE"""),13.0)</f>
        <v>13</v>
      </c>
      <c r="R174" s="329">
        <f>IFERROR(__xludf.DUMMYFUNCTION("""COMPUTED_VALUE"""),7791.0)</f>
        <v>7791</v>
      </c>
      <c r="S174" s="329">
        <f>IFERROR(__xludf.DUMMYFUNCTION("""COMPUTED_VALUE"""),1.0)</f>
        <v>1</v>
      </c>
      <c r="T174" s="329">
        <f>IFERROR(__xludf.DUMMYFUNCTION("""COMPUTED_VALUE"""),1006.0)</f>
        <v>1006</v>
      </c>
      <c r="U174" s="329">
        <f>IFERROR(__xludf.DUMMYFUNCTION("""COMPUTED_VALUE"""),179.0)</f>
        <v>179</v>
      </c>
      <c r="V174" s="329">
        <f>IFERROR(__xludf.DUMMYFUNCTION("""COMPUTED_VALUE"""),179.0)</f>
        <v>179</v>
      </c>
      <c r="W174" s="329">
        <f>IFERROR(__xludf.DUMMYFUNCTION("""COMPUTED_VALUE"""),30.0)</f>
        <v>30</v>
      </c>
      <c r="X174" s="329">
        <f>IFERROR(__xludf.DUMMYFUNCTION("""COMPUTED_VALUE"""),21.0)</f>
        <v>21</v>
      </c>
      <c r="Y174" s="329">
        <f>IFERROR(__xludf.DUMMYFUNCTION("""COMPUTED_VALUE"""),4.0)</f>
        <v>4</v>
      </c>
      <c r="Z174" s="329">
        <f>IFERROR(__xludf.DUMMYFUNCTION("""COMPUTED_VALUE"""),2544.0)</f>
        <v>2544</v>
      </c>
      <c r="AA174" s="329">
        <f>IFERROR(__xludf.DUMMYFUNCTION("""COMPUTED_VALUE"""),8510.0)</f>
        <v>8510</v>
      </c>
      <c r="AB174" s="329">
        <f>IFERROR(__xludf.DUMMYFUNCTION("""COMPUTED_VALUE"""),3735.0)</f>
        <v>3735</v>
      </c>
      <c r="AC174" s="329">
        <f>IFERROR(__xludf.DUMMYFUNCTION("""COMPUTED_VALUE"""),12245.0)</f>
        <v>12245</v>
      </c>
      <c r="AD174" s="329">
        <f>IFERROR(__xludf.DUMMYFUNCTION("""COMPUTED_VALUE"""),268686.0)</f>
        <v>268686</v>
      </c>
      <c r="AE174" s="329">
        <f>IFERROR(__xludf.DUMMYFUNCTION("""COMPUTED_VALUE"""),8510.0)</f>
        <v>8510</v>
      </c>
      <c r="AF174" s="329">
        <f>IFERROR(__xludf.DUMMYFUNCTION("""COMPUTED_VALUE"""),190997.0)</f>
        <v>190997</v>
      </c>
      <c r="AG174" s="329">
        <f>IFERROR(__xludf.DUMMYFUNCTION("""COMPUTED_VALUE"""),3735.0)</f>
        <v>3735</v>
      </c>
      <c r="AH174" s="329">
        <f>IFERROR(__xludf.DUMMYFUNCTION("""COMPUTED_VALUE"""),77691.0)</f>
        <v>77691</v>
      </c>
    </row>
    <row r="175">
      <c r="A175" s="328">
        <f>IFERROR(__xludf.DUMMYFUNCTION("""COMPUTED_VALUE"""),44255.0)</f>
        <v>44255</v>
      </c>
      <c r="B175" s="329">
        <f>IFERROR(__xludf.DUMMYFUNCTION("""COMPUTED_VALUE"""),193.0)</f>
        <v>193</v>
      </c>
      <c r="C175" s="329">
        <f>IFERROR(__xludf.DUMMYFUNCTION("""COMPUTED_VALUE"""),337.0)</f>
        <v>337</v>
      </c>
      <c r="D175" s="329">
        <f>IFERROR(__xludf.DUMMYFUNCTION("""COMPUTED_VALUE"""),150802.0)</f>
        <v>150802</v>
      </c>
      <c r="E175" s="329">
        <f>IFERROR(__xludf.DUMMYFUNCTION("""COMPUTED_VALUE"""),6184.0)</f>
        <v>6184</v>
      </c>
      <c r="F175" s="329">
        <f>IFERROR(__xludf.DUMMYFUNCTION("""COMPUTED_VALUE"""),2862662.0)</f>
        <v>2862662</v>
      </c>
      <c r="G175" s="329">
        <f>IFERROR(__xludf.DUMMYFUNCTION("""COMPUTED_VALUE"""),6377.0)</f>
        <v>6377</v>
      </c>
      <c r="H175" s="329">
        <f>IFERROR(__xludf.DUMMYFUNCTION("""COMPUTED_VALUE"""),3013464.0)</f>
        <v>3013464</v>
      </c>
      <c r="I175" s="329">
        <f>IFERROR(__xludf.DUMMYFUNCTION("""COMPUTED_VALUE"""),172.0)</f>
        <v>172</v>
      </c>
      <c r="J175" s="329">
        <f>IFERROR(__xludf.DUMMYFUNCTION("""COMPUTED_VALUE"""),302.0)</f>
        <v>302</v>
      </c>
      <c r="K175" s="329">
        <f>IFERROR(__xludf.DUMMYFUNCTION("""COMPUTED_VALUE"""),126894.0)</f>
        <v>126894</v>
      </c>
      <c r="L175" s="329">
        <f>IFERROR(__xludf.DUMMYFUNCTION("""COMPUTED_VALUE"""),724.0)</f>
        <v>724</v>
      </c>
      <c r="M175" s="329">
        <f>IFERROR(__xludf.DUMMYFUNCTION("""COMPUTED_VALUE"""),663942.0)</f>
        <v>663942</v>
      </c>
      <c r="N175" s="329">
        <f>IFERROR(__xludf.DUMMYFUNCTION("""COMPUTED_VALUE"""),790836.0)</f>
        <v>790836</v>
      </c>
      <c r="O175" s="329">
        <f>IFERROR(__xludf.DUMMYFUNCTION("""COMPUTED_VALUE"""),8.0)</f>
        <v>8</v>
      </c>
      <c r="P175" s="329">
        <f>IFERROR(__xludf.DUMMYFUNCTION("""COMPUTED_VALUE"""),8984.0)</f>
        <v>8984</v>
      </c>
      <c r="Q175" s="329">
        <f>IFERROR(__xludf.DUMMYFUNCTION("""COMPUTED_VALUE"""),9.0)</f>
        <v>9</v>
      </c>
      <c r="R175" s="329">
        <f>IFERROR(__xludf.DUMMYFUNCTION("""COMPUTED_VALUE"""),7800.0)</f>
        <v>7800</v>
      </c>
      <c r="S175" s="329">
        <f>IFERROR(__xludf.DUMMYFUNCTION("""COMPUTED_VALUE"""),2.0)</f>
        <v>2</v>
      </c>
      <c r="T175" s="329">
        <f>IFERROR(__xludf.DUMMYFUNCTION("""COMPUTED_VALUE"""),1008.0)</f>
        <v>1008</v>
      </c>
      <c r="U175" s="329">
        <f>IFERROR(__xludf.DUMMYFUNCTION("""COMPUTED_VALUE"""),176.0)</f>
        <v>176</v>
      </c>
      <c r="V175" s="329">
        <f>IFERROR(__xludf.DUMMYFUNCTION("""COMPUTED_VALUE"""),178.0)</f>
        <v>178</v>
      </c>
      <c r="W175" s="329">
        <f>IFERROR(__xludf.DUMMYFUNCTION("""COMPUTED_VALUE"""),28.0)</f>
        <v>28</v>
      </c>
      <c r="X175" s="329">
        <f>IFERROR(__xludf.DUMMYFUNCTION("""COMPUTED_VALUE"""),19.0)</f>
        <v>19</v>
      </c>
      <c r="Y175" s="329">
        <f>IFERROR(__xludf.DUMMYFUNCTION("""COMPUTED_VALUE"""),3.0)</f>
        <v>3</v>
      </c>
      <c r="Z175" s="329">
        <f>IFERROR(__xludf.DUMMYFUNCTION("""COMPUTED_VALUE"""),2547.0)</f>
        <v>2547</v>
      </c>
      <c r="AA175" s="329">
        <f>IFERROR(__xludf.DUMMYFUNCTION("""COMPUTED_VALUE"""),2517.0)</f>
        <v>2517</v>
      </c>
      <c r="AB175" s="329">
        <f>IFERROR(__xludf.DUMMYFUNCTION("""COMPUTED_VALUE"""),1351.0)</f>
        <v>1351</v>
      </c>
      <c r="AC175" s="329">
        <f>IFERROR(__xludf.DUMMYFUNCTION("""COMPUTED_VALUE"""),3868.0)</f>
        <v>3868</v>
      </c>
      <c r="AD175" s="329">
        <f>IFERROR(__xludf.DUMMYFUNCTION("""COMPUTED_VALUE"""),272554.0)</f>
        <v>272554</v>
      </c>
      <c r="AE175" s="329">
        <f>IFERROR(__xludf.DUMMYFUNCTION("""COMPUTED_VALUE"""),2517.0)</f>
        <v>2517</v>
      </c>
      <c r="AF175" s="329">
        <f>IFERROR(__xludf.DUMMYFUNCTION("""COMPUTED_VALUE"""),193514.0)</f>
        <v>193514</v>
      </c>
      <c r="AG175" s="329">
        <f>IFERROR(__xludf.DUMMYFUNCTION("""COMPUTED_VALUE"""),1351.0)</f>
        <v>1351</v>
      </c>
      <c r="AH175" s="329">
        <f>IFERROR(__xludf.DUMMYFUNCTION("""COMPUTED_VALUE"""),79042.0)</f>
        <v>79042</v>
      </c>
    </row>
    <row r="176">
      <c r="A176" s="328">
        <f>IFERROR(__xludf.DUMMYFUNCTION("""COMPUTED_VALUE"""),44256.0)</f>
        <v>44256</v>
      </c>
      <c r="B176" s="329">
        <f>IFERROR(__xludf.DUMMYFUNCTION("""COMPUTED_VALUE"""),360.0)</f>
        <v>360</v>
      </c>
      <c r="C176" s="329">
        <f>IFERROR(__xludf.DUMMYFUNCTION("""COMPUTED_VALUE"""),312.0)</f>
        <v>312</v>
      </c>
      <c r="D176" s="329">
        <f>IFERROR(__xludf.DUMMYFUNCTION("""COMPUTED_VALUE"""),151162.0)</f>
        <v>151162</v>
      </c>
      <c r="E176" s="329">
        <f>IFERROR(__xludf.DUMMYFUNCTION("""COMPUTED_VALUE"""),11466.0)</f>
        <v>11466</v>
      </c>
      <c r="F176" s="329">
        <f>IFERROR(__xludf.DUMMYFUNCTION("""COMPUTED_VALUE"""),2874128.0)</f>
        <v>2874128</v>
      </c>
      <c r="G176" s="329">
        <f>IFERROR(__xludf.DUMMYFUNCTION("""COMPUTED_VALUE"""),11826.0)</f>
        <v>11826</v>
      </c>
      <c r="H176" s="329">
        <f>IFERROR(__xludf.DUMMYFUNCTION("""COMPUTED_VALUE"""),3025290.0)</f>
        <v>3025290</v>
      </c>
      <c r="I176" s="329">
        <f>IFERROR(__xludf.DUMMYFUNCTION("""COMPUTED_VALUE"""),322.0)</f>
        <v>322</v>
      </c>
      <c r="J176" s="329">
        <f>IFERROR(__xludf.DUMMYFUNCTION("""COMPUTED_VALUE"""),283.0)</f>
        <v>283</v>
      </c>
      <c r="K176" s="329">
        <f>IFERROR(__xludf.DUMMYFUNCTION("""COMPUTED_VALUE"""),127216.0)</f>
        <v>127216</v>
      </c>
      <c r="L176" s="329">
        <f>IFERROR(__xludf.DUMMYFUNCTION("""COMPUTED_VALUE"""),1383.0)</f>
        <v>1383</v>
      </c>
      <c r="M176" s="329">
        <f>IFERROR(__xludf.DUMMYFUNCTION("""COMPUTED_VALUE"""),665325.0)</f>
        <v>665325</v>
      </c>
      <c r="N176" s="329">
        <f>IFERROR(__xludf.DUMMYFUNCTION("""COMPUTED_VALUE"""),792541.0)</f>
        <v>792541</v>
      </c>
      <c r="O176" s="329">
        <f>IFERROR(__xludf.DUMMYFUNCTION("""COMPUTED_VALUE"""),15.0)</f>
        <v>15</v>
      </c>
      <c r="P176" s="329">
        <f>IFERROR(__xludf.DUMMYFUNCTION("""COMPUTED_VALUE"""),8999.0)</f>
        <v>8999</v>
      </c>
      <c r="Q176" s="329">
        <f>IFERROR(__xludf.DUMMYFUNCTION("""COMPUTED_VALUE"""),21.0)</f>
        <v>21</v>
      </c>
      <c r="R176" s="329">
        <f>IFERROR(__xludf.DUMMYFUNCTION("""COMPUTED_VALUE"""),7821.0)</f>
        <v>7821</v>
      </c>
      <c r="S176" s="329">
        <f>IFERROR(__xludf.DUMMYFUNCTION("""COMPUTED_VALUE"""),4.0)</f>
        <v>4</v>
      </c>
      <c r="T176" s="329">
        <f>IFERROR(__xludf.DUMMYFUNCTION("""COMPUTED_VALUE"""),1012.0)</f>
        <v>1012</v>
      </c>
      <c r="U176" s="329">
        <f>IFERROR(__xludf.DUMMYFUNCTION("""COMPUTED_VALUE"""),166.0)</f>
        <v>166</v>
      </c>
      <c r="V176" s="329">
        <f>IFERROR(__xludf.DUMMYFUNCTION("""COMPUTED_VALUE"""),174.0)</f>
        <v>174</v>
      </c>
      <c r="W176" s="329">
        <f>IFERROR(__xludf.DUMMYFUNCTION("""COMPUTED_VALUE"""),27.0)</f>
        <v>27</v>
      </c>
      <c r="X176" s="329">
        <f>IFERROR(__xludf.DUMMYFUNCTION("""COMPUTED_VALUE"""),17.0)</f>
        <v>17</v>
      </c>
      <c r="Y176" s="329">
        <f>IFERROR(__xludf.DUMMYFUNCTION("""COMPUTED_VALUE"""),6.0)</f>
        <v>6</v>
      </c>
      <c r="Z176" s="329">
        <f>IFERROR(__xludf.DUMMYFUNCTION("""COMPUTED_VALUE"""),2553.0)</f>
        <v>2553</v>
      </c>
      <c r="AA176" s="329">
        <f>IFERROR(__xludf.DUMMYFUNCTION("""COMPUTED_VALUE"""),4813.0)</f>
        <v>4813</v>
      </c>
      <c r="AB176" s="329">
        <f>IFERROR(__xludf.DUMMYFUNCTION("""COMPUTED_VALUE"""),1485.0)</f>
        <v>1485</v>
      </c>
      <c r="AC176" s="329">
        <f>IFERROR(__xludf.DUMMYFUNCTION("""COMPUTED_VALUE"""),6298.0)</f>
        <v>6298</v>
      </c>
      <c r="AD176" s="329">
        <f>IFERROR(__xludf.DUMMYFUNCTION("""COMPUTED_VALUE"""),278852.0)</f>
        <v>278852</v>
      </c>
      <c r="AE176" s="329">
        <f>IFERROR(__xludf.DUMMYFUNCTION("""COMPUTED_VALUE"""),4813.0)</f>
        <v>4813</v>
      </c>
      <c r="AF176" s="329">
        <f>IFERROR(__xludf.DUMMYFUNCTION("""COMPUTED_VALUE"""),198327.0)</f>
        <v>198327</v>
      </c>
      <c r="AG176" s="329">
        <f>IFERROR(__xludf.DUMMYFUNCTION("""COMPUTED_VALUE"""),1485.0)</f>
        <v>1485</v>
      </c>
      <c r="AH176" s="329">
        <f>IFERROR(__xludf.DUMMYFUNCTION("""COMPUTED_VALUE"""),80527.0)</f>
        <v>80527</v>
      </c>
    </row>
    <row r="177">
      <c r="A177" s="328">
        <f>IFERROR(__xludf.DUMMYFUNCTION("""COMPUTED_VALUE"""),44257.0)</f>
        <v>44257</v>
      </c>
      <c r="B177" s="329">
        <f>IFERROR(__xludf.DUMMYFUNCTION("""COMPUTED_VALUE"""),481.0)</f>
        <v>481</v>
      </c>
      <c r="C177" s="329">
        <f>IFERROR(__xludf.DUMMYFUNCTION("""COMPUTED_VALUE"""),345.0)</f>
        <v>345</v>
      </c>
      <c r="D177" s="329">
        <f>IFERROR(__xludf.DUMMYFUNCTION("""COMPUTED_VALUE"""),151643.0)</f>
        <v>151643</v>
      </c>
      <c r="E177" s="329">
        <f>IFERROR(__xludf.DUMMYFUNCTION("""COMPUTED_VALUE"""),20958.0)</f>
        <v>20958</v>
      </c>
      <c r="F177" s="329">
        <f>IFERROR(__xludf.DUMMYFUNCTION("""COMPUTED_VALUE"""),2895086.0)</f>
        <v>2895086</v>
      </c>
      <c r="G177" s="329">
        <f>IFERROR(__xludf.DUMMYFUNCTION("""COMPUTED_VALUE"""),21439.0)</f>
        <v>21439</v>
      </c>
      <c r="H177" s="329">
        <f>IFERROR(__xludf.DUMMYFUNCTION("""COMPUTED_VALUE"""),3046729.0)</f>
        <v>3046729</v>
      </c>
      <c r="I177" s="329">
        <f>IFERROR(__xludf.DUMMYFUNCTION("""COMPUTED_VALUE"""),430.0)</f>
        <v>430</v>
      </c>
      <c r="J177" s="329">
        <f>IFERROR(__xludf.DUMMYFUNCTION("""COMPUTED_VALUE"""),308.0)</f>
        <v>308</v>
      </c>
      <c r="K177" s="329">
        <f>IFERROR(__xludf.DUMMYFUNCTION("""COMPUTED_VALUE"""),127646.0)</f>
        <v>127646</v>
      </c>
      <c r="L177" s="329">
        <f>IFERROR(__xludf.DUMMYFUNCTION("""COMPUTED_VALUE"""),1703.0)</f>
        <v>1703</v>
      </c>
      <c r="M177" s="329">
        <f>IFERROR(__xludf.DUMMYFUNCTION("""COMPUTED_VALUE"""),667028.0)</f>
        <v>667028</v>
      </c>
      <c r="N177" s="329">
        <f>IFERROR(__xludf.DUMMYFUNCTION("""COMPUTED_VALUE"""),794674.0)</f>
        <v>794674</v>
      </c>
      <c r="O177" s="329">
        <f>IFERROR(__xludf.DUMMYFUNCTION("""COMPUTED_VALUE"""),23.0)</f>
        <v>23</v>
      </c>
      <c r="P177" s="329">
        <f>IFERROR(__xludf.DUMMYFUNCTION("""COMPUTED_VALUE"""),9022.0)</f>
        <v>9022</v>
      </c>
      <c r="Q177" s="329">
        <f>IFERROR(__xludf.DUMMYFUNCTION("""COMPUTED_VALUE"""),23.0)</f>
        <v>23</v>
      </c>
      <c r="R177" s="329">
        <f>IFERROR(__xludf.DUMMYFUNCTION("""COMPUTED_VALUE"""),7844.0)</f>
        <v>7844</v>
      </c>
      <c r="S177" s="329">
        <f>IFERROR(__xludf.DUMMYFUNCTION("""COMPUTED_VALUE"""),0.0)</f>
        <v>0</v>
      </c>
      <c r="T177" s="329">
        <f>IFERROR(__xludf.DUMMYFUNCTION("""COMPUTED_VALUE"""),1012.0)</f>
        <v>1012</v>
      </c>
      <c r="U177" s="329">
        <f>IFERROR(__xludf.DUMMYFUNCTION("""COMPUTED_VALUE"""),166.0)</f>
        <v>166</v>
      </c>
      <c r="V177" s="329">
        <f>IFERROR(__xludf.DUMMYFUNCTION("""COMPUTED_VALUE"""),169.0)</f>
        <v>169</v>
      </c>
      <c r="W177" s="329">
        <f>IFERROR(__xludf.DUMMYFUNCTION("""COMPUTED_VALUE"""),28.0)</f>
        <v>28</v>
      </c>
      <c r="X177" s="329">
        <f>IFERROR(__xludf.DUMMYFUNCTION("""COMPUTED_VALUE"""),18.0)</f>
        <v>18</v>
      </c>
      <c r="Y177" s="329">
        <f>IFERROR(__xludf.DUMMYFUNCTION("""COMPUTED_VALUE"""),0.0)</f>
        <v>0</v>
      </c>
      <c r="Z177" s="329">
        <f>IFERROR(__xludf.DUMMYFUNCTION("""COMPUTED_VALUE"""),2553.0)</f>
        <v>2553</v>
      </c>
      <c r="AA177" s="329">
        <f>IFERROR(__xludf.DUMMYFUNCTION("""COMPUTED_VALUE"""),6219.0)</f>
        <v>6219</v>
      </c>
      <c r="AB177" s="329">
        <f>IFERROR(__xludf.DUMMYFUNCTION("""COMPUTED_VALUE"""),1360.0)</f>
        <v>1360</v>
      </c>
      <c r="AC177" s="329">
        <f>IFERROR(__xludf.DUMMYFUNCTION("""COMPUTED_VALUE"""),7579.0)</f>
        <v>7579</v>
      </c>
      <c r="AD177" s="329">
        <f>IFERROR(__xludf.DUMMYFUNCTION("""COMPUTED_VALUE"""),286431.0)</f>
        <v>286431</v>
      </c>
      <c r="AE177" s="329">
        <f>IFERROR(__xludf.DUMMYFUNCTION("""COMPUTED_VALUE"""),6219.0)</f>
        <v>6219</v>
      </c>
      <c r="AF177" s="329">
        <f>IFERROR(__xludf.DUMMYFUNCTION("""COMPUTED_VALUE"""),204546.0)</f>
        <v>204546</v>
      </c>
      <c r="AG177" s="329">
        <f>IFERROR(__xludf.DUMMYFUNCTION("""COMPUTED_VALUE"""),1360.0)</f>
        <v>1360</v>
      </c>
      <c r="AH177" s="329">
        <f>IFERROR(__xludf.DUMMYFUNCTION("""COMPUTED_VALUE"""),81887.0)</f>
        <v>81887</v>
      </c>
    </row>
    <row r="178">
      <c r="A178" s="328">
        <f>IFERROR(__xludf.DUMMYFUNCTION("""COMPUTED_VALUE"""),44258.0)</f>
        <v>44258</v>
      </c>
      <c r="B178" s="329">
        <f>IFERROR(__xludf.DUMMYFUNCTION("""COMPUTED_VALUE"""),474.0)</f>
        <v>474</v>
      </c>
      <c r="C178" s="329">
        <f>IFERROR(__xludf.DUMMYFUNCTION("""COMPUTED_VALUE"""),438.0)</f>
        <v>438</v>
      </c>
      <c r="D178" s="329">
        <f>IFERROR(__xludf.DUMMYFUNCTION("""COMPUTED_VALUE"""),152117.0)</f>
        <v>152117</v>
      </c>
      <c r="E178" s="329">
        <f>IFERROR(__xludf.DUMMYFUNCTION("""COMPUTED_VALUE"""),24084.0)</f>
        <v>24084</v>
      </c>
      <c r="F178" s="329">
        <f>IFERROR(__xludf.DUMMYFUNCTION("""COMPUTED_VALUE"""),2919170.0)</f>
        <v>2919170</v>
      </c>
      <c r="G178" s="329">
        <f>IFERROR(__xludf.DUMMYFUNCTION("""COMPUTED_VALUE"""),24558.0)</f>
        <v>24558</v>
      </c>
      <c r="H178" s="329">
        <f>IFERROR(__xludf.DUMMYFUNCTION("""COMPUTED_VALUE"""),3071287.0)</f>
        <v>3071287</v>
      </c>
      <c r="I178" s="329">
        <f>IFERROR(__xludf.DUMMYFUNCTION("""COMPUTED_VALUE"""),427.0)</f>
        <v>427</v>
      </c>
      <c r="J178" s="329">
        <f>IFERROR(__xludf.DUMMYFUNCTION("""COMPUTED_VALUE"""),393.0)</f>
        <v>393</v>
      </c>
      <c r="K178" s="329">
        <f>IFERROR(__xludf.DUMMYFUNCTION("""COMPUTED_VALUE"""),128073.0)</f>
        <v>128073</v>
      </c>
      <c r="L178" s="329">
        <f>IFERROR(__xludf.DUMMYFUNCTION("""COMPUTED_VALUE"""),1827.0)</f>
        <v>1827</v>
      </c>
      <c r="M178" s="329">
        <f>IFERROR(__xludf.DUMMYFUNCTION("""COMPUTED_VALUE"""),668855.0)</f>
        <v>668855</v>
      </c>
      <c r="N178" s="329">
        <f>IFERROR(__xludf.DUMMYFUNCTION("""COMPUTED_VALUE"""),796928.0)</f>
        <v>796928</v>
      </c>
      <c r="O178" s="329">
        <f>IFERROR(__xludf.DUMMYFUNCTION("""COMPUTED_VALUE"""),16.0)</f>
        <v>16</v>
      </c>
      <c r="P178" s="329">
        <f>IFERROR(__xludf.DUMMYFUNCTION("""COMPUTED_VALUE"""),9038.0)</f>
        <v>9038</v>
      </c>
      <c r="Q178" s="329">
        <f>IFERROR(__xludf.DUMMYFUNCTION("""COMPUTED_VALUE"""),23.0)</f>
        <v>23</v>
      </c>
      <c r="R178" s="329">
        <f>IFERROR(__xludf.DUMMYFUNCTION("""COMPUTED_VALUE"""),7867.0)</f>
        <v>7867</v>
      </c>
      <c r="S178" s="329">
        <f>IFERROR(__xludf.DUMMYFUNCTION("""COMPUTED_VALUE"""),2.0)</f>
        <v>2</v>
      </c>
      <c r="T178" s="329">
        <f>IFERROR(__xludf.DUMMYFUNCTION("""COMPUTED_VALUE"""),1014.0)</f>
        <v>1014</v>
      </c>
      <c r="U178" s="329">
        <f>IFERROR(__xludf.DUMMYFUNCTION("""COMPUTED_VALUE"""),157.0)</f>
        <v>157</v>
      </c>
      <c r="V178" s="329">
        <f>IFERROR(__xludf.DUMMYFUNCTION("""COMPUTED_VALUE"""),163.0)</f>
        <v>163</v>
      </c>
      <c r="W178" s="329">
        <f>IFERROR(__xludf.DUMMYFUNCTION("""COMPUTED_VALUE"""),29.0)</f>
        <v>29</v>
      </c>
      <c r="X178" s="329">
        <f>IFERROR(__xludf.DUMMYFUNCTION("""COMPUTED_VALUE"""),17.0)</f>
        <v>17</v>
      </c>
      <c r="Y178" s="329">
        <f>IFERROR(__xludf.DUMMYFUNCTION("""COMPUTED_VALUE"""),3.0)</f>
        <v>3</v>
      </c>
      <c r="Z178" s="329">
        <f>IFERROR(__xludf.DUMMYFUNCTION("""COMPUTED_VALUE"""),2556.0)</f>
        <v>2556</v>
      </c>
      <c r="AA178" s="329">
        <f>IFERROR(__xludf.DUMMYFUNCTION("""COMPUTED_VALUE"""),7625.0)</f>
        <v>7625</v>
      </c>
      <c r="AB178" s="329">
        <f>IFERROR(__xludf.DUMMYFUNCTION("""COMPUTED_VALUE"""),3147.0)</f>
        <v>3147</v>
      </c>
      <c r="AC178" s="329">
        <f>IFERROR(__xludf.DUMMYFUNCTION("""COMPUTED_VALUE"""),10772.0)</f>
        <v>10772</v>
      </c>
      <c r="AD178" s="329">
        <f>IFERROR(__xludf.DUMMYFUNCTION("""COMPUTED_VALUE"""),297203.0)</f>
        <v>297203</v>
      </c>
      <c r="AE178" s="329">
        <f>IFERROR(__xludf.DUMMYFUNCTION("""COMPUTED_VALUE"""),7625.0)</f>
        <v>7625</v>
      </c>
      <c r="AF178" s="329">
        <f>IFERROR(__xludf.DUMMYFUNCTION("""COMPUTED_VALUE"""),212171.0)</f>
        <v>212171</v>
      </c>
      <c r="AG178" s="329">
        <f>IFERROR(__xludf.DUMMYFUNCTION("""COMPUTED_VALUE"""),3147.0)</f>
        <v>3147</v>
      </c>
      <c r="AH178" s="329">
        <f>IFERROR(__xludf.DUMMYFUNCTION("""COMPUTED_VALUE"""),85034.0)</f>
        <v>85034</v>
      </c>
    </row>
    <row r="179">
      <c r="A179" s="328">
        <f>IFERROR(__xludf.DUMMYFUNCTION("""COMPUTED_VALUE"""),44259.0)</f>
        <v>44259</v>
      </c>
      <c r="B179" s="329">
        <f>IFERROR(__xludf.DUMMYFUNCTION("""COMPUTED_VALUE"""),429.0)</f>
        <v>429</v>
      </c>
      <c r="C179" s="329">
        <f>IFERROR(__xludf.DUMMYFUNCTION("""COMPUTED_VALUE"""),461.0)</f>
        <v>461</v>
      </c>
      <c r="D179" s="329">
        <f>IFERROR(__xludf.DUMMYFUNCTION("""COMPUTED_VALUE"""),152546.0)</f>
        <v>152546</v>
      </c>
      <c r="E179" s="329">
        <f>IFERROR(__xludf.DUMMYFUNCTION("""COMPUTED_VALUE"""),20740.0)</f>
        <v>20740</v>
      </c>
      <c r="F179" s="329">
        <f>IFERROR(__xludf.DUMMYFUNCTION("""COMPUTED_VALUE"""),2939910.0)</f>
        <v>2939910</v>
      </c>
      <c r="G179" s="329">
        <f>IFERROR(__xludf.DUMMYFUNCTION("""COMPUTED_VALUE"""),21169.0)</f>
        <v>21169</v>
      </c>
      <c r="H179" s="329">
        <f>IFERROR(__xludf.DUMMYFUNCTION("""COMPUTED_VALUE"""),3092456.0)</f>
        <v>3092456</v>
      </c>
      <c r="I179" s="329">
        <f>IFERROR(__xludf.DUMMYFUNCTION("""COMPUTED_VALUE"""),384.0)</f>
        <v>384</v>
      </c>
      <c r="J179" s="329">
        <f>IFERROR(__xludf.DUMMYFUNCTION("""COMPUTED_VALUE"""),414.0)</f>
        <v>414</v>
      </c>
      <c r="K179" s="329">
        <f>IFERROR(__xludf.DUMMYFUNCTION("""COMPUTED_VALUE"""),128457.0)</f>
        <v>128457</v>
      </c>
      <c r="L179" s="329">
        <f>IFERROR(__xludf.DUMMYFUNCTION("""COMPUTED_VALUE"""),1725.0)</f>
        <v>1725</v>
      </c>
      <c r="M179" s="329">
        <f>IFERROR(__xludf.DUMMYFUNCTION("""COMPUTED_VALUE"""),670580.0)</f>
        <v>670580</v>
      </c>
      <c r="N179" s="329">
        <f>IFERROR(__xludf.DUMMYFUNCTION("""COMPUTED_VALUE"""),799037.0)</f>
        <v>799037</v>
      </c>
      <c r="O179" s="329">
        <f>IFERROR(__xludf.DUMMYFUNCTION("""COMPUTED_VALUE"""),22.0)</f>
        <v>22</v>
      </c>
      <c r="P179" s="329">
        <f>IFERROR(__xludf.DUMMYFUNCTION("""COMPUTED_VALUE"""),9060.0)</f>
        <v>9060</v>
      </c>
      <c r="Q179" s="329">
        <f>IFERROR(__xludf.DUMMYFUNCTION("""COMPUTED_VALUE"""),29.0)</f>
        <v>29</v>
      </c>
      <c r="R179" s="329">
        <f>IFERROR(__xludf.DUMMYFUNCTION("""COMPUTED_VALUE"""),7896.0)</f>
        <v>7896</v>
      </c>
      <c r="S179" s="329">
        <f>IFERROR(__xludf.DUMMYFUNCTION("""COMPUTED_VALUE"""),2.0)</f>
        <v>2</v>
      </c>
      <c r="T179" s="329">
        <f>IFERROR(__xludf.DUMMYFUNCTION("""COMPUTED_VALUE"""),1016.0)</f>
        <v>1016</v>
      </c>
      <c r="U179" s="329">
        <f>IFERROR(__xludf.DUMMYFUNCTION("""COMPUTED_VALUE"""),148.0)</f>
        <v>148</v>
      </c>
      <c r="V179" s="329">
        <f>IFERROR(__xludf.DUMMYFUNCTION("""COMPUTED_VALUE"""),157.0)</f>
        <v>157</v>
      </c>
      <c r="W179" s="329">
        <f>IFERROR(__xludf.DUMMYFUNCTION("""COMPUTED_VALUE"""),27.0)</f>
        <v>27</v>
      </c>
      <c r="X179" s="329">
        <f>IFERROR(__xludf.DUMMYFUNCTION("""COMPUTED_VALUE"""),17.0)</f>
        <v>17</v>
      </c>
      <c r="Y179" s="329">
        <f>IFERROR(__xludf.DUMMYFUNCTION("""COMPUTED_VALUE"""),2.0)</f>
        <v>2</v>
      </c>
      <c r="Z179" s="329">
        <f>IFERROR(__xludf.DUMMYFUNCTION("""COMPUTED_VALUE"""),2558.0)</f>
        <v>2558</v>
      </c>
      <c r="AA179" s="329">
        <f>IFERROR(__xludf.DUMMYFUNCTION("""COMPUTED_VALUE"""),6756.0)</f>
        <v>6756</v>
      </c>
      <c r="AB179" s="329">
        <f>IFERROR(__xludf.DUMMYFUNCTION("""COMPUTED_VALUE"""),2824.0)</f>
        <v>2824</v>
      </c>
      <c r="AC179" s="329">
        <f>IFERROR(__xludf.DUMMYFUNCTION("""COMPUTED_VALUE"""),9580.0)</f>
        <v>9580</v>
      </c>
      <c r="AD179" s="329">
        <f>IFERROR(__xludf.DUMMYFUNCTION("""COMPUTED_VALUE"""),306783.0)</f>
        <v>306783</v>
      </c>
      <c r="AE179" s="329">
        <f>IFERROR(__xludf.DUMMYFUNCTION("""COMPUTED_VALUE"""),6756.0)</f>
        <v>6756</v>
      </c>
      <c r="AF179" s="329">
        <f>IFERROR(__xludf.DUMMYFUNCTION("""COMPUTED_VALUE"""),218927.0)</f>
        <v>218927</v>
      </c>
      <c r="AG179" s="329">
        <f>IFERROR(__xludf.DUMMYFUNCTION("""COMPUTED_VALUE"""),2824.0)</f>
        <v>2824</v>
      </c>
      <c r="AH179" s="329">
        <f>IFERROR(__xludf.DUMMYFUNCTION("""COMPUTED_VALUE"""),87858.0)</f>
        <v>87858</v>
      </c>
    </row>
    <row r="180">
      <c r="A180" s="328">
        <f>IFERROR(__xludf.DUMMYFUNCTION("""COMPUTED_VALUE"""),44260.0)</f>
        <v>44260</v>
      </c>
      <c r="B180" s="329">
        <f>IFERROR(__xludf.DUMMYFUNCTION("""COMPUTED_VALUE"""),424.0)</f>
        <v>424</v>
      </c>
      <c r="C180" s="329">
        <f>IFERROR(__xludf.DUMMYFUNCTION("""COMPUTED_VALUE"""),442.0)</f>
        <v>442</v>
      </c>
      <c r="D180" s="329">
        <f>IFERROR(__xludf.DUMMYFUNCTION("""COMPUTED_VALUE"""),152970.0)</f>
        <v>152970</v>
      </c>
      <c r="E180" s="329">
        <f>IFERROR(__xludf.DUMMYFUNCTION("""COMPUTED_VALUE"""),18659.0)</f>
        <v>18659</v>
      </c>
      <c r="F180" s="329">
        <f>IFERROR(__xludf.DUMMYFUNCTION("""COMPUTED_VALUE"""),2958569.0)</f>
        <v>2958569</v>
      </c>
      <c r="G180" s="329">
        <f>IFERROR(__xludf.DUMMYFUNCTION("""COMPUTED_VALUE"""),19083.0)</f>
        <v>19083</v>
      </c>
      <c r="H180" s="329">
        <f>IFERROR(__xludf.DUMMYFUNCTION("""COMPUTED_VALUE"""),3111539.0)</f>
        <v>3111539</v>
      </c>
      <c r="I180" s="329">
        <f>IFERROR(__xludf.DUMMYFUNCTION("""COMPUTED_VALUE"""),357.0)</f>
        <v>357</v>
      </c>
      <c r="J180" s="329">
        <f>IFERROR(__xludf.DUMMYFUNCTION("""COMPUTED_VALUE"""),389.0)</f>
        <v>389</v>
      </c>
      <c r="K180" s="329">
        <f>IFERROR(__xludf.DUMMYFUNCTION("""COMPUTED_VALUE"""),128814.0)</f>
        <v>128814</v>
      </c>
      <c r="L180" s="329">
        <f>IFERROR(__xludf.DUMMYFUNCTION("""COMPUTED_VALUE"""),1861.0)</f>
        <v>1861</v>
      </c>
      <c r="M180" s="329">
        <f>IFERROR(__xludf.DUMMYFUNCTION("""COMPUTED_VALUE"""),672441.0)</f>
        <v>672441</v>
      </c>
      <c r="N180" s="329">
        <f>IFERROR(__xludf.DUMMYFUNCTION("""COMPUTED_VALUE"""),801255.0)</f>
        <v>801255</v>
      </c>
      <c r="O180" s="329">
        <f>IFERROR(__xludf.DUMMYFUNCTION("""COMPUTED_VALUE"""),19.0)</f>
        <v>19</v>
      </c>
      <c r="P180" s="329">
        <f>IFERROR(__xludf.DUMMYFUNCTION("""COMPUTED_VALUE"""),9079.0)</f>
        <v>9079</v>
      </c>
      <c r="Q180" s="329">
        <f>IFERROR(__xludf.DUMMYFUNCTION("""COMPUTED_VALUE"""),18.0)</f>
        <v>18</v>
      </c>
      <c r="R180" s="329">
        <f>IFERROR(__xludf.DUMMYFUNCTION("""COMPUTED_VALUE"""),7914.0)</f>
        <v>7914</v>
      </c>
      <c r="S180" s="329">
        <f>IFERROR(__xludf.DUMMYFUNCTION("""COMPUTED_VALUE"""),2.0)</f>
        <v>2</v>
      </c>
      <c r="T180" s="329">
        <f>IFERROR(__xludf.DUMMYFUNCTION("""COMPUTED_VALUE"""),1018.0)</f>
        <v>1018</v>
      </c>
      <c r="U180" s="329">
        <f>IFERROR(__xludf.DUMMYFUNCTION("""COMPUTED_VALUE"""),147.0)</f>
        <v>147</v>
      </c>
      <c r="V180" s="329">
        <f>IFERROR(__xludf.DUMMYFUNCTION("""COMPUTED_VALUE"""),151.0)</f>
        <v>151</v>
      </c>
      <c r="W180" s="329">
        <f>IFERROR(__xludf.DUMMYFUNCTION("""COMPUTED_VALUE"""),26.0)</f>
        <v>26</v>
      </c>
      <c r="X180" s="329">
        <f>IFERROR(__xludf.DUMMYFUNCTION("""COMPUTED_VALUE"""),17.0)</f>
        <v>17</v>
      </c>
      <c r="Y180" s="329">
        <f>IFERROR(__xludf.DUMMYFUNCTION("""COMPUTED_VALUE"""),3.0)</f>
        <v>3</v>
      </c>
      <c r="Z180" s="329">
        <f>IFERROR(__xludf.DUMMYFUNCTION("""COMPUTED_VALUE"""),2561.0)</f>
        <v>2561</v>
      </c>
      <c r="AA180" s="329">
        <f>IFERROR(__xludf.DUMMYFUNCTION("""COMPUTED_VALUE"""),6323.0)</f>
        <v>6323</v>
      </c>
      <c r="AB180" s="329">
        <f>IFERROR(__xludf.DUMMYFUNCTION("""COMPUTED_VALUE"""),2844.0)</f>
        <v>2844</v>
      </c>
      <c r="AC180" s="329">
        <f>IFERROR(__xludf.DUMMYFUNCTION("""COMPUTED_VALUE"""),9167.0)</f>
        <v>9167</v>
      </c>
      <c r="AD180" s="329">
        <f>IFERROR(__xludf.DUMMYFUNCTION("""COMPUTED_VALUE"""),315950.0)</f>
        <v>315950</v>
      </c>
      <c r="AE180" s="329">
        <f>IFERROR(__xludf.DUMMYFUNCTION("""COMPUTED_VALUE"""),6323.0)</f>
        <v>6323</v>
      </c>
      <c r="AF180" s="329">
        <f>IFERROR(__xludf.DUMMYFUNCTION("""COMPUTED_VALUE"""),225250.0)</f>
        <v>225250</v>
      </c>
      <c r="AG180" s="329">
        <f>IFERROR(__xludf.DUMMYFUNCTION("""COMPUTED_VALUE"""),2844.0)</f>
        <v>2844</v>
      </c>
      <c r="AH180" s="329">
        <f>IFERROR(__xludf.DUMMYFUNCTION("""COMPUTED_VALUE"""),90702.0)</f>
        <v>90702</v>
      </c>
    </row>
    <row r="181">
      <c r="A181" s="328">
        <f>IFERROR(__xludf.DUMMYFUNCTION("""COMPUTED_VALUE"""),44261.0)</f>
        <v>44261</v>
      </c>
      <c r="B181" s="329">
        <f>IFERROR(__xludf.DUMMYFUNCTION("""COMPUTED_VALUE"""),299.0)</f>
        <v>299</v>
      </c>
      <c r="C181" s="329">
        <f>IFERROR(__xludf.DUMMYFUNCTION("""COMPUTED_VALUE"""),384.0)</f>
        <v>384</v>
      </c>
      <c r="D181" s="329">
        <f>IFERROR(__xludf.DUMMYFUNCTION("""COMPUTED_VALUE"""),153269.0)</f>
        <v>153269</v>
      </c>
      <c r="E181" s="329">
        <f>IFERROR(__xludf.DUMMYFUNCTION("""COMPUTED_VALUE"""),13482.0)</f>
        <v>13482</v>
      </c>
      <c r="F181" s="329">
        <f>IFERROR(__xludf.DUMMYFUNCTION("""COMPUTED_VALUE"""),2972051.0)</f>
        <v>2972051</v>
      </c>
      <c r="G181" s="329">
        <f>IFERROR(__xludf.DUMMYFUNCTION("""COMPUTED_VALUE"""),13781.0)</f>
        <v>13781</v>
      </c>
      <c r="H181" s="329">
        <f>IFERROR(__xludf.DUMMYFUNCTION("""COMPUTED_VALUE"""),3125320.0)</f>
        <v>3125320</v>
      </c>
      <c r="I181" s="329">
        <f>IFERROR(__xludf.DUMMYFUNCTION("""COMPUTED_VALUE"""),247.0)</f>
        <v>247</v>
      </c>
      <c r="J181" s="329">
        <f>IFERROR(__xludf.DUMMYFUNCTION("""COMPUTED_VALUE"""),329.0)</f>
        <v>329</v>
      </c>
      <c r="K181" s="329">
        <f>IFERROR(__xludf.DUMMYFUNCTION("""COMPUTED_VALUE"""),129061.0)</f>
        <v>129061</v>
      </c>
      <c r="L181" s="329">
        <f>IFERROR(__xludf.DUMMYFUNCTION("""COMPUTED_VALUE"""),1450.0)</f>
        <v>1450</v>
      </c>
      <c r="M181" s="329">
        <f>IFERROR(__xludf.DUMMYFUNCTION("""COMPUTED_VALUE"""),673891.0)</f>
        <v>673891</v>
      </c>
      <c r="N181" s="329">
        <f>IFERROR(__xludf.DUMMYFUNCTION("""COMPUTED_VALUE"""),802952.0)</f>
        <v>802952</v>
      </c>
      <c r="O181" s="329">
        <f>IFERROR(__xludf.DUMMYFUNCTION("""COMPUTED_VALUE"""),17.0)</f>
        <v>17</v>
      </c>
      <c r="P181" s="329">
        <f>IFERROR(__xludf.DUMMYFUNCTION("""COMPUTED_VALUE"""),9096.0)</f>
        <v>9096</v>
      </c>
      <c r="Q181" s="329">
        <f>IFERROR(__xludf.DUMMYFUNCTION("""COMPUTED_VALUE"""),16.0)</f>
        <v>16</v>
      </c>
      <c r="R181" s="329">
        <f>IFERROR(__xludf.DUMMYFUNCTION("""COMPUTED_VALUE"""),7930.0)</f>
        <v>7930</v>
      </c>
      <c r="S181" s="329">
        <f>IFERROR(__xludf.DUMMYFUNCTION("""COMPUTED_VALUE"""),1.0)</f>
        <v>1</v>
      </c>
      <c r="T181" s="329">
        <f>IFERROR(__xludf.DUMMYFUNCTION("""COMPUTED_VALUE"""),1019.0)</f>
        <v>1019</v>
      </c>
      <c r="U181" s="329">
        <f>IFERROR(__xludf.DUMMYFUNCTION("""COMPUTED_VALUE"""),147.0)</f>
        <v>147</v>
      </c>
      <c r="V181" s="329">
        <f>IFERROR(__xludf.DUMMYFUNCTION("""COMPUTED_VALUE"""),147.0)</f>
        <v>147</v>
      </c>
      <c r="W181" s="329">
        <f>IFERROR(__xludf.DUMMYFUNCTION("""COMPUTED_VALUE"""),24.0)</f>
        <v>24</v>
      </c>
      <c r="X181" s="329">
        <f>IFERROR(__xludf.DUMMYFUNCTION("""COMPUTED_VALUE"""),19.0)</f>
        <v>19</v>
      </c>
      <c r="Y181" s="329">
        <f>IFERROR(__xludf.DUMMYFUNCTION("""COMPUTED_VALUE"""),1.0)</f>
        <v>1</v>
      </c>
      <c r="Z181" s="329">
        <f>IFERROR(__xludf.DUMMYFUNCTION("""COMPUTED_VALUE"""),2562.0)</f>
        <v>2562</v>
      </c>
      <c r="AA181" s="329">
        <f>IFERROR(__xludf.DUMMYFUNCTION("""COMPUTED_VALUE"""),7759.0)</f>
        <v>7759</v>
      </c>
      <c r="AB181" s="329">
        <f>IFERROR(__xludf.DUMMYFUNCTION("""COMPUTED_VALUE"""),2355.0)</f>
        <v>2355</v>
      </c>
      <c r="AC181" s="329">
        <f>IFERROR(__xludf.DUMMYFUNCTION("""COMPUTED_VALUE"""),10114.0)</f>
        <v>10114</v>
      </c>
      <c r="AD181" s="329">
        <f>IFERROR(__xludf.DUMMYFUNCTION("""COMPUTED_VALUE"""),326064.0)</f>
        <v>326064</v>
      </c>
      <c r="AE181" s="329">
        <f>IFERROR(__xludf.DUMMYFUNCTION("""COMPUTED_VALUE"""),7759.0)</f>
        <v>7759</v>
      </c>
      <c r="AF181" s="329">
        <f>IFERROR(__xludf.DUMMYFUNCTION("""COMPUTED_VALUE"""),233009.0)</f>
        <v>233009</v>
      </c>
      <c r="AG181" s="329">
        <f>IFERROR(__xludf.DUMMYFUNCTION("""COMPUTED_VALUE"""),2746.0)</f>
        <v>2746</v>
      </c>
      <c r="AH181" s="329">
        <f>IFERROR(__xludf.DUMMYFUNCTION("""COMPUTED_VALUE"""),93448.0)</f>
        <v>93448</v>
      </c>
    </row>
    <row r="182">
      <c r="A182" s="328">
        <f>IFERROR(__xludf.DUMMYFUNCTION("""COMPUTED_VALUE"""),44262.0)</f>
        <v>44262</v>
      </c>
      <c r="B182" s="329">
        <f>IFERROR(__xludf.DUMMYFUNCTION("""COMPUTED_VALUE"""),244.0)</f>
        <v>244</v>
      </c>
      <c r="C182" s="329">
        <f>IFERROR(__xludf.DUMMYFUNCTION("""COMPUTED_VALUE"""),322.0)</f>
        <v>322</v>
      </c>
      <c r="D182" s="329">
        <f>IFERROR(__xludf.DUMMYFUNCTION("""COMPUTED_VALUE"""),153513.0)</f>
        <v>153513</v>
      </c>
      <c r="E182" s="329">
        <f>IFERROR(__xludf.DUMMYFUNCTION("""COMPUTED_VALUE"""),5096.0)</f>
        <v>5096</v>
      </c>
      <c r="F182" s="329">
        <f>IFERROR(__xludf.DUMMYFUNCTION("""COMPUTED_VALUE"""),2977147.0)</f>
        <v>2977147</v>
      </c>
      <c r="G182" s="329">
        <f>IFERROR(__xludf.DUMMYFUNCTION("""COMPUTED_VALUE"""),5340.0)</f>
        <v>5340</v>
      </c>
      <c r="H182" s="329">
        <f>IFERROR(__xludf.DUMMYFUNCTION("""COMPUTED_VALUE"""),3130660.0)</f>
        <v>3130660</v>
      </c>
      <c r="I182" s="329">
        <f>IFERROR(__xludf.DUMMYFUNCTION("""COMPUTED_VALUE"""),202.0)</f>
        <v>202</v>
      </c>
      <c r="J182" s="329">
        <f>IFERROR(__xludf.DUMMYFUNCTION("""COMPUTED_VALUE"""),269.0)</f>
        <v>269</v>
      </c>
      <c r="K182" s="329">
        <f>IFERROR(__xludf.DUMMYFUNCTION("""COMPUTED_VALUE"""),129263.0)</f>
        <v>129263</v>
      </c>
      <c r="L182" s="329">
        <f>IFERROR(__xludf.DUMMYFUNCTION("""COMPUTED_VALUE"""),679.0)</f>
        <v>679</v>
      </c>
      <c r="M182" s="329">
        <f>IFERROR(__xludf.DUMMYFUNCTION("""COMPUTED_VALUE"""),674570.0)</f>
        <v>674570</v>
      </c>
      <c r="N182" s="329">
        <f>IFERROR(__xludf.DUMMYFUNCTION("""COMPUTED_VALUE"""),803833.0)</f>
        <v>803833</v>
      </c>
      <c r="O182" s="329">
        <f>IFERROR(__xludf.DUMMYFUNCTION("""COMPUTED_VALUE"""),13.0)</f>
        <v>13</v>
      </c>
      <c r="P182" s="329">
        <f>IFERROR(__xludf.DUMMYFUNCTION("""COMPUTED_VALUE"""),9109.0)</f>
        <v>9109</v>
      </c>
      <c r="Q182" s="329">
        <f>IFERROR(__xludf.DUMMYFUNCTION("""COMPUTED_VALUE"""),6.0)</f>
        <v>6</v>
      </c>
      <c r="R182" s="329">
        <f>IFERROR(__xludf.DUMMYFUNCTION("""COMPUTED_VALUE"""),7936.0)</f>
        <v>7936</v>
      </c>
      <c r="S182" s="329">
        <f>IFERROR(__xludf.DUMMYFUNCTION("""COMPUTED_VALUE"""),0.0)</f>
        <v>0</v>
      </c>
      <c r="T182" s="329">
        <f>IFERROR(__xludf.DUMMYFUNCTION("""COMPUTED_VALUE"""),1019.0)</f>
        <v>1019</v>
      </c>
      <c r="U182" s="329">
        <f>IFERROR(__xludf.DUMMYFUNCTION("""COMPUTED_VALUE"""),154.0)</f>
        <v>154</v>
      </c>
      <c r="V182" s="329">
        <f>IFERROR(__xludf.DUMMYFUNCTION("""COMPUTED_VALUE"""),149.0)</f>
        <v>149</v>
      </c>
      <c r="W182" s="329">
        <f>IFERROR(__xludf.DUMMYFUNCTION("""COMPUTED_VALUE"""),23.0)</f>
        <v>23</v>
      </c>
      <c r="X182" s="329">
        <f>IFERROR(__xludf.DUMMYFUNCTION("""COMPUTED_VALUE"""),17.0)</f>
        <v>17</v>
      </c>
      <c r="Y182" s="329">
        <f>IFERROR(__xludf.DUMMYFUNCTION("""COMPUTED_VALUE"""),4.0)</f>
        <v>4</v>
      </c>
      <c r="Z182" s="329">
        <f>IFERROR(__xludf.DUMMYFUNCTION("""COMPUTED_VALUE"""),2566.0)</f>
        <v>2566</v>
      </c>
      <c r="AA182" s="329">
        <f>IFERROR(__xludf.DUMMYFUNCTION("""COMPUTED_VALUE"""),3030.0)</f>
        <v>3030</v>
      </c>
      <c r="AB182" s="329">
        <f>IFERROR(__xludf.DUMMYFUNCTION("""COMPUTED_VALUE"""),435.0)</f>
        <v>435</v>
      </c>
      <c r="AC182" s="329">
        <f>IFERROR(__xludf.DUMMYFUNCTION("""COMPUTED_VALUE"""),3465.0)</f>
        <v>3465</v>
      </c>
      <c r="AD182" s="329">
        <f>IFERROR(__xludf.DUMMYFUNCTION("""COMPUTED_VALUE"""),329529.0)</f>
        <v>329529</v>
      </c>
      <c r="AE182" s="329">
        <f>IFERROR(__xludf.DUMMYFUNCTION("""COMPUTED_VALUE"""),3030.0)</f>
        <v>3030</v>
      </c>
      <c r="AF182" s="329">
        <f>IFERROR(__xludf.DUMMYFUNCTION("""COMPUTED_VALUE"""),236039.0)</f>
        <v>236039</v>
      </c>
      <c r="AG182" s="329">
        <f>IFERROR(__xludf.DUMMYFUNCTION("""COMPUTED_VALUE"""),816.0)</f>
        <v>816</v>
      </c>
      <c r="AH182" s="329">
        <f>IFERROR(__xludf.DUMMYFUNCTION("""COMPUTED_VALUE"""),94264.0)</f>
        <v>94264</v>
      </c>
    </row>
    <row r="183">
      <c r="A183" s="328">
        <f>IFERROR(__xludf.DUMMYFUNCTION("""COMPUTED_VALUE"""),44263.0)</f>
        <v>44263</v>
      </c>
      <c r="B183" s="329">
        <f>IFERROR(__xludf.DUMMYFUNCTION("""COMPUTED_VALUE"""),368.0)</f>
        <v>368</v>
      </c>
      <c r="C183" s="329">
        <f>IFERROR(__xludf.DUMMYFUNCTION("""COMPUTED_VALUE"""),304.0)</f>
        <v>304</v>
      </c>
      <c r="D183" s="329">
        <f>IFERROR(__xludf.DUMMYFUNCTION("""COMPUTED_VALUE"""),153881.0)</f>
        <v>153881</v>
      </c>
      <c r="E183" s="329">
        <f>IFERROR(__xludf.DUMMYFUNCTION("""COMPUTED_VALUE"""),12281.0)</f>
        <v>12281</v>
      </c>
      <c r="F183" s="329">
        <f>IFERROR(__xludf.DUMMYFUNCTION("""COMPUTED_VALUE"""),2989428.0)</f>
        <v>2989428</v>
      </c>
      <c r="G183" s="329">
        <f>IFERROR(__xludf.DUMMYFUNCTION("""COMPUTED_VALUE"""),12649.0)</f>
        <v>12649</v>
      </c>
      <c r="H183" s="329">
        <f>IFERROR(__xludf.DUMMYFUNCTION("""COMPUTED_VALUE"""),3143309.0)</f>
        <v>3143309</v>
      </c>
      <c r="I183" s="329">
        <f>IFERROR(__xludf.DUMMYFUNCTION("""COMPUTED_VALUE"""),307.0)</f>
        <v>307</v>
      </c>
      <c r="J183" s="329">
        <f>IFERROR(__xludf.DUMMYFUNCTION("""COMPUTED_VALUE"""),252.0)</f>
        <v>252</v>
      </c>
      <c r="K183" s="329">
        <f>IFERROR(__xludf.DUMMYFUNCTION("""COMPUTED_VALUE"""),129570.0)</f>
        <v>129570</v>
      </c>
      <c r="L183" s="329">
        <f>IFERROR(__xludf.DUMMYFUNCTION("""COMPUTED_VALUE"""),1435.0)</f>
        <v>1435</v>
      </c>
      <c r="M183" s="329">
        <f>IFERROR(__xludf.DUMMYFUNCTION("""COMPUTED_VALUE"""),676005.0)</f>
        <v>676005</v>
      </c>
      <c r="N183" s="329">
        <f>IFERROR(__xludf.DUMMYFUNCTION("""COMPUTED_VALUE"""),805575.0)</f>
        <v>805575</v>
      </c>
      <c r="O183" s="329">
        <f>IFERROR(__xludf.DUMMYFUNCTION("""COMPUTED_VALUE"""),25.0)</f>
        <v>25</v>
      </c>
      <c r="P183" s="329">
        <f>IFERROR(__xludf.DUMMYFUNCTION("""COMPUTED_VALUE"""),9134.0)</f>
        <v>9134</v>
      </c>
      <c r="Q183" s="329">
        <f>IFERROR(__xludf.DUMMYFUNCTION("""COMPUTED_VALUE"""),22.0)</f>
        <v>22</v>
      </c>
      <c r="R183" s="329">
        <f>IFERROR(__xludf.DUMMYFUNCTION("""COMPUTED_VALUE"""),7958.0)</f>
        <v>7958</v>
      </c>
      <c r="S183" s="329">
        <f>IFERROR(__xludf.DUMMYFUNCTION("""COMPUTED_VALUE"""),1.0)</f>
        <v>1</v>
      </c>
      <c r="T183" s="329">
        <f>IFERROR(__xludf.DUMMYFUNCTION("""COMPUTED_VALUE"""),1020.0)</f>
        <v>1020</v>
      </c>
      <c r="U183" s="329">
        <f>IFERROR(__xludf.DUMMYFUNCTION("""COMPUTED_VALUE"""),156.0)</f>
        <v>156</v>
      </c>
      <c r="V183" s="329">
        <f>IFERROR(__xludf.DUMMYFUNCTION("""COMPUTED_VALUE"""),152.0)</f>
        <v>152</v>
      </c>
      <c r="W183" s="329">
        <f>IFERROR(__xludf.DUMMYFUNCTION("""COMPUTED_VALUE"""),24.0)</f>
        <v>24</v>
      </c>
      <c r="X183" s="329">
        <f>IFERROR(__xludf.DUMMYFUNCTION("""COMPUTED_VALUE"""),17.0)</f>
        <v>17</v>
      </c>
      <c r="Y183" s="329">
        <f>IFERROR(__xludf.DUMMYFUNCTION("""COMPUTED_VALUE"""),1.0)</f>
        <v>1</v>
      </c>
      <c r="Z183" s="329">
        <f>IFERROR(__xludf.DUMMYFUNCTION("""COMPUTED_VALUE"""),2567.0)</f>
        <v>2567</v>
      </c>
      <c r="AA183" s="329">
        <f>IFERROR(__xludf.DUMMYFUNCTION("""COMPUTED_VALUE"""),4587.0)</f>
        <v>4587</v>
      </c>
      <c r="AB183" s="329">
        <f>IFERROR(__xludf.DUMMYFUNCTION("""COMPUTED_VALUE"""),1636.0)</f>
        <v>1636</v>
      </c>
      <c r="AC183" s="329">
        <f>IFERROR(__xludf.DUMMYFUNCTION("""COMPUTED_VALUE"""),6223.0)</f>
        <v>6223</v>
      </c>
      <c r="AD183" s="329">
        <f>IFERROR(__xludf.DUMMYFUNCTION("""COMPUTED_VALUE"""),335752.0)</f>
        <v>335752</v>
      </c>
      <c r="AE183" s="329">
        <f>IFERROR(__xludf.DUMMYFUNCTION("""COMPUTED_VALUE"""),4587.0)</f>
        <v>4587</v>
      </c>
      <c r="AF183" s="329">
        <f>IFERROR(__xludf.DUMMYFUNCTION("""COMPUTED_VALUE"""),240626.0)</f>
        <v>240626</v>
      </c>
      <c r="AG183" s="329">
        <f>IFERROR(__xludf.DUMMYFUNCTION("""COMPUTED_VALUE"""),2137.0)</f>
        <v>2137</v>
      </c>
      <c r="AH183" s="329">
        <f>IFERROR(__xludf.DUMMYFUNCTION("""COMPUTED_VALUE"""),96401.0)</f>
        <v>96401</v>
      </c>
    </row>
    <row r="184">
      <c r="A184" s="328">
        <f>IFERROR(__xludf.DUMMYFUNCTION("""COMPUTED_VALUE"""),44264.0)</f>
        <v>44264</v>
      </c>
      <c r="B184" s="329">
        <f>IFERROR(__xludf.DUMMYFUNCTION("""COMPUTED_VALUE"""),427.0)</f>
        <v>427</v>
      </c>
      <c r="C184" s="329">
        <f>IFERROR(__xludf.DUMMYFUNCTION("""COMPUTED_VALUE"""),346.0)</f>
        <v>346</v>
      </c>
      <c r="D184" s="329">
        <f>IFERROR(__xludf.DUMMYFUNCTION("""COMPUTED_VALUE"""),154308.0)</f>
        <v>154308</v>
      </c>
      <c r="E184" s="329">
        <f>IFERROR(__xludf.DUMMYFUNCTION("""COMPUTED_VALUE"""),19751.0)</f>
        <v>19751</v>
      </c>
      <c r="F184" s="329">
        <f>IFERROR(__xludf.DUMMYFUNCTION("""COMPUTED_VALUE"""),3009179.0)</f>
        <v>3009179</v>
      </c>
      <c r="G184" s="329">
        <f>IFERROR(__xludf.DUMMYFUNCTION("""COMPUTED_VALUE"""),20178.0)</f>
        <v>20178</v>
      </c>
      <c r="H184" s="329">
        <f>IFERROR(__xludf.DUMMYFUNCTION("""COMPUTED_VALUE"""),3163487.0)</f>
        <v>3163487</v>
      </c>
      <c r="I184" s="329">
        <f>IFERROR(__xludf.DUMMYFUNCTION("""COMPUTED_VALUE"""),380.0)</f>
        <v>380</v>
      </c>
      <c r="J184" s="329">
        <f>IFERROR(__xludf.DUMMYFUNCTION("""COMPUTED_VALUE"""),296.0)</f>
        <v>296</v>
      </c>
      <c r="K184" s="329">
        <f>IFERROR(__xludf.DUMMYFUNCTION("""COMPUTED_VALUE"""),129950.0)</f>
        <v>129950</v>
      </c>
      <c r="L184" s="329">
        <f>IFERROR(__xludf.DUMMYFUNCTION("""COMPUTED_VALUE"""),1854.0)</f>
        <v>1854</v>
      </c>
      <c r="M184" s="329">
        <f>IFERROR(__xludf.DUMMYFUNCTION("""COMPUTED_VALUE"""),677859.0)</f>
        <v>677859</v>
      </c>
      <c r="N184" s="329">
        <f>IFERROR(__xludf.DUMMYFUNCTION("""COMPUTED_VALUE"""),807809.0)</f>
        <v>807809</v>
      </c>
      <c r="O184" s="329">
        <f>IFERROR(__xludf.DUMMYFUNCTION("""COMPUTED_VALUE"""),24.0)</f>
        <v>24</v>
      </c>
      <c r="P184" s="329">
        <f>IFERROR(__xludf.DUMMYFUNCTION("""COMPUTED_VALUE"""),9158.0)</f>
        <v>9158</v>
      </c>
      <c r="Q184" s="329">
        <f>IFERROR(__xludf.DUMMYFUNCTION("""COMPUTED_VALUE"""),24.0)</f>
        <v>24</v>
      </c>
      <c r="R184" s="329">
        <f>IFERROR(__xludf.DUMMYFUNCTION("""COMPUTED_VALUE"""),7982.0)</f>
        <v>7982</v>
      </c>
      <c r="S184" s="329">
        <f>IFERROR(__xludf.DUMMYFUNCTION("""COMPUTED_VALUE"""),2.0)</f>
        <v>2</v>
      </c>
      <c r="T184" s="329">
        <f>IFERROR(__xludf.DUMMYFUNCTION("""COMPUTED_VALUE"""),1022.0)</f>
        <v>1022</v>
      </c>
      <c r="U184" s="329">
        <f>IFERROR(__xludf.DUMMYFUNCTION("""COMPUTED_VALUE"""),154.0)</f>
        <v>154</v>
      </c>
      <c r="V184" s="329">
        <f>IFERROR(__xludf.DUMMYFUNCTION("""COMPUTED_VALUE"""),155.0)</f>
        <v>155</v>
      </c>
      <c r="W184" s="329">
        <f>IFERROR(__xludf.DUMMYFUNCTION("""COMPUTED_VALUE"""),27.0)</f>
        <v>27</v>
      </c>
      <c r="X184" s="329">
        <f>IFERROR(__xludf.DUMMYFUNCTION("""COMPUTED_VALUE"""),17.0)</f>
        <v>17</v>
      </c>
      <c r="Y184" s="329">
        <f>IFERROR(__xludf.DUMMYFUNCTION("""COMPUTED_VALUE"""),2.0)</f>
        <v>2</v>
      </c>
      <c r="Z184" s="329">
        <f>IFERROR(__xludf.DUMMYFUNCTION("""COMPUTED_VALUE"""),2569.0)</f>
        <v>2569</v>
      </c>
      <c r="AA184" s="329">
        <f>IFERROR(__xludf.DUMMYFUNCTION("""COMPUTED_VALUE"""),5127.0)</f>
        <v>5127</v>
      </c>
      <c r="AB184" s="329">
        <f>IFERROR(__xludf.DUMMYFUNCTION("""COMPUTED_VALUE"""),2471.0)</f>
        <v>2471</v>
      </c>
      <c r="AC184" s="329">
        <f>IFERROR(__xludf.DUMMYFUNCTION("""COMPUTED_VALUE"""),7598.0)</f>
        <v>7598</v>
      </c>
      <c r="AD184" s="329">
        <f>IFERROR(__xludf.DUMMYFUNCTION("""COMPUTED_VALUE"""),343350.0)</f>
        <v>343350</v>
      </c>
      <c r="AE184" s="329">
        <f>IFERROR(__xludf.DUMMYFUNCTION("""COMPUTED_VALUE"""),5127.0)</f>
        <v>5127</v>
      </c>
      <c r="AF184" s="329">
        <f>IFERROR(__xludf.DUMMYFUNCTION("""COMPUTED_VALUE"""),245753.0)</f>
        <v>245753</v>
      </c>
      <c r="AG184" s="329">
        <f>IFERROR(__xludf.DUMMYFUNCTION("""COMPUTED_VALUE"""),3255.0)</f>
        <v>3255</v>
      </c>
      <c r="AH184" s="329">
        <f>IFERROR(__xludf.DUMMYFUNCTION("""COMPUTED_VALUE"""),99656.0)</f>
        <v>99656</v>
      </c>
    </row>
    <row r="185">
      <c r="A185" s="328">
        <f>IFERROR(__xludf.DUMMYFUNCTION("""COMPUTED_VALUE"""),44265.0)</f>
        <v>44265</v>
      </c>
      <c r="B185" s="329">
        <f>IFERROR(__xludf.DUMMYFUNCTION("""COMPUTED_VALUE"""),538.0)</f>
        <v>538</v>
      </c>
      <c r="C185" s="329">
        <f>IFERROR(__xludf.DUMMYFUNCTION("""COMPUTED_VALUE"""),444.0)</f>
        <v>444</v>
      </c>
      <c r="D185" s="329">
        <f>IFERROR(__xludf.DUMMYFUNCTION("""COMPUTED_VALUE"""),154846.0)</f>
        <v>154846</v>
      </c>
      <c r="E185" s="329">
        <f>IFERROR(__xludf.DUMMYFUNCTION("""COMPUTED_VALUE"""),25658.0)</f>
        <v>25658</v>
      </c>
      <c r="F185" s="329">
        <f>IFERROR(__xludf.DUMMYFUNCTION("""COMPUTED_VALUE"""),3034837.0)</f>
        <v>3034837</v>
      </c>
      <c r="G185" s="329">
        <f>IFERROR(__xludf.DUMMYFUNCTION("""COMPUTED_VALUE"""),26196.0)</f>
        <v>26196</v>
      </c>
      <c r="H185" s="329">
        <f>IFERROR(__xludf.DUMMYFUNCTION("""COMPUTED_VALUE"""),3189683.0)</f>
        <v>3189683</v>
      </c>
      <c r="I185" s="329">
        <f>IFERROR(__xludf.DUMMYFUNCTION("""COMPUTED_VALUE"""),481.0)</f>
        <v>481</v>
      </c>
      <c r="J185" s="329">
        <f>IFERROR(__xludf.DUMMYFUNCTION("""COMPUTED_VALUE"""),389.0)</f>
        <v>389</v>
      </c>
      <c r="K185" s="329">
        <f>IFERROR(__xludf.DUMMYFUNCTION("""COMPUTED_VALUE"""),130431.0)</f>
        <v>130431</v>
      </c>
      <c r="L185" s="329">
        <f>IFERROR(__xludf.DUMMYFUNCTION("""COMPUTED_VALUE"""),2059.0)</f>
        <v>2059</v>
      </c>
      <c r="M185" s="329">
        <f>IFERROR(__xludf.DUMMYFUNCTION("""COMPUTED_VALUE"""),679918.0)</f>
        <v>679918</v>
      </c>
      <c r="N185" s="329">
        <f>IFERROR(__xludf.DUMMYFUNCTION("""COMPUTED_VALUE"""),810349.0)</f>
        <v>810349</v>
      </c>
      <c r="O185" s="329">
        <f>IFERROR(__xludf.DUMMYFUNCTION("""COMPUTED_VALUE"""),19.0)</f>
        <v>19</v>
      </c>
      <c r="P185" s="329">
        <f>IFERROR(__xludf.DUMMYFUNCTION("""COMPUTED_VALUE"""),9177.0)</f>
        <v>9177</v>
      </c>
      <c r="Q185" s="329">
        <f>IFERROR(__xludf.DUMMYFUNCTION("""COMPUTED_VALUE"""),26.0)</f>
        <v>26</v>
      </c>
      <c r="R185" s="329">
        <f>IFERROR(__xludf.DUMMYFUNCTION("""COMPUTED_VALUE"""),8008.0)</f>
        <v>8008</v>
      </c>
      <c r="S185" s="329">
        <f>IFERROR(__xludf.DUMMYFUNCTION("""COMPUTED_VALUE"""),0.0)</f>
        <v>0</v>
      </c>
      <c r="T185" s="329">
        <f>IFERROR(__xludf.DUMMYFUNCTION("""COMPUTED_VALUE"""),1022.0)</f>
        <v>1022</v>
      </c>
      <c r="U185" s="329">
        <f>IFERROR(__xludf.DUMMYFUNCTION("""COMPUTED_VALUE"""),147.0)</f>
        <v>147</v>
      </c>
      <c r="V185" s="329">
        <f>IFERROR(__xludf.DUMMYFUNCTION("""COMPUTED_VALUE"""),152.0)</f>
        <v>152</v>
      </c>
      <c r="W185" s="329">
        <f>IFERROR(__xludf.DUMMYFUNCTION("""COMPUTED_VALUE"""),25.0)</f>
        <v>25</v>
      </c>
      <c r="X185" s="329">
        <f>IFERROR(__xludf.DUMMYFUNCTION("""COMPUTED_VALUE"""),18.0)</f>
        <v>18</v>
      </c>
      <c r="Y185" s="329">
        <f>IFERROR(__xludf.DUMMYFUNCTION("""COMPUTED_VALUE"""),6.0)</f>
        <v>6</v>
      </c>
      <c r="Z185" s="329">
        <f>IFERROR(__xludf.DUMMYFUNCTION("""COMPUTED_VALUE"""),2575.0)</f>
        <v>2575</v>
      </c>
      <c r="AA185" s="329">
        <f>IFERROR(__xludf.DUMMYFUNCTION("""COMPUTED_VALUE"""),5722.0)</f>
        <v>5722</v>
      </c>
      <c r="AB185" s="329">
        <f>IFERROR(__xludf.DUMMYFUNCTION("""COMPUTED_VALUE"""),2666.0)</f>
        <v>2666</v>
      </c>
      <c r="AC185" s="329">
        <f>IFERROR(__xludf.DUMMYFUNCTION("""COMPUTED_VALUE"""),8388.0)</f>
        <v>8388</v>
      </c>
      <c r="AD185" s="329">
        <f>IFERROR(__xludf.DUMMYFUNCTION("""COMPUTED_VALUE"""),351738.0)</f>
        <v>351738</v>
      </c>
      <c r="AE185" s="329">
        <f>IFERROR(__xludf.DUMMYFUNCTION("""COMPUTED_VALUE"""),5722.0)</f>
        <v>5722</v>
      </c>
      <c r="AF185" s="329">
        <f>IFERROR(__xludf.DUMMYFUNCTION("""COMPUTED_VALUE"""),251475.0)</f>
        <v>251475</v>
      </c>
      <c r="AG185" s="329">
        <f>IFERROR(__xludf.DUMMYFUNCTION("""COMPUTED_VALUE"""),3236.0)</f>
        <v>3236</v>
      </c>
      <c r="AH185" s="329">
        <f>IFERROR(__xludf.DUMMYFUNCTION("""COMPUTED_VALUE"""),102892.0)</f>
        <v>102892</v>
      </c>
    </row>
    <row r="186">
      <c r="A186" s="328">
        <f>IFERROR(__xludf.DUMMYFUNCTION("""COMPUTED_VALUE"""),44266.0)</f>
        <v>44266</v>
      </c>
      <c r="B186" s="329">
        <f>IFERROR(__xludf.DUMMYFUNCTION("""COMPUTED_VALUE"""),415.0)</f>
        <v>415</v>
      </c>
      <c r="C186" s="329">
        <f>IFERROR(__xludf.DUMMYFUNCTION("""COMPUTED_VALUE"""),460.0)</f>
        <v>460</v>
      </c>
      <c r="D186" s="329">
        <f>IFERROR(__xludf.DUMMYFUNCTION("""COMPUTED_VALUE"""),155261.0)</f>
        <v>155261</v>
      </c>
      <c r="E186" s="329">
        <f>IFERROR(__xludf.DUMMYFUNCTION("""COMPUTED_VALUE"""),21023.0)</f>
        <v>21023</v>
      </c>
      <c r="F186" s="329">
        <f>IFERROR(__xludf.DUMMYFUNCTION("""COMPUTED_VALUE"""),3055860.0)</f>
        <v>3055860</v>
      </c>
      <c r="G186" s="329">
        <f>IFERROR(__xludf.DUMMYFUNCTION("""COMPUTED_VALUE"""),21438.0)</f>
        <v>21438</v>
      </c>
      <c r="H186" s="329">
        <f>IFERROR(__xludf.DUMMYFUNCTION("""COMPUTED_VALUE"""),3211121.0)</f>
        <v>3211121</v>
      </c>
      <c r="I186" s="329">
        <f>IFERROR(__xludf.DUMMYFUNCTION("""COMPUTED_VALUE"""),366.0)</f>
        <v>366</v>
      </c>
      <c r="J186" s="329">
        <f>IFERROR(__xludf.DUMMYFUNCTION("""COMPUTED_VALUE"""),409.0)</f>
        <v>409</v>
      </c>
      <c r="K186" s="329">
        <f>IFERROR(__xludf.DUMMYFUNCTION("""COMPUTED_VALUE"""),130797.0)</f>
        <v>130797</v>
      </c>
      <c r="L186" s="329">
        <f>IFERROR(__xludf.DUMMYFUNCTION("""COMPUTED_VALUE"""),2099.0)</f>
        <v>2099</v>
      </c>
      <c r="M186" s="329">
        <f>IFERROR(__xludf.DUMMYFUNCTION("""COMPUTED_VALUE"""),682017.0)</f>
        <v>682017</v>
      </c>
      <c r="N186" s="329">
        <f>IFERROR(__xludf.DUMMYFUNCTION("""COMPUTED_VALUE"""),812814.0)</f>
        <v>812814</v>
      </c>
      <c r="O186" s="329">
        <f>IFERROR(__xludf.DUMMYFUNCTION("""COMPUTED_VALUE"""),21.0)</f>
        <v>21</v>
      </c>
      <c r="P186" s="329">
        <f>IFERROR(__xludf.DUMMYFUNCTION("""COMPUTED_VALUE"""),9198.0)</f>
        <v>9198</v>
      </c>
      <c r="Q186" s="329">
        <f>IFERROR(__xludf.DUMMYFUNCTION("""COMPUTED_VALUE"""),15.0)</f>
        <v>15</v>
      </c>
      <c r="R186" s="329">
        <f>IFERROR(__xludf.DUMMYFUNCTION("""COMPUTED_VALUE"""),8023.0)</f>
        <v>8023</v>
      </c>
      <c r="S186" s="329">
        <f>IFERROR(__xludf.DUMMYFUNCTION("""COMPUTED_VALUE"""),3.0)</f>
        <v>3</v>
      </c>
      <c r="T186" s="329">
        <f>IFERROR(__xludf.DUMMYFUNCTION("""COMPUTED_VALUE"""),1025.0)</f>
        <v>1025</v>
      </c>
      <c r="U186" s="329">
        <f>IFERROR(__xludf.DUMMYFUNCTION("""COMPUTED_VALUE"""),150.0)</f>
        <v>150</v>
      </c>
      <c r="V186" s="329">
        <f>IFERROR(__xludf.DUMMYFUNCTION("""COMPUTED_VALUE"""),150.0)</f>
        <v>150</v>
      </c>
      <c r="W186" s="329">
        <f>IFERROR(__xludf.DUMMYFUNCTION("""COMPUTED_VALUE"""),25.0)</f>
        <v>25</v>
      </c>
      <c r="X186" s="329">
        <f>IFERROR(__xludf.DUMMYFUNCTION("""COMPUTED_VALUE"""),16.0)</f>
        <v>16</v>
      </c>
      <c r="Y186" s="329">
        <f>IFERROR(__xludf.DUMMYFUNCTION("""COMPUTED_VALUE"""),3.0)</f>
        <v>3</v>
      </c>
      <c r="Z186" s="329">
        <f>IFERROR(__xludf.DUMMYFUNCTION("""COMPUTED_VALUE"""),2578.0)</f>
        <v>2578</v>
      </c>
      <c r="AA186" s="329">
        <f>IFERROR(__xludf.DUMMYFUNCTION("""COMPUTED_VALUE"""),7210.0)</f>
        <v>7210</v>
      </c>
      <c r="AB186" s="329">
        <f>IFERROR(__xludf.DUMMYFUNCTION("""COMPUTED_VALUE"""),3102.0)</f>
        <v>3102</v>
      </c>
      <c r="AC186" s="329">
        <f>IFERROR(__xludf.DUMMYFUNCTION("""COMPUTED_VALUE"""),10312.0)</f>
        <v>10312</v>
      </c>
      <c r="AD186" s="329">
        <f>IFERROR(__xludf.DUMMYFUNCTION("""COMPUTED_VALUE"""),362050.0)</f>
        <v>362050</v>
      </c>
      <c r="AE186" s="329">
        <f>IFERROR(__xludf.DUMMYFUNCTION("""COMPUTED_VALUE"""),7210.0)</f>
        <v>7210</v>
      </c>
      <c r="AF186" s="329">
        <f>IFERROR(__xludf.DUMMYFUNCTION("""COMPUTED_VALUE"""),258685.0)</f>
        <v>258685</v>
      </c>
      <c r="AG186" s="329">
        <f>IFERROR(__xludf.DUMMYFUNCTION("""COMPUTED_VALUE"""),4586.0)</f>
        <v>4586</v>
      </c>
      <c r="AH186" s="329">
        <f>IFERROR(__xludf.DUMMYFUNCTION("""COMPUTED_VALUE"""),107478.0)</f>
        <v>107478</v>
      </c>
    </row>
    <row r="187">
      <c r="A187" s="328">
        <f>IFERROR(__xludf.DUMMYFUNCTION("""COMPUTED_VALUE"""),44267.0)</f>
        <v>44267</v>
      </c>
      <c r="B187" s="329">
        <f>IFERROR(__xludf.DUMMYFUNCTION("""COMPUTED_VALUE"""),428.0)</f>
        <v>428</v>
      </c>
      <c r="C187" s="329">
        <f>IFERROR(__xludf.DUMMYFUNCTION("""COMPUTED_VALUE"""),460.0)</f>
        <v>460</v>
      </c>
      <c r="D187" s="329">
        <f>IFERROR(__xludf.DUMMYFUNCTION("""COMPUTED_VALUE"""),155689.0)</f>
        <v>155689</v>
      </c>
      <c r="E187" s="329">
        <f>IFERROR(__xludf.DUMMYFUNCTION("""COMPUTED_VALUE"""),18121.0)</f>
        <v>18121</v>
      </c>
      <c r="F187" s="329">
        <f>IFERROR(__xludf.DUMMYFUNCTION("""COMPUTED_VALUE"""),3073981.0)</f>
        <v>3073981</v>
      </c>
      <c r="G187" s="329">
        <f>IFERROR(__xludf.DUMMYFUNCTION("""COMPUTED_VALUE"""),18549.0)</f>
        <v>18549</v>
      </c>
      <c r="H187" s="329">
        <f>IFERROR(__xludf.DUMMYFUNCTION("""COMPUTED_VALUE"""),3229670.0)</f>
        <v>3229670</v>
      </c>
      <c r="I187" s="329">
        <f>IFERROR(__xludf.DUMMYFUNCTION("""COMPUTED_VALUE"""),365.0)</f>
        <v>365</v>
      </c>
      <c r="J187" s="329">
        <f>IFERROR(__xludf.DUMMYFUNCTION("""COMPUTED_VALUE"""),404.0)</f>
        <v>404</v>
      </c>
      <c r="K187" s="329">
        <f>IFERROR(__xludf.DUMMYFUNCTION("""COMPUTED_VALUE"""),131162.0)</f>
        <v>131162</v>
      </c>
      <c r="L187" s="329">
        <f>IFERROR(__xludf.DUMMYFUNCTION("""COMPUTED_VALUE"""),1907.0)</f>
        <v>1907</v>
      </c>
      <c r="M187" s="329">
        <f>IFERROR(__xludf.DUMMYFUNCTION("""COMPUTED_VALUE"""),683924.0)</f>
        <v>683924</v>
      </c>
      <c r="N187" s="329">
        <f>IFERROR(__xludf.DUMMYFUNCTION("""COMPUTED_VALUE"""),815086.0)</f>
        <v>815086</v>
      </c>
      <c r="O187" s="329">
        <f>IFERROR(__xludf.DUMMYFUNCTION("""COMPUTED_VALUE"""),25.0)</f>
        <v>25</v>
      </c>
      <c r="P187" s="329">
        <f>IFERROR(__xludf.DUMMYFUNCTION("""COMPUTED_VALUE"""),9223.0)</f>
        <v>9223</v>
      </c>
      <c r="Q187" s="329">
        <f>IFERROR(__xludf.DUMMYFUNCTION("""COMPUTED_VALUE"""),28.0)</f>
        <v>28</v>
      </c>
      <c r="R187" s="329">
        <f>IFERROR(__xludf.DUMMYFUNCTION("""COMPUTED_VALUE"""),8051.0)</f>
        <v>8051</v>
      </c>
      <c r="S187" s="329">
        <f>IFERROR(__xludf.DUMMYFUNCTION("""COMPUTED_VALUE"""),0.0)</f>
        <v>0</v>
      </c>
      <c r="T187" s="329">
        <f>IFERROR(__xludf.DUMMYFUNCTION("""COMPUTED_VALUE"""),1025.0)</f>
        <v>1025</v>
      </c>
      <c r="U187" s="329">
        <f>IFERROR(__xludf.DUMMYFUNCTION("""COMPUTED_VALUE"""),147.0)</f>
        <v>147</v>
      </c>
      <c r="V187" s="329">
        <f>IFERROR(__xludf.DUMMYFUNCTION("""COMPUTED_VALUE"""),148.0)</f>
        <v>148</v>
      </c>
      <c r="W187" s="329">
        <f>IFERROR(__xludf.DUMMYFUNCTION("""COMPUTED_VALUE"""),24.0)</f>
        <v>24</v>
      </c>
      <c r="X187" s="329">
        <f>IFERROR(__xludf.DUMMYFUNCTION("""COMPUTED_VALUE"""),15.0)</f>
        <v>15</v>
      </c>
      <c r="Y187" s="329">
        <f>IFERROR(__xludf.DUMMYFUNCTION("""COMPUTED_VALUE"""),1.0)</f>
        <v>1</v>
      </c>
      <c r="Z187" s="329">
        <f>IFERROR(__xludf.DUMMYFUNCTION("""COMPUTED_VALUE"""),2579.0)</f>
        <v>2579</v>
      </c>
      <c r="AA187" s="329">
        <f>IFERROR(__xludf.DUMMYFUNCTION("""COMPUTED_VALUE"""),8498.0)</f>
        <v>8498</v>
      </c>
      <c r="AB187" s="329">
        <f>IFERROR(__xludf.DUMMYFUNCTION("""COMPUTED_VALUE"""),3198.0)</f>
        <v>3198</v>
      </c>
      <c r="AC187" s="329">
        <f>IFERROR(__xludf.DUMMYFUNCTION("""COMPUTED_VALUE"""),11696.0)</f>
        <v>11696</v>
      </c>
      <c r="AD187" s="329">
        <f>IFERROR(__xludf.DUMMYFUNCTION("""COMPUTED_VALUE"""),373746.0)</f>
        <v>373746</v>
      </c>
      <c r="AE187" s="329">
        <f>IFERROR(__xludf.DUMMYFUNCTION("""COMPUTED_VALUE"""),8498.0)</f>
        <v>8498</v>
      </c>
      <c r="AF187" s="329">
        <f>IFERROR(__xludf.DUMMYFUNCTION("""COMPUTED_VALUE"""),267183.0)</f>
        <v>267183</v>
      </c>
      <c r="AG187" s="329">
        <f>IFERROR(__xludf.DUMMYFUNCTION("""COMPUTED_VALUE"""),3867.0)</f>
        <v>3867</v>
      </c>
      <c r="AH187" s="329">
        <f>IFERROR(__xludf.DUMMYFUNCTION("""COMPUTED_VALUE"""),111345.0)</f>
        <v>111345</v>
      </c>
    </row>
    <row r="188">
      <c r="A188" s="328">
        <f>IFERROR(__xludf.DUMMYFUNCTION("""COMPUTED_VALUE"""),44268.0)</f>
        <v>44268</v>
      </c>
      <c r="B188" s="329">
        <f>IFERROR(__xludf.DUMMYFUNCTION("""COMPUTED_VALUE"""),357.0)</f>
        <v>357</v>
      </c>
      <c r="C188" s="329">
        <f>IFERROR(__xludf.DUMMYFUNCTION("""COMPUTED_VALUE"""),400.0)</f>
        <v>400</v>
      </c>
      <c r="D188" s="329">
        <f>IFERROR(__xludf.DUMMYFUNCTION("""COMPUTED_VALUE"""),156046.0)</f>
        <v>156046</v>
      </c>
      <c r="E188" s="329">
        <f>IFERROR(__xludf.DUMMYFUNCTION("""COMPUTED_VALUE"""),13289.0)</f>
        <v>13289</v>
      </c>
      <c r="F188" s="329">
        <f>IFERROR(__xludf.DUMMYFUNCTION("""COMPUTED_VALUE"""),3087270.0)</f>
        <v>3087270</v>
      </c>
      <c r="G188" s="329">
        <f>IFERROR(__xludf.DUMMYFUNCTION("""COMPUTED_VALUE"""),13646.0)</f>
        <v>13646</v>
      </c>
      <c r="H188" s="329">
        <f>IFERROR(__xludf.DUMMYFUNCTION("""COMPUTED_VALUE"""),3243316.0)</f>
        <v>3243316</v>
      </c>
      <c r="I188" s="329">
        <f>IFERROR(__xludf.DUMMYFUNCTION("""COMPUTED_VALUE"""),297.0)</f>
        <v>297</v>
      </c>
      <c r="J188" s="329">
        <f>IFERROR(__xludf.DUMMYFUNCTION("""COMPUTED_VALUE"""),343.0)</f>
        <v>343</v>
      </c>
      <c r="K188" s="329">
        <f>IFERROR(__xludf.DUMMYFUNCTION("""COMPUTED_VALUE"""),131459.0)</f>
        <v>131459</v>
      </c>
      <c r="L188" s="329">
        <f>IFERROR(__xludf.DUMMYFUNCTION("""COMPUTED_VALUE"""),1579.0)</f>
        <v>1579</v>
      </c>
      <c r="M188" s="329">
        <f>IFERROR(__xludf.DUMMYFUNCTION("""COMPUTED_VALUE"""),685503.0)</f>
        <v>685503</v>
      </c>
      <c r="N188" s="329">
        <f>IFERROR(__xludf.DUMMYFUNCTION("""COMPUTED_VALUE"""),816962.0)</f>
        <v>816962</v>
      </c>
      <c r="O188" s="329">
        <f>IFERROR(__xludf.DUMMYFUNCTION("""COMPUTED_VALUE"""),16.0)</f>
        <v>16</v>
      </c>
      <c r="P188" s="329">
        <f>IFERROR(__xludf.DUMMYFUNCTION("""COMPUTED_VALUE"""),9239.0)</f>
        <v>9239</v>
      </c>
      <c r="Q188" s="329">
        <f>IFERROR(__xludf.DUMMYFUNCTION("""COMPUTED_VALUE"""),13.0)</f>
        <v>13</v>
      </c>
      <c r="R188" s="329">
        <f>IFERROR(__xludf.DUMMYFUNCTION("""COMPUTED_VALUE"""),8064.0)</f>
        <v>8064</v>
      </c>
      <c r="S188" s="329">
        <f>IFERROR(__xludf.DUMMYFUNCTION("""COMPUTED_VALUE"""),3.0)</f>
        <v>3</v>
      </c>
      <c r="T188" s="329">
        <f>IFERROR(__xludf.DUMMYFUNCTION("""COMPUTED_VALUE"""),1028.0)</f>
        <v>1028</v>
      </c>
      <c r="U188" s="329">
        <f>IFERROR(__xludf.DUMMYFUNCTION("""COMPUTED_VALUE"""),147.0)</f>
        <v>147</v>
      </c>
      <c r="V188" s="329">
        <f>IFERROR(__xludf.DUMMYFUNCTION("""COMPUTED_VALUE"""),148.0)</f>
        <v>148</v>
      </c>
      <c r="W188" s="329">
        <f>IFERROR(__xludf.DUMMYFUNCTION("""COMPUTED_VALUE"""),21.0)</f>
        <v>21</v>
      </c>
      <c r="X188" s="329">
        <f>IFERROR(__xludf.DUMMYFUNCTION("""COMPUTED_VALUE"""),15.0)</f>
        <v>15</v>
      </c>
      <c r="Y188" s="329">
        <f>IFERROR(__xludf.DUMMYFUNCTION("""COMPUTED_VALUE"""),5.0)</f>
        <v>5</v>
      </c>
      <c r="Z188" s="329">
        <f>IFERROR(__xludf.DUMMYFUNCTION("""COMPUTED_VALUE"""),2584.0)</f>
        <v>2584</v>
      </c>
      <c r="AA188" s="329">
        <f>IFERROR(__xludf.DUMMYFUNCTION("""COMPUTED_VALUE"""),8829.0)</f>
        <v>8829</v>
      </c>
      <c r="AB188" s="329">
        <f>IFERROR(__xludf.DUMMYFUNCTION("""COMPUTED_VALUE"""),3079.0)</f>
        <v>3079</v>
      </c>
      <c r="AC188" s="329">
        <f>IFERROR(__xludf.DUMMYFUNCTION("""COMPUTED_VALUE"""),11908.0)</f>
        <v>11908</v>
      </c>
      <c r="AD188" s="329">
        <f>IFERROR(__xludf.DUMMYFUNCTION("""COMPUTED_VALUE"""),385654.0)</f>
        <v>385654</v>
      </c>
      <c r="AE188" s="329">
        <f>IFERROR(__xludf.DUMMYFUNCTION("""COMPUTED_VALUE"""),8829.0)</f>
        <v>8829</v>
      </c>
      <c r="AF188" s="329">
        <f>IFERROR(__xludf.DUMMYFUNCTION("""COMPUTED_VALUE"""),276012.0)</f>
        <v>276012</v>
      </c>
      <c r="AG188" s="329">
        <f>IFERROR(__xludf.DUMMYFUNCTION("""COMPUTED_VALUE"""),4796.0)</f>
        <v>4796</v>
      </c>
      <c r="AH188" s="329">
        <f>IFERROR(__xludf.DUMMYFUNCTION("""COMPUTED_VALUE"""),116141.0)</f>
        <v>116141</v>
      </c>
    </row>
    <row r="189">
      <c r="A189" s="328">
        <f>IFERROR(__xludf.DUMMYFUNCTION("""COMPUTED_VALUE"""),44269.0)</f>
        <v>44269</v>
      </c>
      <c r="B189" s="329">
        <f>IFERROR(__xludf.DUMMYFUNCTION("""COMPUTED_VALUE"""),163.0)</f>
        <v>163</v>
      </c>
      <c r="C189" s="329">
        <f>IFERROR(__xludf.DUMMYFUNCTION("""COMPUTED_VALUE"""),316.0)</f>
        <v>316</v>
      </c>
      <c r="D189" s="329">
        <f>IFERROR(__xludf.DUMMYFUNCTION("""COMPUTED_VALUE"""),156209.0)</f>
        <v>156209</v>
      </c>
      <c r="E189" s="329">
        <f>IFERROR(__xludf.DUMMYFUNCTION("""COMPUTED_VALUE"""),4458.0)</f>
        <v>4458</v>
      </c>
      <c r="F189" s="329">
        <f>IFERROR(__xludf.DUMMYFUNCTION("""COMPUTED_VALUE"""),3091728.0)</f>
        <v>3091728</v>
      </c>
      <c r="G189" s="329">
        <f>IFERROR(__xludf.DUMMYFUNCTION("""COMPUTED_VALUE"""),4621.0)</f>
        <v>4621</v>
      </c>
      <c r="H189" s="329">
        <f>IFERROR(__xludf.DUMMYFUNCTION("""COMPUTED_VALUE"""),3247937.0)</f>
        <v>3247937</v>
      </c>
      <c r="I189" s="329">
        <f>IFERROR(__xludf.DUMMYFUNCTION("""COMPUTED_VALUE"""),158.0)</f>
        <v>158</v>
      </c>
      <c r="J189" s="329">
        <f>IFERROR(__xludf.DUMMYFUNCTION("""COMPUTED_VALUE"""),273.0)</f>
        <v>273</v>
      </c>
      <c r="K189" s="329">
        <f>IFERROR(__xludf.DUMMYFUNCTION("""COMPUTED_VALUE"""),131617.0)</f>
        <v>131617</v>
      </c>
      <c r="L189" s="329">
        <f>IFERROR(__xludf.DUMMYFUNCTION("""COMPUTED_VALUE"""),656.0)</f>
        <v>656</v>
      </c>
      <c r="M189" s="329">
        <f>IFERROR(__xludf.DUMMYFUNCTION("""COMPUTED_VALUE"""),686159.0)</f>
        <v>686159</v>
      </c>
      <c r="N189" s="329">
        <f>IFERROR(__xludf.DUMMYFUNCTION("""COMPUTED_VALUE"""),817776.0)</f>
        <v>817776</v>
      </c>
      <c r="O189" s="329">
        <f>IFERROR(__xludf.DUMMYFUNCTION("""COMPUTED_VALUE"""),18.0)</f>
        <v>18</v>
      </c>
      <c r="P189" s="329">
        <f>IFERROR(__xludf.DUMMYFUNCTION("""COMPUTED_VALUE"""),9257.0)</f>
        <v>9257</v>
      </c>
      <c r="Q189" s="329">
        <f>IFERROR(__xludf.DUMMYFUNCTION("""COMPUTED_VALUE"""),19.0)</f>
        <v>19</v>
      </c>
      <c r="R189" s="329">
        <f>IFERROR(__xludf.DUMMYFUNCTION("""COMPUTED_VALUE"""),8083.0)</f>
        <v>8083</v>
      </c>
      <c r="S189" s="329">
        <f>IFERROR(__xludf.DUMMYFUNCTION("""COMPUTED_VALUE"""),1.0)</f>
        <v>1</v>
      </c>
      <c r="T189" s="329">
        <f>IFERROR(__xludf.DUMMYFUNCTION("""COMPUTED_VALUE"""),1029.0)</f>
        <v>1029</v>
      </c>
      <c r="U189" s="329">
        <f>IFERROR(__xludf.DUMMYFUNCTION("""COMPUTED_VALUE"""),145.0)</f>
        <v>145</v>
      </c>
      <c r="V189" s="329">
        <f>IFERROR(__xludf.DUMMYFUNCTION("""COMPUTED_VALUE"""),146.0)</f>
        <v>146</v>
      </c>
      <c r="W189" s="329">
        <f>IFERROR(__xludf.DUMMYFUNCTION("""COMPUTED_VALUE"""),19.0)</f>
        <v>19</v>
      </c>
      <c r="X189" s="329">
        <f>IFERROR(__xludf.DUMMYFUNCTION("""COMPUTED_VALUE"""),15.0)</f>
        <v>15</v>
      </c>
      <c r="Y189" s="329">
        <f>IFERROR(__xludf.DUMMYFUNCTION("""COMPUTED_VALUE"""),2.0)</f>
        <v>2</v>
      </c>
      <c r="Z189" s="329">
        <f>IFERROR(__xludf.DUMMYFUNCTION("""COMPUTED_VALUE"""),2586.0)</f>
        <v>2586</v>
      </c>
      <c r="AA189" s="329">
        <f>IFERROR(__xludf.DUMMYFUNCTION("""COMPUTED_VALUE"""),2582.0)</f>
        <v>2582</v>
      </c>
      <c r="AB189" s="329">
        <f>IFERROR(__xludf.DUMMYFUNCTION("""COMPUTED_VALUE"""),601.0)</f>
        <v>601</v>
      </c>
      <c r="AC189" s="329">
        <f>IFERROR(__xludf.DUMMYFUNCTION("""COMPUTED_VALUE"""),3183.0)</f>
        <v>3183</v>
      </c>
      <c r="AD189" s="329">
        <f>IFERROR(__xludf.DUMMYFUNCTION("""COMPUTED_VALUE"""),388837.0)</f>
        <v>388837</v>
      </c>
      <c r="AE189" s="329">
        <f>IFERROR(__xludf.DUMMYFUNCTION("""COMPUTED_VALUE"""),2582.0)</f>
        <v>2582</v>
      </c>
      <c r="AF189" s="329">
        <f>IFERROR(__xludf.DUMMYFUNCTION("""COMPUTED_VALUE"""),278594.0)</f>
        <v>278594</v>
      </c>
      <c r="AG189" s="329">
        <f>IFERROR(__xludf.DUMMYFUNCTION("""COMPUTED_VALUE"""),929.0)</f>
        <v>929</v>
      </c>
      <c r="AH189" s="329">
        <f>IFERROR(__xludf.DUMMYFUNCTION("""COMPUTED_VALUE"""),117070.0)</f>
        <v>117070</v>
      </c>
    </row>
    <row r="190">
      <c r="A190" s="328">
        <f>IFERROR(__xludf.DUMMYFUNCTION("""COMPUTED_VALUE"""),44270.0)</f>
        <v>44270</v>
      </c>
      <c r="B190" s="329">
        <f>IFERROR(__xludf.DUMMYFUNCTION("""COMPUTED_VALUE"""),318.0)</f>
        <v>318</v>
      </c>
      <c r="C190" s="329">
        <f>IFERROR(__xludf.DUMMYFUNCTION("""COMPUTED_VALUE"""),279.0)</f>
        <v>279</v>
      </c>
      <c r="D190" s="329">
        <f>IFERROR(__xludf.DUMMYFUNCTION("""COMPUTED_VALUE"""),156527.0)</f>
        <v>156527</v>
      </c>
      <c r="E190" s="329">
        <f>IFERROR(__xludf.DUMMYFUNCTION("""COMPUTED_VALUE"""),11032.0)</f>
        <v>11032</v>
      </c>
      <c r="F190" s="329">
        <f>IFERROR(__xludf.DUMMYFUNCTION("""COMPUTED_VALUE"""),3102760.0)</f>
        <v>3102760</v>
      </c>
      <c r="G190" s="329">
        <f>IFERROR(__xludf.DUMMYFUNCTION("""COMPUTED_VALUE"""),11350.0)</f>
        <v>11350</v>
      </c>
      <c r="H190" s="329">
        <f>IFERROR(__xludf.DUMMYFUNCTION("""COMPUTED_VALUE"""),3259287.0)</f>
        <v>3259287</v>
      </c>
      <c r="I190" s="329">
        <f>IFERROR(__xludf.DUMMYFUNCTION("""COMPUTED_VALUE"""),267.0)</f>
        <v>267</v>
      </c>
      <c r="J190" s="329">
        <f>IFERROR(__xludf.DUMMYFUNCTION("""COMPUTED_VALUE"""),241.0)</f>
        <v>241</v>
      </c>
      <c r="K190" s="329">
        <f>IFERROR(__xludf.DUMMYFUNCTION("""COMPUTED_VALUE"""),131884.0)</f>
        <v>131884</v>
      </c>
      <c r="L190" s="329">
        <f>IFERROR(__xludf.DUMMYFUNCTION("""COMPUTED_VALUE"""),1323.0)</f>
        <v>1323</v>
      </c>
      <c r="M190" s="329">
        <f>IFERROR(__xludf.DUMMYFUNCTION("""COMPUTED_VALUE"""),687482.0)</f>
        <v>687482</v>
      </c>
      <c r="N190" s="329">
        <f>IFERROR(__xludf.DUMMYFUNCTION("""COMPUTED_VALUE"""),819366.0)</f>
        <v>819366</v>
      </c>
      <c r="O190" s="329">
        <f>IFERROR(__xludf.DUMMYFUNCTION("""COMPUTED_VALUE"""),17.0)</f>
        <v>17</v>
      </c>
      <c r="P190" s="329">
        <f>IFERROR(__xludf.DUMMYFUNCTION("""COMPUTED_VALUE"""),9274.0)</f>
        <v>9274</v>
      </c>
      <c r="Q190" s="329">
        <f>IFERROR(__xludf.DUMMYFUNCTION("""COMPUTED_VALUE"""),21.0)</f>
        <v>21</v>
      </c>
      <c r="R190" s="329">
        <f>IFERROR(__xludf.DUMMYFUNCTION("""COMPUTED_VALUE"""),8104.0)</f>
        <v>8104</v>
      </c>
      <c r="S190" s="329">
        <f>IFERROR(__xludf.DUMMYFUNCTION("""COMPUTED_VALUE"""),2.0)</f>
        <v>2</v>
      </c>
      <c r="T190" s="329">
        <f>IFERROR(__xludf.DUMMYFUNCTION("""COMPUTED_VALUE"""),1031.0)</f>
        <v>1031</v>
      </c>
      <c r="U190" s="329">
        <f>IFERROR(__xludf.DUMMYFUNCTION("""COMPUTED_VALUE"""),139.0)</f>
        <v>139</v>
      </c>
      <c r="V190" s="329">
        <f>IFERROR(__xludf.DUMMYFUNCTION("""COMPUTED_VALUE"""),144.0)</f>
        <v>144</v>
      </c>
      <c r="W190" s="329">
        <f>IFERROR(__xludf.DUMMYFUNCTION("""COMPUTED_VALUE"""),16.0)</f>
        <v>16</v>
      </c>
      <c r="X190" s="329">
        <f>IFERROR(__xludf.DUMMYFUNCTION("""COMPUTED_VALUE"""),12.0)</f>
        <v>12</v>
      </c>
      <c r="Y190" s="329">
        <f>IFERROR(__xludf.DUMMYFUNCTION("""COMPUTED_VALUE"""),4.0)</f>
        <v>4</v>
      </c>
      <c r="Z190" s="329">
        <f>IFERROR(__xludf.DUMMYFUNCTION("""COMPUTED_VALUE"""),2590.0)</f>
        <v>2590</v>
      </c>
      <c r="AA190" s="329">
        <f>IFERROR(__xludf.DUMMYFUNCTION("""COMPUTED_VALUE"""),2345.0)</f>
        <v>2345</v>
      </c>
      <c r="AB190" s="329">
        <f>IFERROR(__xludf.DUMMYFUNCTION("""COMPUTED_VALUE"""),4574.0)</f>
        <v>4574</v>
      </c>
      <c r="AC190" s="329">
        <f>IFERROR(__xludf.DUMMYFUNCTION("""COMPUTED_VALUE"""),6919.0)</f>
        <v>6919</v>
      </c>
      <c r="AD190" s="329">
        <f>IFERROR(__xludf.DUMMYFUNCTION("""COMPUTED_VALUE"""),395756.0)</f>
        <v>395756</v>
      </c>
      <c r="AE190" s="329">
        <f>IFERROR(__xludf.DUMMYFUNCTION("""COMPUTED_VALUE"""),2345.0)</f>
        <v>2345</v>
      </c>
      <c r="AF190" s="329">
        <f>IFERROR(__xludf.DUMMYFUNCTION("""COMPUTED_VALUE"""),280939.0)</f>
        <v>280939</v>
      </c>
      <c r="AG190" s="329">
        <f>IFERROR(__xludf.DUMMYFUNCTION("""COMPUTED_VALUE"""),4661.0)</f>
        <v>4661</v>
      </c>
      <c r="AH190" s="329">
        <f>IFERROR(__xludf.DUMMYFUNCTION("""COMPUTED_VALUE"""),121731.0)</f>
        <v>121731</v>
      </c>
    </row>
    <row r="191">
      <c r="A191" s="328">
        <f>IFERROR(__xludf.DUMMYFUNCTION("""COMPUTED_VALUE"""),44271.0)</f>
        <v>44271</v>
      </c>
      <c r="B191" s="329">
        <f>IFERROR(__xludf.DUMMYFUNCTION("""COMPUTED_VALUE"""),506.0)</f>
        <v>506</v>
      </c>
      <c r="C191" s="329">
        <f>IFERROR(__xludf.DUMMYFUNCTION("""COMPUTED_VALUE"""),329.0)</f>
        <v>329</v>
      </c>
      <c r="D191" s="329">
        <f>IFERROR(__xludf.DUMMYFUNCTION("""COMPUTED_VALUE"""),157033.0)</f>
        <v>157033</v>
      </c>
      <c r="E191" s="329">
        <f>IFERROR(__xludf.DUMMYFUNCTION("""COMPUTED_VALUE"""),21489.0)</f>
        <v>21489</v>
      </c>
      <c r="F191" s="329">
        <f>IFERROR(__xludf.DUMMYFUNCTION("""COMPUTED_VALUE"""),3124249.0)</f>
        <v>3124249</v>
      </c>
      <c r="G191" s="329">
        <f>IFERROR(__xludf.DUMMYFUNCTION("""COMPUTED_VALUE"""),21995.0)</f>
        <v>21995</v>
      </c>
      <c r="H191" s="329">
        <f>IFERROR(__xludf.DUMMYFUNCTION("""COMPUTED_VALUE"""),3281282.0)</f>
        <v>3281282</v>
      </c>
      <c r="I191" s="329">
        <f>IFERROR(__xludf.DUMMYFUNCTION("""COMPUTED_VALUE"""),443.0)</f>
        <v>443</v>
      </c>
      <c r="J191" s="329">
        <f>IFERROR(__xludf.DUMMYFUNCTION("""COMPUTED_VALUE"""),289.0)</f>
        <v>289</v>
      </c>
      <c r="K191" s="329">
        <f>IFERROR(__xludf.DUMMYFUNCTION("""COMPUTED_VALUE"""),132327.0)</f>
        <v>132327</v>
      </c>
      <c r="L191" s="329">
        <f>IFERROR(__xludf.DUMMYFUNCTION("""COMPUTED_VALUE"""),1746.0)</f>
        <v>1746</v>
      </c>
      <c r="M191" s="329">
        <f>IFERROR(__xludf.DUMMYFUNCTION("""COMPUTED_VALUE"""),689228.0)</f>
        <v>689228</v>
      </c>
      <c r="N191" s="329">
        <f>IFERROR(__xludf.DUMMYFUNCTION("""COMPUTED_VALUE"""),821555.0)</f>
        <v>821555</v>
      </c>
      <c r="O191" s="329">
        <f>IFERROR(__xludf.DUMMYFUNCTION("""COMPUTED_VALUE"""),16.0)</f>
        <v>16</v>
      </c>
      <c r="P191" s="329">
        <f>IFERROR(__xludf.DUMMYFUNCTION("""COMPUTED_VALUE"""),9290.0)</f>
        <v>9290</v>
      </c>
      <c r="Q191" s="329">
        <f>IFERROR(__xludf.DUMMYFUNCTION("""COMPUTED_VALUE"""),18.0)</f>
        <v>18</v>
      </c>
      <c r="R191" s="329">
        <f>IFERROR(__xludf.DUMMYFUNCTION("""COMPUTED_VALUE"""),8122.0)</f>
        <v>8122</v>
      </c>
      <c r="S191" s="329">
        <f>IFERROR(__xludf.DUMMYFUNCTION("""COMPUTED_VALUE"""),3.0)</f>
        <v>3</v>
      </c>
      <c r="T191" s="329">
        <f>IFERROR(__xludf.DUMMYFUNCTION("""COMPUTED_VALUE"""),1034.0)</f>
        <v>1034</v>
      </c>
      <c r="U191" s="329">
        <f>IFERROR(__xludf.DUMMYFUNCTION("""COMPUTED_VALUE"""),134.0)</f>
        <v>134</v>
      </c>
      <c r="V191" s="329">
        <f>IFERROR(__xludf.DUMMYFUNCTION("""COMPUTED_VALUE"""),139.0)</f>
        <v>139</v>
      </c>
      <c r="W191" s="329">
        <f>IFERROR(__xludf.DUMMYFUNCTION("""COMPUTED_VALUE"""),17.0)</f>
        <v>17</v>
      </c>
      <c r="X191" s="329">
        <f>IFERROR(__xludf.DUMMYFUNCTION("""COMPUTED_VALUE"""),11.0)</f>
        <v>11</v>
      </c>
      <c r="Y191" s="329">
        <f>IFERROR(__xludf.DUMMYFUNCTION("""COMPUTED_VALUE"""),3.0)</f>
        <v>3</v>
      </c>
      <c r="Z191" s="329">
        <f>IFERROR(__xludf.DUMMYFUNCTION("""COMPUTED_VALUE"""),2593.0)</f>
        <v>2593</v>
      </c>
      <c r="AA191" s="329">
        <f>IFERROR(__xludf.DUMMYFUNCTION("""COMPUTED_VALUE"""),3855.0)</f>
        <v>3855</v>
      </c>
      <c r="AB191" s="329">
        <f>IFERROR(__xludf.DUMMYFUNCTION("""COMPUTED_VALUE"""),8954.0)</f>
        <v>8954</v>
      </c>
      <c r="AC191" s="329">
        <f>IFERROR(__xludf.DUMMYFUNCTION("""COMPUTED_VALUE"""),12809.0)</f>
        <v>12809</v>
      </c>
      <c r="AD191" s="329">
        <f>IFERROR(__xludf.DUMMYFUNCTION("""COMPUTED_VALUE"""),408565.0)</f>
        <v>408565</v>
      </c>
      <c r="AE191" s="329">
        <f>IFERROR(__xludf.DUMMYFUNCTION("""COMPUTED_VALUE"""),3855.0)</f>
        <v>3855</v>
      </c>
      <c r="AF191" s="329">
        <f>IFERROR(__xludf.DUMMYFUNCTION("""COMPUTED_VALUE"""),284794.0)</f>
        <v>284794</v>
      </c>
      <c r="AG191" s="329">
        <f>IFERROR(__xludf.DUMMYFUNCTION("""COMPUTED_VALUE"""),9644.0)</f>
        <v>9644</v>
      </c>
      <c r="AH191" s="329">
        <f>IFERROR(__xludf.DUMMYFUNCTION("""COMPUTED_VALUE"""),131375.0)</f>
        <v>131375</v>
      </c>
    </row>
    <row r="192">
      <c r="A192" s="328">
        <f>IFERROR(__xludf.DUMMYFUNCTION("""COMPUTED_VALUE"""),44272.0)</f>
        <v>44272</v>
      </c>
      <c r="B192" s="329">
        <f>IFERROR(__xludf.DUMMYFUNCTION("""COMPUTED_VALUE"""),491.0)</f>
        <v>491</v>
      </c>
      <c r="C192" s="329">
        <f>IFERROR(__xludf.DUMMYFUNCTION("""COMPUTED_VALUE"""),438.0)</f>
        <v>438</v>
      </c>
      <c r="D192" s="329">
        <f>IFERROR(__xludf.DUMMYFUNCTION("""COMPUTED_VALUE"""),157524.0)</f>
        <v>157524</v>
      </c>
      <c r="E192" s="329">
        <f>IFERROR(__xludf.DUMMYFUNCTION("""COMPUTED_VALUE"""),24597.0)</f>
        <v>24597</v>
      </c>
      <c r="F192" s="329">
        <f>IFERROR(__xludf.DUMMYFUNCTION("""COMPUTED_VALUE"""),3148846.0)</f>
        <v>3148846</v>
      </c>
      <c r="G192" s="329">
        <f>IFERROR(__xludf.DUMMYFUNCTION("""COMPUTED_VALUE"""),25088.0)</f>
        <v>25088</v>
      </c>
      <c r="H192" s="329">
        <f>IFERROR(__xludf.DUMMYFUNCTION("""COMPUTED_VALUE"""),3306370.0)</f>
        <v>3306370</v>
      </c>
      <c r="I192" s="329">
        <f>IFERROR(__xludf.DUMMYFUNCTION("""COMPUTED_VALUE"""),428.0)</f>
        <v>428</v>
      </c>
      <c r="J192" s="329">
        <f>IFERROR(__xludf.DUMMYFUNCTION("""COMPUTED_VALUE"""),379.0)</f>
        <v>379</v>
      </c>
      <c r="K192" s="329">
        <f>IFERROR(__xludf.DUMMYFUNCTION("""COMPUTED_VALUE"""),132755.0)</f>
        <v>132755</v>
      </c>
      <c r="L192" s="329">
        <f>IFERROR(__xludf.DUMMYFUNCTION("""COMPUTED_VALUE"""),1768.0)</f>
        <v>1768</v>
      </c>
      <c r="M192" s="329">
        <f>IFERROR(__xludf.DUMMYFUNCTION("""COMPUTED_VALUE"""),690996.0)</f>
        <v>690996</v>
      </c>
      <c r="N192" s="329">
        <f>IFERROR(__xludf.DUMMYFUNCTION("""COMPUTED_VALUE"""),823751.0)</f>
        <v>823751</v>
      </c>
      <c r="O192" s="329">
        <f>IFERROR(__xludf.DUMMYFUNCTION("""COMPUTED_VALUE"""),24.0)</f>
        <v>24</v>
      </c>
      <c r="P192" s="329">
        <f>IFERROR(__xludf.DUMMYFUNCTION("""COMPUTED_VALUE"""),9314.0)</f>
        <v>9314</v>
      </c>
      <c r="Q192" s="329">
        <f>IFERROR(__xludf.DUMMYFUNCTION("""COMPUTED_VALUE"""),15.0)</f>
        <v>15</v>
      </c>
      <c r="R192" s="329">
        <f>IFERROR(__xludf.DUMMYFUNCTION("""COMPUTED_VALUE"""),8137.0)</f>
        <v>8137</v>
      </c>
      <c r="S192" s="329">
        <f>IFERROR(__xludf.DUMMYFUNCTION("""COMPUTED_VALUE"""),1.0)</f>
        <v>1</v>
      </c>
      <c r="T192" s="329">
        <f>IFERROR(__xludf.DUMMYFUNCTION("""COMPUTED_VALUE"""),1035.0)</f>
        <v>1035</v>
      </c>
      <c r="U192" s="329">
        <f>IFERROR(__xludf.DUMMYFUNCTION("""COMPUTED_VALUE"""),142.0)</f>
        <v>142</v>
      </c>
      <c r="V192" s="329">
        <f>IFERROR(__xludf.DUMMYFUNCTION("""COMPUTED_VALUE"""),138.0)</f>
        <v>138</v>
      </c>
      <c r="W192" s="329">
        <f>IFERROR(__xludf.DUMMYFUNCTION("""COMPUTED_VALUE"""),19.0)</f>
        <v>19</v>
      </c>
      <c r="X192" s="329">
        <f>IFERROR(__xludf.DUMMYFUNCTION("""COMPUTED_VALUE"""),12.0)</f>
        <v>12</v>
      </c>
      <c r="Y192" s="329">
        <f>IFERROR(__xludf.DUMMYFUNCTION("""COMPUTED_VALUE"""),3.0)</f>
        <v>3</v>
      </c>
      <c r="Z192" s="329">
        <f>IFERROR(__xludf.DUMMYFUNCTION("""COMPUTED_VALUE"""),2596.0)</f>
        <v>2596</v>
      </c>
      <c r="AA192" s="329">
        <f>IFERROR(__xludf.DUMMYFUNCTION("""COMPUTED_VALUE"""),3123.0)</f>
        <v>3123</v>
      </c>
      <c r="AB192" s="329">
        <f>IFERROR(__xludf.DUMMYFUNCTION("""COMPUTED_VALUE"""),8602.0)</f>
        <v>8602</v>
      </c>
      <c r="AC192" s="329">
        <f>IFERROR(__xludf.DUMMYFUNCTION("""COMPUTED_VALUE"""),11725.0)</f>
        <v>11725</v>
      </c>
      <c r="AD192" s="329">
        <f>IFERROR(__xludf.DUMMYFUNCTION("""COMPUTED_VALUE"""),420290.0)</f>
        <v>420290</v>
      </c>
      <c r="AE192" s="329">
        <f>IFERROR(__xludf.DUMMYFUNCTION("""COMPUTED_VALUE"""),3123.0)</f>
        <v>3123</v>
      </c>
      <c r="AF192" s="329">
        <f>IFERROR(__xludf.DUMMYFUNCTION("""COMPUTED_VALUE"""),287917.0)</f>
        <v>287917</v>
      </c>
      <c r="AG192" s="329">
        <f>IFERROR(__xludf.DUMMYFUNCTION("""COMPUTED_VALUE"""),8842.0)</f>
        <v>8842</v>
      </c>
      <c r="AH192" s="329">
        <f>IFERROR(__xludf.DUMMYFUNCTION("""COMPUTED_VALUE"""),140217.0)</f>
        <v>140217</v>
      </c>
    </row>
    <row r="193">
      <c r="A193" s="328">
        <f>IFERROR(__xludf.DUMMYFUNCTION("""COMPUTED_VALUE"""),44273.0)</f>
        <v>44273</v>
      </c>
      <c r="B193" s="329">
        <f>IFERROR(__xludf.DUMMYFUNCTION("""COMPUTED_VALUE"""),445.0)</f>
        <v>445</v>
      </c>
      <c r="C193" s="329">
        <f>IFERROR(__xludf.DUMMYFUNCTION("""COMPUTED_VALUE"""),481.0)</f>
        <v>481</v>
      </c>
      <c r="D193" s="329">
        <f>IFERROR(__xludf.DUMMYFUNCTION("""COMPUTED_VALUE"""),157969.0)</f>
        <v>157969</v>
      </c>
      <c r="E193" s="329">
        <f>IFERROR(__xludf.DUMMYFUNCTION("""COMPUTED_VALUE"""),20796.0)</f>
        <v>20796</v>
      </c>
      <c r="F193" s="329">
        <f>IFERROR(__xludf.DUMMYFUNCTION("""COMPUTED_VALUE"""),3169642.0)</f>
        <v>3169642</v>
      </c>
      <c r="G193" s="329">
        <f>IFERROR(__xludf.DUMMYFUNCTION("""COMPUTED_VALUE"""),21241.0)</f>
        <v>21241</v>
      </c>
      <c r="H193" s="329">
        <f>IFERROR(__xludf.DUMMYFUNCTION("""COMPUTED_VALUE"""),3327611.0)</f>
        <v>3327611</v>
      </c>
      <c r="I193" s="329">
        <f>IFERROR(__xludf.DUMMYFUNCTION("""COMPUTED_VALUE"""),395.0)</f>
        <v>395</v>
      </c>
      <c r="J193" s="329">
        <f>IFERROR(__xludf.DUMMYFUNCTION("""COMPUTED_VALUE"""),422.0)</f>
        <v>422</v>
      </c>
      <c r="K193" s="329">
        <f>IFERROR(__xludf.DUMMYFUNCTION("""COMPUTED_VALUE"""),133150.0)</f>
        <v>133150</v>
      </c>
      <c r="L193" s="329">
        <f>IFERROR(__xludf.DUMMYFUNCTION("""COMPUTED_VALUE"""),1870.0)</f>
        <v>1870</v>
      </c>
      <c r="M193" s="329">
        <f>IFERROR(__xludf.DUMMYFUNCTION("""COMPUTED_VALUE"""),692866.0)</f>
        <v>692866</v>
      </c>
      <c r="N193" s="329">
        <f>IFERROR(__xludf.DUMMYFUNCTION("""COMPUTED_VALUE"""),826016.0)</f>
        <v>826016</v>
      </c>
      <c r="O193" s="329">
        <f>IFERROR(__xludf.DUMMYFUNCTION("""COMPUTED_VALUE"""),13.0)</f>
        <v>13</v>
      </c>
      <c r="P193" s="329">
        <f>IFERROR(__xludf.DUMMYFUNCTION("""COMPUTED_VALUE"""),9327.0)</f>
        <v>9327</v>
      </c>
      <c r="Q193" s="329">
        <f>IFERROR(__xludf.DUMMYFUNCTION("""COMPUTED_VALUE"""),19.0)</f>
        <v>19</v>
      </c>
      <c r="R193" s="329">
        <f>IFERROR(__xludf.DUMMYFUNCTION("""COMPUTED_VALUE"""),8156.0)</f>
        <v>8156</v>
      </c>
      <c r="S193" s="329">
        <f>IFERROR(__xludf.DUMMYFUNCTION("""COMPUTED_VALUE"""),2.0)</f>
        <v>2</v>
      </c>
      <c r="T193" s="329">
        <f>IFERROR(__xludf.DUMMYFUNCTION("""COMPUTED_VALUE"""),1037.0)</f>
        <v>1037</v>
      </c>
      <c r="U193" s="329">
        <f>IFERROR(__xludf.DUMMYFUNCTION("""COMPUTED_VALUE"""),134.0)</f>
        <v>134</v>
      </c>
      <c r="V193" s="329">
        <f>IFERROR(__xludf.DUMMYFUNCTION("""COMPUTED_VALUE"""),137.0)</f>
        <v>137</v>
      </c>
      <c r="W193" s="329">
        <f>IFERROR(__xludf.DUMMYFUNCTION("""COMPUTED_VALUE"""),15.0)</f>
        <v>15</v>
      </c>
      <c r="X193" s="329">
        <f>IFERROR(__xludf.DUMMYFUNCTION("""COMPUTED_VALUE"""),12.0)</f>
        <v>12</v>
      </c>
      <c r="Y193" s="329">
        <f>IFERROR(__xludf.DUMMYFUNCTION("""COMPUTED_VALUE"""),2.0)</f>
        <v>2</v>
      </c>
      <c r="Z193" s="329">
        <f>IFERROR(__xludf.DUMMYFUNCTION("""COMPUTED_VALUE"""),2598.0)</f>
        <v>2598</v>
      </c>
      <c r="AA193" s="329">
        <f>IFERROR(__xludf.DUMMYFUNCTION("""COMPUTED_VALUE"""),4383.0)</f>
        <v>4383</v>
      </c>
      <c r="AB193" s="329">
        <f>IFERROR(__xludf.DUMMYFUNCTION("""COMPUTED_VALUE"""),8035.0)</f>
        <v>8035</v>
      </c>
      <c r="AC193" s="329">
        <f>IFERROR(__xludf.DUMMYFUNCTION("""COMPUTED_VALUE"""),12418.0)</f>
        <v>12418</v>
      </c>
      <c r="AD193" s="329">
        <f>IFERROR(__xludf.DUMMYFUNCTION("""COMPUTED_VALUE"""),432708.0)</f>
        <v>432708</v>
      </c>
      <c r="AE193" s="329">
        <f>IFERROR(__xludf.DUMMYFUNCTION("""COMPUTED_VALUE"""),4383.0)</f>
        <v>4383</v>
      </c>
      <c r="AF193" s="329">
        <f>IFERROR(__xludf.DUMMYFUNCTION("""COMPUTED_VALUE"""),292300.0)</f>
        <v>292300</v>
      </c>
      <c r="AG193" s="329">
        <f>IFERROR(__xludf.DUMMYFUNCTION("""COMPUTED_VALUE"""),8974.0)</f>
        <v>8974</v>
      </c>
      <c r="AH193" s="329">
        <f>IFERROR(__xludf.DUMMYFUNCTION("""COMPUTED_VALUE"""),149191.0)</f>
        <v>149191</v>
      </c>
    </row>
    <row r="194">
      <c r="A194" s="328">
        <f>IFERROR(__xludf.DUMMYFUNCTION("""COMPUTED_VALUE"""),44274.0)</f>
        <v>44274</v>
      </c>
      <c r="B194" s="329">
        <f>IFERROR(__xludf.DUMMYFUNCTION("""COMPUTED_VALUE"""),461.0)</f>
        <v>461</v>
      </c>
      <c r="C194" s="329">
        <f>IFERROR(__xludf.DUMMYFUNCTION("""COMPUTED_VALUE"""),466.0)</f>
        <v>466</v>
      </c>
      <c r="D194" s="329">
        <f>IFERROR(__xludf.DUMMYFUNCTION("""COMPUTED_VALUE"""),158430.0)</f>
        <v>158430</v>
      </c>
      <c r="E194" s="329">
        <f>IFERROR(__xludf.DUMMYFUNCTION("""COMPUTED_VALUE"""),19011.0)</f>
        <v>19011</v>
      </c>
      <c r="F194" s="329">
        <f>IFERROR(__xludf.DUMMYFUNCTION("""COMPUTED_VALUE"""),3188653.0)</f>
        <v>3188653</v>
      </c>
      <c r="G194" s="329">
        <f>IFERROR(__xludf.DUMMYFUNCTION("""COMPUTED_VALUE"""),19472.0)</f>
        <v>19472</v>
      </c>
      <c r="H194" s="329">
        <f>IFERROR(__xludf.DUMMYFUNCTION("""COMPUTED_VALUE"""),3347083.0)</f>
        <v>3347083</v>
      </c>
      <c r="I194" s="329">
        <f>IFERROR(__xludf.DUMMYFUNCTION("""COMPUTED_VALUE"""),401.0)</f>
        <v>401</v>
      </c>
      <c r="J194" s="329">
        <f>IFERROR(__xludf.DUMMYFUNCTION("""COMPUTED_VALUE"""),408.0)</f>
        <v>408</v>
      </c>
      <c r="K194" s="329">
        <f>IFERROR(__xludf.DUMMYFUNCTION("""COMPUTED_VALUE"""),133551.0)</f>
        <v>133551</v>
      </c>
      <c r="L194" s="329">
        <f>IFERROR(__xludf.DUMMYFUNCTION("""COMPUTED_VALUE"""),1788.0)</f>
        <v>1788</v>
      </c>
      <c r="M194" s="329">
        <f>IFERROR(__xludf.DUMMYFUNCTION("""COMPUTED_VALUE"""),694654.0)</f>
        <v>694654</v>
      </c>
      <c r="N194" s="329">
        <f>IFERROR(__xludf.DUMMYFUNCTION("""COMPUTED_VALUE"""),828205.0)</f>
        <v>828205</v>
      </c>
      <c r="O194" s="329">
        <f>IFERROR(__xludf.DUMMYFUNCTION("""COMPUTED_VALUE"""),12.0)</f>
        <v>12</v>
      </c>
      <c r="P194" s="329">
        <f>IFERROR(__xludf.DUMMYFUNCTION("""COMPUTED_VALUE"""),9339.0)</f>
        <v>9339</v>
      </c>
      <c r="Q194" s="329">
        <f>IFERROR(__xludf.DUMMYFUNCTION("""COMPUTED_VALUE"""),17.0)</f>
        <v>17</v>
      </c>
      <c r="R194" s="329">
        <f>IFERROR(__xludf.DUMMYFUNCTION("""COMPUTED_VALUE"""),8173.0)</f>
        <v>8173</v>
      </c>
      <c r="S194" s="329">
        <f>IFERROR(__xludf.DUMMYFUNCTION("""COMPUTED_VALUE"""),2.0)</f>
        <v>2</v>
      </c>
      <c r="T194" s="329">
        <f>IFERROR(__xludf.DUMMYFUNCTION("""COMPUTED_VALUE"""),1039.0)</f>
        <v>1039</v>
      </c>
      <c r="U194" s="329">
        <f>IFERROR(__xludf.DUMMYFUNCTION("""COMPUTED_VALUE"""),127.0)</f>
        <v>127</v>
      </c>
      <c r="V194" s="329">
        <f>IFERROR(__xludf.DUMMYFUNCTION("""COMPUTED_VALUE"""),134.0)</f>
        <v>134</v>
      </c>
      <c r="W194" s="329">
        <f>IFERROR(__xludf.DUMMYFUNCTION("""COMPUTED_VALUE"""),17.0)</f>
        <v>17</v>
      </c>
      <c r="X194" s="329">
        <f>IFERROR(__xludf.DUMMYFUNCTION("""COMPUTED_VALUE"""),12.0)</f>
        <v>12</v>
      </c>
      <c r="Y194" s="329">
        <f>IFERROR(__xludf.DUMMYFUNCTION("""COMPUTED_VALUE"""),4.0)</f>
        <v>4</v>
      </c>
      <c r="Z194" s="329">
        <f>IFERROR(__xludf.DUMMYFUNCTION("""COMPUTED_VALUE"""),2602.0)</f>
        <v>2602</v>
      </c>
      <c r="AA194" s="329">
        <f>IFERROR(__xludf.DUMMYFUNCTION("""COMPUTED_VALUE"""),5506.0)</f>
        <v>5506</v>
      </c>
      <c r="AB194" s="329">
        <f>IFERROR(__xludf.DUMMYFUNCTION("""COMPUTED_VALUE"""),8750.0)</f>
        <v>8750</v>
      </c>
      <c r="AC194" s="329">
        <f>IFERROR(__xludf.DUMMYFUNCTION("""COMPUTED_VALUE"""),14256.0)</f>
        <v>14256</v>
      </c>
      <c r="AD194" s="329">
        <f>IFERROR(__xludf.DUMMYFUNCTION("""COMPUTED_VALUE"""),446964.0)</f>
        <v>446964</v>
      </c>
      <c r="AE194" s="329">
        <f>IFERROR(__xludf.DUMMYFUNCTION("""COMPUTED_VALUE"""),5506.0)</f>
        <v>5506</v>
      </c>
      <c r="AF194" s="329">
        <f>IFERROR(__xludf.DUMMYFUNCTION("""COMPUTED_VALUE"""),297806.0)</f>
        <v>297806</v>
      </c>
      <c r="AG194" s="329">
        <f>IFERROR(__xludf.DUMMYFUNCTION("""COMPUTED_VALUE"""),9240.0)</f>
        <v>9240</v>
      </c>
      <c r="AH194" s="329">
        <f>IFERROR(__xludf.DUMMYFUNCTION("""COMPUTED_VALUE"""),158431.0)</f>
        <v>158431</v>
      </c>
    </row>
    <row r="195">
      <c r="A195" s="328">
        <f>IFERROR(__xludf.DUMMYFUNCTION("""COMPUTED_VALUE"""),44275.0)</f>
        <v>44275</v>
      </c>
      <c r="B195" s="329">
        <f>IFERROR(__xludf.DUMMYFUNCTION("""COMPUTED_VALUE"""),351.0)</f>
        <v>351</v>
      </c>
      <c r="C195" s="329">
        <f>IFERROR(__xludf.DUMMYFUNCTION("""COMPUTED_VALUE"""),419.0)</f>
        <v>419</v>
      </c>
      <c r="D195" s="329">
        <f>IFERROR(__xludf.DUMMYFUNCTION("""COMPUTED_VALUE"""),158781.0)</f>
        <v>158781</v>
      </c>
      <c r="E195" s="329">
        <f>IFERROR(__xludf.DUMMYFUNCTION("""COMPUTED_VALUE"""),11538.0)</f>
        <v>11538</v>
      </c>
      <c r="F195" s="329">
        <f>IFERROR(__xludf.DUMMYFUNCTION("""COMPUTED_VALUE"""),3200191.0)</f>
        <v>3200191</v>
      </c>
      <c r="G195" s="329">
        <f>IFERROR(__xludf.DUMMYFUNCTION("""COMPUTED_VALUE"""),11889.0)</f>
        <v>11889</v>
      </c>
      <c r="H195" s="329">
        <f>IFERROR(__xludf.DUMMYFUNCTION("""COMPUTED_VALUE"""),3358972.0)</f>
        <v>3358972</v>
      </c>
      <c r="I195" s="329">
        <f>IFERROR(__xludf.DUMMYFUNCTION("""COMPUTED_VALUE"""),297.0)</f>
        <v>297</v>
      </c>
      <c r="J195" s="329">
        <f>IFERROR(__xludf.DUMMYFUNCTION("""COMPUTED_VALUE"""),364.0)</f>
        <v>364</v>
      </c>
      <c r="K195" s="329">
        <f>IFERROR(__xludf.DUMMYFUNCTION("""COMPUTED_VALUE"""),133848.0)</f>
        <v>133848</v>
      </c>
      <c r="L195" s="329">
        <f>IFERROR(__xludf.DUMMYFUNCTION("""COMPUTED_VALUE"""),1413.0)</f>
        <v>1413</v>
      </c>
      <c r="M195" s="329">
        <f>IFERROR(__xludf.DUMMYFUNCTION("""COMPUTED_VALUE"""),696067.0)</f>
        <v>696067</v>
      </c>
      <c r="N195" s="329">
        <f>IFERROR(__xludf.DUMMYFUNCTION("""COMPUTED_VALUE"""),829915.0)</f>
        <v>829915</v>
      </c>
      <c r="O195" s="329">
        <f>IFERROR(__xludf.DUMMYFUNCTION("""COMPUTED_VALUE"""),17.0)</f>
        <v>17</v>
      </c>
      <c r="P195" s="329">
        <f>IFERROR(__xludf.DUMMYFUNCTION("""COMPUTED_VALUE"""),9356.0)</f>
        <v>9356</v>
      </c>
      <c r="Q195" s="329">
        <f>IFERROR(__xludf.DUMMYFUNCTION("""COMPUTED_VALUE"""),13.0)</f>
        <v>13</v>
      </c>
      <c r="R195" s="329">
        <f>IFERROR(__xludf.DUMMYFUNCTION("""COMPUTED_VALUE"""),8186.0)</f>
        <v>8186</v>
      </c>
      <c r="S195" s="329">
        <f>IFERROR(__xludf.DUMMYFUNCTION("""COMPUTED_VALUE"""),4.0)</f>
        <v>4</v>
      </c>
      <c r="T195" s="329">
        <f>IFERROR(__xludf.DUMMYFUNCTION("""COMPUTED_VALUE"""),1043.0)</f>
        <v>1043</v>
      </c>
      <c r="U195" s="329">
        <f>IFERROR(__xludf.DUMMYFUNCTION("""COMPUTED_VALUE"""),127.0)</f>
        <v>127</v>
      </c>
      <c r="V195" s="329">
        <f>IFERROR(__xludf.DUMMYFUNCTION("""COMPUTED_VALUE"""),129.0)</f>
        <v>129</v>
      </c>
      <c r="W195" s="329">
        <f>IFERROR(__xludf.DUMMYFUNCTION("""COMPUTED_VALUE"""),16.0)</f>
        <v>16</v>
      </c>
      <c r="X195" s="329">
        <f>IFERROR(__xludf.DUMMYFUNCTION("""COMPUTED_VALUE"""),13.0)</f>
        <v>13</v>
      </c>
      <c r="Y195" s="329">
        <f>IFERROR(__xludf.DUMMYFUNCTION("""COMPUTED_VALUE"""),3.0)</f>
        <v>3</v>
      </c>
      <c r="Z195" s="329">
        <f>IFERROR(__xludf.DUMMYFUNCTION("""COMPUTED_VALUE"""),2605.0)</f>
        <v>2605</v>
      </c>
      <c r="AA195" s="329">
        <f>IFERROR(__xludf.DUMMYFUNCTION("""COMPUTED_VALUE"""),4188.0)</f>
        <v>4188</v>
      </c>
      <c r="AB195" s="329">
        <f>IFERROR(__xludf.DUMMYFUNCTION("""COMPUTED_VALUE"""),9376.0)</f>
        <v>9376</v>
      </c>
      <c r="AC195" s="329">
        <f>IFERROR(__xludf.DUMMYFUNCTION("""COMPUTED_VALUE"""),13564.0)</f>
        <v>13564</v>
      </c>
      <c r="AD195" s="329">
        <f>IFERROR(__xludf.DUMMYFUNCTION("""COMPUTED_VALUE"""),460528.0)</f>
        <v>460528</v>
      </c>
      <c r="AE195" s="329">
        <f>IFERROR(__xludf.DUMMYFUNCTION("""COMPUTED_VALUE"""),4188.0)</f>
        <v>4188</v>
      </c>
      <c r="AF195" s="329">
        <f>IFERROR(__xludf.DUMMYFUNCTION("""COMPUTED_VALUE"""),301994.0)</f>
        <v>301994</v>
      </c>
      <c r="AG195" s="329">
        <f>IFERROR(__xludf.DUMMYFUNCTION("""COMPUTED_VALUE"""),10560.0)</f>
        <v>10560</v>
      </c>
      <c r="AH195" s="329">
        <f>IFERROR(__xludf.DUMMYFUNCTION("""COMPUTED_VALUE"""),168991.0)</f>
        <v>168991</v>
      </c>
    </row>
    <row r="196">
      <c r="A196" s="328">
        <f>IFERROR(__xludf.DUMMYFUNCTION("""COMPUTED_VALUE"""),44276.0)</f>
        <v>44276</v>
      </c>
      <c r="B196" s="329">
        <f>IFERROR(__xludf.DUMMYFUNCTION("""COMPUTED_VALUE"""),250.0)</f>
        <v>250</v>
      </c>
      <c r="C196" s="329">
        <f>IFERROR(__xludf.DUMMYFUNCTION("""COMPUTED_VALUE"""),354.0)</f>
        <v>354</v>
      </c>
      <c r="D196" s="329">
        <f>IFERROR(__xludf.DUMMYFUNCTION("""COMPUTED_VALUE"""),159031.0)</f>
        <v>159031</v>
      </c>
      <c r="E196" s="329">
        <f>IFERROR(__xludf.DUMMYFUNCTION("""COMPUTED_VALUE"""),4769.0)</f>
        <v>4769</v>
      </c>
      <c r="F196" s="329">
        <f>IFERROR(__xludf.DUMMYFUNCTION("""COMPUTED_VALUE"""),3204960.0)</f>
        <v>3204960</v>
      </c>
      <c r="G196" s="329">
        <f>IFERROR(__xludf.DUMMYFUNCTION("""COMPUTED_VALUE"""),5019.0)</f>
        <v>5019</v>
      </c>
      <c r="H196" s="329">
        <f>IFERROR(__xludf.DUMMYFUNCTION("""COMPUTED_VALUE"""),3363991.0)</f>
        <v>3363991</v>
      </c>
      <c r="I196" s="329">
        <f>IFERROR(__xludf.DUMMYFUNCTION("""COMPUTED_VALUE"""),226.0)</f>
        <v>226</v>
      </c>
      <c r="J196" s="329">
        <f>IFERROR(__xludf.DUMMYFUNCTION("""COMPUTED_VALUE"""),308.0)</f>
        <v>308</v>
      </c>
      <c r="K196" s="329">
        <f>IFERROR(__xludf.DUMMYFUNCTION("""COMPUTED_VALUE"""),134074.0)</f>
        <v>134074</v>
      </c>
      <c r="L196" s="329">
        <f>IFERROR(__xludf.DUMMYFUNCTION("""COMPUTED_VALUE"""),768.0)</f>
        <v>768</v>
      </c>
      <c r="M196" s="329">
        <f>IFERROR(__xludf.DUMMYFUNCTION("""COMPUTED_VALUE"""),696835.0)</f>
        <v>696835</v>
      </c>
      <c r="N196" s="329">
        <f>IFERROR(__xludf.DUMMYFUNCTION("""COMPUTED_VALUE"""),830909.0)</f>
        <v>830909</v>
      </c>
      <c r="O196" s="329">
        <f>IFERROR(__xludf.DUMMYFUNCTION("""COMPUTED_VALUE"""),14.0)</f>
        <v>14</v>
      </c>
      <c r="P196" s="329">
        <f>IFERROR(__xludf.DUMMYFUNCTION("""COMPUTED_VALUE"""),9370.0)</f>
        <v>9370</v>
      </c>
      <c r="Q196" s="329">
        <f>IFERROR(__xludf.DUMMYFUNCTION("""COMPUTED_VALUE"""),12.0)</f>
        <v>12</v>
      </c>
      <c r="R196" s="329">
        <f>IFERROR(__xludf.DUMMYFUNCTION("""COMPUTED_VALUE"""),8198.0)</f>
        <v>8198</v>
      </c>
      <c r="S196" s="329">
        <f>IFERROR(__xludf.DUMMYFUNCTION("""COMPUTED_VALUE"""),1.0)</f>
        <v>1</v>
      </c>
      <c r="T196" s="329">
        <f>IFERROR(__xludf.DUMMYFUNCTION("""COMPUTED_VALUE"""),1044.0)</f>
        <v>1044</v>
      </c>
      <c r="U196" s="329">
        <f>IFERROR(__xludf.DUMMYFUNCTION("""COMPUTED_VALUE"""),128.0)</f>
        <v>128</v>
      </c>
      <c r="V196" s="329">
        <f>IFERROR(__xludf.DUMMYFUNCTION("""COMPUTED_VALUE"""),127.0)</f>
        <v>127</v>
      </c>
      <c r="W196" s="329">
        <f>IFERROR(__xludf.DUMMYFUNCTION("""COMPUTED_VALUE"""),15.0)</f>
        <v>15</v>
      </c>
      <c r="X196" s="329">
        <f>IFERROR(__xludf.DUMMYFUNCTION("""COMPUTED_VALUE"""),12.0)</f>
        <v>12</v>
      </c>
      <c r="Y196" s="329">
        <f>IFERROR(__xludf.DUMMYFUNCTION("""COMPUTED_VALUE"""),1.0)</f>
        <v>1</v>
      </c>
      <c r="Z196" s="329">
        <f>IFERROR(__xludf.DUMMYFUNCTION("""COMPUTED_VALUE"""),2606.0)</f>
        <v>2606</v>
      </c>
      <c r="AA196" s="329">
        <f>IFERROR(__xludf.DUMMYFUNCTION("""COMPUTED_VALUE"""),3115.0)</f>
        <v>3115</v>
      </c>
      <c r="AB196" s="329">
        <f>IFERROR(__xludf.DUMMYFUNCTION("""COMPUTED_VALUE"""),2791.0)</f>
        <v>2791</v>
      </c>
      <c r="AC196" s="329">
        <f>IFERROR(__xludf.DUMMYFUNCTION("""COMPUTED_VALUE"""),5906.0)</f>
        <v>5906</v>
      </c>
      <c r="AD196" s="329">
        <f>IFERROR(__xludf.DUMMYFUNCTION("""COMPUTED_VALUE"""),466434.0)</f>
        <v>466434</v>
      </c>
      <c r="AE196" s="329">
        <f>IFERROR(__xludf.DUMMYFUNCTION("""COMPUTED_VALUE"""),3115.0)</f>
        <v>3115</v>
      </c>
      <c r="AF196" s="329">
        <f>IFERROR(__xludf.DUMMYFUNCTION("""COMPUTED_VALUE"""),305109.0)</f>
        <v>305109</v>
      </c>
      <c r="AG196" s="329">
        <f>IFERROR(__xludf.DUMMYFUNCTION("""COMPUTED_VALUE"""),3213.0)</f>
        <v>3213</v>
      </c>
      <c r="AH196" s="329">
        <f>IFERROR(__xludf.DUMMYFUNCTION("""COMPUTED_VALUE"""),172204.0)</f>
        <v>172204</v>
      </c>
    </row>
    <row r="197">
      <c r="A197" s="328">
        <f>IFERROR(__xludf.DUMMYFUNCTION("""COMPUTED_VALUE"""),44277.0)</f>
        <v>44277</v>
      </c>
      <c r="B197" s="329">
        <f>IFERROR(__xludf.DUMMYFUNCTION("""COMPUTED_VALUE"""),378.0)</f>
        <v>378</v>
      </c>
      <c r="C197" s="329">
        <f>IFERROR(__xludf.DUMMYFUNCTION("""COMPUTED_VALUE"""),326.0)</f>
        <v>326</v>
      </c>
      <c r="D197" s="329">
        <f>IFERROR(__xludf.DUMMYFUNCTION("""COMPUTED_VALUE"""),159409.0)</f>
        <v>159409</v>
      </c>
      <c r="E197" s="329">
        <f>IFERROR(__xludf.DUMMYFUNCTION("""COMPUTED_VALUE"""),12871.0)</f>
        <v>12871</v>
      </c>
      <c r="F197" s="329">
        <f>IFERROR(__xludf.DUMMYFUNCTION("""COMPUTED_VALUE"""),3217831.0)</f>
        <v>3217831</v>
      </c>
      <c r="G197" s="329">
        <f>IFERROR(__xludf.DUMMYFUNCTION("""COMPUTED_VALUE"""),13249.0)</f>
        <v>13249</v>
      </c>
      <c r="H197" s="329">
        <f>IFERROR(__xludf.DUMMYFUNCTION("""COMPUTED_VALUE"""),3377240.0)</f>
        <v>3377240</v>
      </c>
      <c r="I197" s="329">
        <f>IFERROR(__xludf.DUMMYFUNCTION("""COMPUTED_VALUE"""),337.0)</f>
        <v>337</v>
      </c>
      <c r="J197" s="329">
        <f>IFERROR(__xludf.DUMMYFUNCTION("""COMPUTED_VALUE"""),287.0)</f>
        <v>287</v>
      </c>
      <c r="K197" s="329">
        <f>IFERROR(__xludf.DUMMYFUNCTION("""COMPUTED_VALUE"""),134411.0)</f>
        <v>134411</v>
      </c>
      <c r="L197" s="329">
        <f>IFERROR(__xludf.DUMMYFUNCTION("""COMPUTED_VALUE"""),1250.0)</f>
        <v>1250</v>
      </c>
      <c r="M197" s="329">
        <f>IFERROR(__xludf.DUMMYFUNCTION("""COMPUTED_VALUE"""),698085.0)</f>
        <v>698085</v>
      </c>
      <c r="N197" s="329">
        <f>IFERROR(__xludf.DUMMYFUNCTION("""COMPUTED_VALUE"""),832496.0)</f>
        <v>832496</v>
      </c>
      <c r="O197" s="329">
        <f>IFERROR(__xludf.DUMMYFUNCTION("""COMPUTED_VALUE"""),11.0)</f>
        <v>11</v>
      </c>
      <c r="P197" s="329">
        <f>IFERROR(__xludf.DUMMYFUNCTION("""COMPUTED_VALUE"""),9381.0)</f>
        <v>9381</v>
      </c>
      <c r="Q197" s="329">
        <f>IFERROR(__xludf.DUMMYFUNCTION("""COMPUTED_VALUE"""),24.0)</f>
        <v>24</v>
      </c>
      <c r="R197" s="329">
        <f>IFERROR(__xludf.DUMMYFUNCTION("""COMPUTED_VALUE"""),8222.0)</f>
        <v>8222</v>
      </c>
      <c r="S197" s="329">
        <f>IFERROR(__xludf.DUMMYFUNCTION("""COMPUTED_VALUE"""),0.0)</f>
        <v>0</v>
      </c>
      <c r="T197" s="329">
        <f>IFERROR(__xludf.DUMMYFUNCTION("""COMPUTED_VALUE"""),1044.0)</f>
        <v>1044</v>
      </c>
      <c r="U197" s="329">
        <f>IFERROR(__xludf.DUMMYFUNCTION("""COMPUTED_VALUE"""),115.0)</f>
        <v>115</v>
      </c>
      <c r="V197" s="329">
        <f>IFERROR(__xludf.DUMMYFUNCTION("""COMPUTED_VALUE"""),123.0)</f>
        <v>123</v>
      </c>
      <c r="W197" s="329">
        <f>IFERROR(__xludf.DUMMYFUNCTION("""COMPUTED_VALUE"""),16.0)</f>
        <v>16</v>
      </c>
      <c r="X197" s="329">
        <f>IFERROR(__xludf.DUMMYFUNCTION("""COMPUTED_VALUE"""),12.0)</f>
        <v>12</v>
      </c>
      <c r="Y197" s="329">
        <f>IFERROR(__xludf.DUMMYFUNCTION("""COMPUTED_VALUE"""),0.0)</f>
        <v>0</v>
      </c>
      <c r="Z197" s="329">
        <f>IFERROR(__xludf.DUMMYFUNCTION("""COMPUTED_VALUE"""),2606.0)</f>
        <v>2606</v>
      </c>
      <c r="AA197" s="329">
        <f>IFERROR(__xludf.DUMMYFUNCTION("""COMPUTED_VALUE"""),2025.0)</f>
        <v>2025</v>
      </c>
      <c r="AB197" s="329">
        <f>IFERROR(__xludf.DUMMYFUNCTION("""COMPUTED_VALUE"""),5070.0)</f>
        <v>5070</v>
      </c>
      <c r="AC197" s="329">
        <f>IFERROR(__xludf.DUMMYFUNCTION("""COMPUTED_VALUE"""),7095.0)</f>
        <v>7095</v>
      </c>
      <c r="AD197" s="329">
        <f>IFERROR(__xludf.DUMMYFUNCTION("""COMPUTED_VALUE"""),473529.0)</f>
        <v>473529</v>
      </c>
      <c r="AE197" s="329">
        <f>IFERROR(__xludf.DUMMYFUNCTION("""COMPUTED_VALUE"""),2025.0)</f>
        <v>2025</v>
      </c>
      <c r="AF197" s="329">
        <f>IFERROR(__xludf.DUMMYFUNCTION("""COMPUTED_VALUE"""),307134.0)</f>
        <v>307134</v>
      </c>
      <c r="AG197" s="329">
        <f>IFERROR(__xludf.DUMMYFUNCTION("""COMPUTED_VALUE"""),5155.0)</f>
        <v>5155</v>
      </c>
      <c r="AH197" s="329">
        <f>IFERROR(__xludf.DUMMYFUNCTION("""COMPUTED_VALUE"""),177359.0)</f>
        <v>177359</v>
      </c>
    </row>
    <row r="198">
      <c r="A198" s="328">
        <f>IFERROR(__xludf.DUMMYFUNCTION("""COMPUTED_VALUE"""),44278.0)</f>
        <v>44278</v>
      </c>
      <c r="B198" s="329">
        <f>IFERROR(__xludf.DUMMYFUNCTION("""COMPUTED_VALUE"""),505.0)</f>
        <v>505</v>
      </c>
      <c r="C198" s="329">
        <f>IFERROR(__xludf.DUMMYFUNCTION("""COMPUTED_VALUE"""),378.0)</f>
        <v>378</v>
      </c>
      <c r="D198" s="329">
        <f>IFERROR(__xludf.DUMMYFUNCTION("""COMPUTED_VALUE"""),159914.0)</f>
        <v>159914</v>
      </c>
      <c r="E198" s="329">
        <f>IFERROR(__xludf.DUMMYFUNCTION("""COMPUTED_VALUE"""),19136.0)</f>
        <v>19136</v>
      </c>
      <c r="F198" s="329">
        <f>IFERROR(__xludf.DUMMYFUNCTION("""COMPUTED_VALUE"""),3236967.0)</f>
        <v>3236967</v>
      </c>
      <c r="G198" s="329">
        <f>IFERROR(__xludf.DUMMYFUNCTION("""COMPUTED_VALUE"""),19641.0)</f>
        <v>19641</v>
      </c>
      <c r="H198" s="329">
        <f>IFERROR(__xludf.DUMMYFUNCTION("""COMPUTED_VALUE"""),3396881.0)</f>
        <v>3396881</v>
      </c>
      <c r="I198" s="329">
        <f>IFERROR(__xludf.DUMMYFUNCTION("""COMPUTED_VALUE"""),438.0)</f>
        <v>438</v>
      </c>
      <c r="J198" s="329">
        <f>IFERROR(__xludf.DUMMYFUNCTION("""COMPUTED_VALUE"""),334.0)</f>
        <v>334</v>
      </c>
      <c r="K198" s="329">
        <f>IFERROR(__xludf.DUMMYFUNCTION("""COMPUTED_VALUE"""),134849.0)</f>
        <v>134849</v>
      </c>
      <c r="L198" s="329">
        <f>IFERROR(__xludf.DUMMYFUNCTION("""COMPUTED_VALUE"""),1805.0)</f>
        <v>1805</v>
      </c>
      <c r="M198" s="329">
        <f>IFERROR(__xludf.DUMMYFUNCTION("""COMPUTED_VALUE"""),699890.0)</f>
        <v>699890</v>
      </c>
      <c r="N198" s="329">
        <f>IFERROR(__xludf.DUMMYFUNCTION("""COMPUTED_VALUE"""),834739.0)</f>
        <v>834739</v>
      </c>
      <c r="O198" s="329">
        <f>IFERROR(__xludf.DUMMYFUNCTION("""COMPUTED_VALUE"""),13.0)</f>
        <v>13</v>
      </c>
      <c r="P198" s="329">
        <f>IFERROR(__xludf.DUMMYFUNCTION("""COMPUTED_VALUE"""),9394.0)</f>
        <v>9394</v>
      </c>
      <c r="Q198" s="329">
        <f>IFERROR(__xludf.DUMMYFUNCTION("""COMPUTED_VALUE"""),18.0)</f>
        <v>18</v>
      </c>
      <c r="R198" s="329">
        <f>IFERROR(__xludf.DUMMYFUNCTION("""COMPUTED_VALUE"""),8240.0)</f>
        <v>8240</v>
      </c>
      <c r="S198" s="329">
        <f>IFERROR(__xludf.DUMMYFUNCTION("""COMPUTED_VALUE"""),0.0)</f>
        <v>0</v>
      </c>
      <c r="T198" s="329">
        <f>IFERROR(__xludf.DUMMYFUNCTION("""COMPUTED_VALUE"""),1044.0)</f>
        <v>1044</v>
      </c>
      <c r="U198" s="329">
        <f>IFERROR(__xludf.DUMMYFUNCTION("""COMPUTED_VALUE"""),110.0)</f>
        <v>110</v>
      </c>
      <c r="V198" s="329">
        <f>IFERROR(__xludf.DUMMYFUNCTION("""COMPUTED_VALUE"""),118.0)</f>
        <v>118</v>
      </c>
      <c r="W198" s="329">
        <f>IFERROR(__xludf.DUMMYFUNCTION("""COMPUTED_VALUE"""),18.0)</f>
        <v>18</v>
      </c>
      <c r="X198" s="329">
        <f>IFERROR(__xludf.DUMMYFUNCTION("""COMPUTED_VALUE"""),11.0)</f>
        <v>11</v>
      </c>
      <c r="Y198" s="329">
        <f>IFERROR(__xludf.DUMMYFUNCTION("""COMPUTED_VALUE"""),0.0)</f>
        <v>0</v>
      </c>
      <c r="Z198" s="329">
        <f>IFERROR(__xludf.DUMMYFUNCTION("""COMPUTED_VALUE"""),2606.0)</f>
        <v>2606</v>
      </c>
      <c r="AA198" s="329">
        <f>IFERROR(__xludf.DUMMYFUNCTION("""COMPUTED_VALUE"""),2970.0)</f>
        <v>2970</v>
      </c>
      <c r="AB198" s="329">
        <f>IFERROR(__xludf.DUMMYFUNCTION("""COMPUTED_VALUE"""),5399.0)</f>
        <v>5399</v>
      </c>
      <c r="AC198" s="329">
        <f>IFERROR(__xludf.DUMMYFUNCTION("""COMPUTED_VALUE"""),8369.0)</f>
        <v>8369</v>
      </c>
      <c r="AD198" s="329">
        <f>IFERROR(__xludf.DUMMYFUNCTION("""COMPUTED_VALUE"""),481898.0)</f>
        <v>481898</v>
      </c>
      <c r="AE198" s="329">
        <f>IFERROR(__xludf.DUMMYFUNCTION("""COMPUTED_VALUE"""),2970.0)</f>
        <v>2970</v>
      </c>
      <c r="AF198" s="329">
        <f>IFERROR(__xludf.DUMMYFUNCTION("""COMPUTED_VALUE"""),310104.0)</f>
        <v>310104</v>
      </c>
      <c r="AG198" s="329">
        <f>IFERROR(__xludf.DUMMYFUNCTION("""COMPUTED_VALUE"""),5621.0)</f>
        <v>5621</v>
      </c>
      <c r="AH198" s="329">
        <f>IFERROR(__xludf.DUMMYFUNCTION("""COMPUTED_VALUE"""),182980.0)</f>
        <v>182980</v>
      </c>
    </row>
    <row r="199">
      <c r="A199" s="328">
        <f>IFERROR(__xludf.DUMMYFUNCTION("""COMPUTED_VALUE"""),44279.0)</f>
        <v>44279</v>
      </c>
      <c r="B199" s="329">
        <f>IFERROR(__xludf.DUMMYFUNCTION("""COMPUTED_VALUE"""),479.0)</f>
        <v>479</v>
      </c>
      <c r="C199" s="329">
        <f>IFERROR(__xludf.DUMMYFUNCTION("""COMPUTED_VALUE"""),454.0)</f>
        <v>454</v>
      </c>
      <c r="D199" s="329">
        <f>IFERROR(__xludf.DUMMYFUNCTION("""COMPUTED_VALUE"""),160393.0)</f>
        <v>160393</v>
      </c>
      <c r="E199" s="329">
        <f>IFERROR(__xludf.DUMMYFUNCTION("""COMPUTED_VALUE"""),20155.0)</f>
        <v>20155</v>
      </c>
      <c r="F199" s="329">
        <f>IFERROR(__xludf.DUMMYFUNCTION("""COMPUTED_VALUE"""),3257122.0)</f>
        <v>3257122</v>
      </c>
      <c r="G199" s="329">
        <f>IFERROR(__xludf.DUMMYFUNCTION("""COMPUTED_VALUE"""),20634.0)</f>
        <v>20634</v>
      </c>
      <c r="H199" s="329">
        <f>IFERROR(__xludf.DUMMYFUNCTION("""COMPUTED_VALUE"""),3417515.0)</f>
        <v>3417515</v>
      </c>
      <c r="I199" s="329">
        <f>IFERROR(__xludf.DUMMYFUNCTION("""COMPUTED_VALUE"""),441.0)</f>
        <v>441</v>
      </c>
      <c r="J199" s="329">
        <f>IFERROR(__xludf.DUMMYFUNCTION("""COMPUTED_VALUE"""),405.0)</f>
        <v>405</v>
      </c>
      <c r="K199" s="329">
        <f>IFERROR(__xludf.DUMMYFUNCTION("""COMPUTED_VALUE"""),135290.0)</f>
        <v>135290</v>
      </c>
      <c r="L199" s="329">
        <f>IFERROR(__xludf.DUMMYFUNCTION("""COMPUTED_VALUE"""),1521.0)</f>
        <v>1521</v>
      </c>
      <c r="M199" s="329">
        <f>IFERROR(__xludf.DUMMYFUNCTION("""COMPUTED_VALUE"""),701411.0)</f>
        <v>701411</v>
      </c>
      <c r="N199" s="329">
        <f>IFERROR(__xludf.DUMMYFUNCTION("""COMPUTED_VALUE"""),836701.0)</f>
        <v>836701</v>
      </c>
      <c r="O199" s="329"/>
      <c r="P199" s="329"/>
      <c r="Q199" s="329"/>
      <c r="R199" s="329"/>
      <c r="S199" s="329"/>
      <c r="T199" s="329"/>
      <c r="U199" s="329"/>
      <c r="V199" s="329"/>
      <c r="W199" s="329"/>
      <c r="X199" s="329"/>
      <c r="Y199" s="329">
        <f>IFERROR(__xludf.DUMMYFUNCTION("""COMPUTED_VALUE"""),1.0)</f>
        <v>1</v>
      </c>
      <c r="Z199" s="329">
        <f>IFERROR(__xludf.DUMMYFUNCTION("""COMPUTED_VALUE"""),2607.0)</f>
        <v>2607</v>
      </c>
      <c r="AA199" s="329">
        <f>IFERROR(__xludf.DUMMYFUNCTION("""COMPUTED_VALUE"""),2046.0)</f>
        <v>2046</v>
      </c>
      <c r="AB199" s="329">
        <f>IFERROR(__xludf.DUMMYFUNCTION("""COMPUTED_VALUE"""),4486.0)</f>
        <v>4486</v>
      </c>
      <c r="AC199" s="329">
        <f>IFERROR(__xludf.DUMMYFUNCTION("""COMPUTED_VALUE"""),6532.0)</f>
        <v>6532</v>
      </c>
      <c r="AD199" s="329">
        <f>IFERROR(__xludf.DUMMYFUNCTION("""COMPUTED_VALUE"""),488430.0)</f>
        <v>488430</v>
      </c>
      <c r="AE199" s="329">
        <f>IFERROR(__xludf.DUMMYFUNCTION("""COMPUTED_VALUE"""),2046.0)</f>
        <v>2046</v>
      </c>
      <c r="AF199" s="329">
        <f>IFERROR(__xludf.DUMMYFUNCTION("""COMPUTED_VALUE"""),312150.0)</f>
        <v>312150</v>
      </c>
      <c r="AG199" s="329">
        <f>IFERROR(__xludf.DUMMYFUNCTION("""COMPUTED_VALUE"""),4714.0)</f>
        <v>4714</v>
      </c>
      <c r="AH199" s="329">
        <f>IFERROR(__xludf.DUMMYFUNCTION("""COMPUTED_VALUE"""),187694.0)</f>
        <v>187694</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44280</v>
      </c>
      <c r="B2" s="342">
        <f>Summary!B2</f>
        <v>479</v>
      </c>
      <c r="C2" s="343">
        <f>Summary!B3</f>
        <v>454</v>
      </c>
      <c r="D2" s="343">
        <f>Summary!B4</f>
        <v>160393</v>
      </c>
      <c r="E2" s="343">
        <f>Summary!B5</f>
        <v>20155</v>
      </c>
      <c r="F2" s="343">
        <f>Summary!B6</f>
        <v>3257122</v>
      </c>
      <c r="G2" s="343">
        <f>Summary!B7</f>
        <v>20634</v>
      </c>
      <c r="H2" s="343">
        <f>Summary!B8</f>
        <v>3417515</v>
      </c>
      <c r="I2" s="343">
        <f>Summary!B9</f>
        <v>441</v>
      </c>
      <c r="J2" s="343">
        <f>Summary!B10</f>
        <v>405</v>
      </c>
      <c r="K2" s="343">
        <f>Summary!B11</f>
        <v>135290</v>
      </c>
      <c r="L2" s="343">
        <f>Summary!B12</f>
        <v>1521</v>
      </c>
      <c r="M2" s="343">
        <f>Summary!B13</f>
        <v>701411</v>
      </c>
      <c r="N2" s="343">
        <f>Summary!B14</f>
        <v>836701</v>
      </c>
      <c r="O2" s="343">
        <f>Summary!B15</f>
        <v>13</v>
      </c>
      <c r="P2" s="343">
        <f>Summary!B16</f>
        <v>9394</v>
      </c>
      <c r="Q2" s="343">
        <f>Summary!B17</f>
        <v>18</v>
      </c>
      <c r="R2" s="343">
        <f>Summary!B18</f>
        <v>8240</v>
      </c>
      <c r="S2" s="343">
        <f>Summary!B19</f>
        <v>0</v>
      </c>
      <c r="T2" s="343">
        <f>Summary!B20</f>
        <v>1044</v>
      </c>
      <c r="U2" s="343">
        <f>Summary!B21</f>
        <v>110</v>
      </c>
      <c r="V2" s="343">
        <f>Summary!B22</f>
        <v>118</v>
      </c>
      <c r="W2" s="343">
        <f>Summary!B23</f>
        <v>18</v>
      </c>
      <c r="X2" s="343">
        <f>Summary!B24</f>
        <v>11</v>
      </c>
      <c r="Y2" s="343">
        <f>Summary!B25</f>
        <v>1</v>
      </c>
      <c r="Z2" s="343">
        <f>Summary!B26</f>
        <v>2607</v>
      </c>
      <c r="AA2" s="344">
        <f>I2+E2</f>
        <v>20596</v>
      </c>
      <c r="AB2" s="344">
        <f>K2+F2</f>
        <v>3392412</v>
      </c>
      <c r="AC2" s="345">
        <f>K2/H2</f>
        <v>0.03958724395</v>
      </c>
      <c r="AD2" s="345">
        <f>I2/G2</f>
        <v>0.021372492</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