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40"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1"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2" sheetId="34" r:id="rId37"/>
    <sheet state="visible" name="Sheet43"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visible" name="Sheet39" sheetId="40" r:id="rId43"/>
    <sheet state="hidden" name="HiddenLast199RowsTrends" sheetId="41" r:id="rId44"/>
    <sheet state="hidden" name="Hidden Cases by ZCTA for DW" sheetId="42" r:id="rId45"/>
    <sheet state="hidden" name="Summary Transposed for GDS" sheetId="43" r:id="rId46"/>
    <sheet state="hidden" name="Hidden Muni Trends for Visuals" sheetId="44" r:id="rId47"/>
  </sheets>
  <definedNames/>
  <calcPr/>
</workbook>
</file>

<file path=xl/sharedStrings.xml><?xml version="1.0" encoding="utf-8"?>
<sst xmlns="http://schemas.openxmlformats.org/spreadsheetml/2006/main" count="11387" uniqueCount="1128">
  <si>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</si>
  <si>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</si>
  <si>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</si>
  <si>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</si>
  <si>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</si>
  <si>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</si>
  <si>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</si>
  <si>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</si>
  <si>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</si>
  <si>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</si>
  <si>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</si>
  <si>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</si>
  <si>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</si>
  <si>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</si>
  <si>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</si>
  <si>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</si>
  <si>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</si>
  <si>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</si>
  <si>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</si>
  <si>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</si>
  <si>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</si>
  <si>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</si>
  <si>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</si>
  <si>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</si>
  <si>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</si>
  <si>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</si>
  <si>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</si>
  <si>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</si>
  <si>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</si>
  <si>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</si>
  <si>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</si>
  <si>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</si>
  <si>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</si>
  <si>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</si>
  <si>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</si>
  <si>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</si>
  <si>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</si>
  <si>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</si>
  <si>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</si>
  <si>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</si>
  <si>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</si>
  <si>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</si>
  <si>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</si>
  <si>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</si>
  <si>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</si>
  <si>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</si>
  <si>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</si>
  <si>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N=772,630</t>
  </si>
  <si>
    <t>N=127,986</t>
  </si>
  <si>
    <t>N=9,346</t>
  </si>
  <si>
    <t>N=2,604</t>
  </si>
  <si>
    <t>N=300,320</t>
  </si>
  <si>
    <t>N=166,971</t>
  </si>
  <si>
    <t>N=457,085</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</si>
  <si>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</si>
  <si>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</si>
  <si>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</si>
  <si>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</si>
  <si>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</si>
  <si>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</si>
  <si>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</si>
  <si>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</si>
  <si>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</si>
  <si>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</si>
  <si>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</si>
  <si>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</si>
  <si>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</si>
  <si>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</si>
  <si>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</si>
  <si>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</si>
  <si>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</si>
  <si>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</si>
  <si>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</si>
  <si>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</si>
  <si>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</si>
  <si>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</si>
  <si>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</si>
  <si>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</si>
  <si>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</si>
  <si>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</si>
  <si>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</si>
  <si>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</si>
  <si>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</si>
  <si>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</si>
  <si>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</si>
  <si>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</si>
  <si>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</si>
  <si>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</si>
  <si>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</si>
  <si>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</si>
  <si>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</si>
  <si>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</si>
  <si>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</si>
  <si>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</si>
  <si>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</si>
  <si>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</si>
  <si>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</si>
  <si>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</si>
  <si>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</si>
  <si>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</si>
  <si>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</si>
  <si>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</si>
  <si>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</si>
  <si>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</si>
  <si>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</si>
  <si>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</si>
  <si>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</si>
  <si>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</si>
  <si>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</si>
  <si>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</si>
  <si>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</si>
  <si>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</si>
  <si>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</si>
  <si>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</si>
  <si>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</si>
  <si>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</si>
  <si>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</si>
  <si>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</si>
  <si>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</si>
  <si>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</si>
  <si>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</si>
  <si>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</si>
  <si>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</si>
  <si>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</si>
  <si>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</si>
  <si>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</si>
  <si>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</si>
  <si>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</si>
  <si>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</si>
  <si>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</si>
  <si>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</si>
  <si>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</si>
  <si>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</si>
  <si>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</si>
  <si>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</si>
  <si>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</si>
  <si>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</si>
  <si>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</si>
  <si>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</si>
  <si>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</si>
  <si>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</si>
  <si>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</si>
  <si>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</si>
  <si>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</si>
  <si>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</si>
  <si>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</si>
  <si>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</si>
  <si>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</si>
  <si>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</si>
  <si>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</si>
  <si>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</si>
  <si>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</si>
  <si>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</si>
  <si>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</si>
  <si>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</si>
  <si>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</si>
  <si>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</si>
  <si>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</si>
  <si>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</si>
  <si>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</si>
  <si>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3/14/21-3/20/21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</si>
  <si>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</si>
  <si>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</si>
  <si>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</si>
  <si>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</si>
  <si>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</si>
  <si>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</si>
  <si>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</si>
  <si>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</si>
  <si>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</si>
  <si>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</si>
  <si>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</si>
  <si>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</si>
  <si>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</si>
  <si>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</si>
  <si>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</si>
  <si>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</si>
  <si>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</si>
  <si>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</si>
  <si>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</si>
  <si>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</si>
  <si>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</si>
  <si>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</si>
  <si>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</si>
  <si>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</si>
  <si>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</si>
  <si>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</si>
  <si>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</si>
  <si>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</si>
  <si>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</si>
  <si>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</si>
  <si>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</si>
  <si>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</si>
  <si>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</si>
  <si>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</si>
  <si>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</si>
  <si>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</si>
  <si>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</si>
  <si>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</si>
  <si>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</si>
  <si>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</si>
  <si>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</si>
  <si>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</si>
  <si>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</si>
  <si>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</si>
  <si>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</si>
  <si>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</si>
  <si>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</si>
  <si>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</si>
  <si>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</si>
  <si>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</si>
  <si>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</si>
  <si>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</si>
  <si>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</si>
  <si>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</si>
  <si>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</si>
  <si>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</si>
  <si>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</si>
  <si>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</si>
  <si>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</si>
  <si>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</si>
  <si>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</si>
  <si>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</si>
  <si>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</si>
  <si>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</si>
  <si>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</si>
  <si>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</si>
  <si>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</si>
  <si>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</si>
  <si>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</si>
  <si>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</si>
  <si>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</si>
  <si>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</si>
  <si>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</si>
  <si>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</si>
  <si>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</si>
  <si>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</si>
  <si>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</si>
  <si>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</si>
  <si>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</si>
  <si>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</si>
  <si>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</si>
  <si>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</si>
  <si>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</si>
  <si>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</si>
  <si>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</si>
  <si>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</si>
  <si>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</si>
  <si>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</si>
  <si>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</si>
  <si>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</si>
  <si>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</si>
  <si>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</si>
  <si>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</si>
  <si>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</si>
  <si>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</si>
  <si>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</si>
  <si>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</si>
  <si>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</si>
  <si>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</si>
  <si>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</si>
  <si>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</si>
  <si>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</si>
  <si>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</si>
  <si>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</si>
  <si>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</si>
  <si>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</si>
  <si>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</si>
  <si>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</si>
  <si>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</si>
  <si>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</si>
  <si>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</si>
  <si>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</si>
  <si>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</si>
  <si>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</si>
  <si>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</si>
  <si>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</si>
  <si>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</si>
  <si>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</si>
  <si>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</si>
  <si>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</si>
  <si>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</si>
  <si>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</si>
  <si>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</si>
  <si>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</si>
  <si>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</si>
  <si>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</si>
  <si>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</si>
  <si>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</si>
  <si>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</si>
  <si>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</si>
  <si>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</si>
  <si>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</si>
  <si>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</si>
  <si>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</si>
  <si>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</si>
  <si>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</si>
  <si>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</si>
  <si>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</si>
  <si>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</si>
  <si>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</si>
  <si>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</si>
  <si>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</si>
  <si>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</si>
  <si>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</si>
  <si>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</si>
  <si>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</si>
  <si>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</si>
  <si>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</si>
  <si>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</si>
  <si>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</si>
  <si>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</si>
  <si>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</si>
  <si>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</si>
  <si>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</si>
  <si>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</si>
  <si>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</si>
  <si>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</si>
  <si>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</si>
  <si>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</si>
  <si>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</si>
  <si>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</si>
  <si>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</si>
  <si>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</si>
  <si>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</si>
  <si>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</si>
  <si>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</si>
  <si>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</si>
  <si>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</si>
  <si>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</si>
  <si>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</si>
  <si>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</si>
  <si>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</si>
  <si>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</si>
  <si>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</si>
  <si>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</si>
  <si>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</si>
  <si>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</si>
  <si>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</si>
  <si>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</si>
  <si>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</si>
  <si>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</si>
  <si>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</si>
  <si>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</si>
  <si>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</si>
  <si>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</si>
  <si>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</si>
  <si>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</si>
  <si>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</si>
  <si>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</si>
  <si>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</si>
  <si>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</si>
  <si>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</si>
  <si>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</si>
  <si>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</si>
  <si>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</si>
  <si>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</si>
  <si>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</si>
  <si>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</si>
  <si>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</si>
  <si>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</si>
  <si>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</si>
  <si>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</si>
  <si>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</si>
  <si>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</si>
  <si>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</si>
  <si>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</si>
  <si>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</si>
  <si>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</si>
  <si>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</si>
  <si>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</si>
  <si>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</si>
  <si>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</si>
  <si>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</si>
  <si>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</si>
  <si>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</si>
  <si>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</si>
  <si>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</si>
  <si>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</si>
  <si>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</si>
  <si>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</si>
  <si>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</si>
  <si>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</si>
  <si>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</si>
  <si>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</si>
  <si>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</si>
  <si>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</si>
  <si>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</si>
  <si>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</si>
  <si>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</si>
  <si>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</si>
  <si>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</si>
  <si>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</si>
  <si>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</si>
  <si>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</si>
  <si>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</si>
  <si>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</si>
  <si>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</si>
  <si>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</si>
  <si>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</si>
  <si>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</si>
  <si>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</si>
  <si>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</si>
  <si>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</si>
  <si>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</si>
  <si>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</si>
  <si>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</si>
  <si>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</si>
  <si>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</si>
  <si>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</si>
  <si>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</si>
  <si>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</si>
  <si>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</si>
  <si>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</si>
  <si>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</si>
  <si>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</si>
  <si>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</si>
  <si>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</si>
  <si>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</si>
  <si>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</si>
  <si>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</si>
  <si>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</si>
  <si>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</si>
  <si>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</si>
  <si>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</si>
  <si>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</si>
  <si>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</si>
  <si>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</si>
  <si>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</si>
  <si>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</si>
  <si>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</si>
  <si>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</si>
  <si>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</si>
  <si>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</si>
  <si>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</si>
  <si>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</si>
  <si>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</si>
  <si>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</si>
  <si>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</si>
  <si>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</si>
  <si>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</si>
  <si>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3/24/2021 and include positive cases as of 3/20/2021</t>
  </si>
  <si>
    <t>Cases online are broken down by school and learning type, and do not yet include approximately 355 cases for which that information is pending. For the cases for this reporting period, there are approximately 15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</si>
  <si>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</si>
  <si>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</si>
  <si>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</si>
  <si>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</si>
  <si>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</si>
  <si>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</si>
  <si>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</si>
  <si>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</si>
  <si>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</si>
  <si>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</si>
  <si>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</si>
  <si>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5 to 9</t>
  </si>
  <si>
    <t>Achievement First Promesa Elementary</t>
  </si>
  <si>
    <t>Achievement First Providence Mayoral Academy</t>
  </si>
  <si>
    <t>10 to 14</t>
  </si>
  <si>
    <t>Barrington High School</t>
  </si>
  <si>
    <t>25 to 29</t>
  </si>
  <si>
    <t>Barrington Middle School</t>
  </si>
  <si>
    <t>35 to 39</t>
  </si>
  <si>
    <t>Hampden Meadows School</t>
  </si>
  <si>
    <t>15 to 19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</si>
  <si>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</si>
  <si>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</si>
  <si>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</si>
  <si>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</si>
  <si>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</si>
  <si>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</si>
  <si>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</si>
  <si>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</si>
  <si>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</si>
  <si>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</si>
  <si>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</si>
  <si>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</si>
  <si>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</si>
  <si>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</si>
  <si>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</si>
  <si>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</si>
  <si>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</si>
  <si>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</si>
  <si>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</si>
  <si>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20 to 24</t>
  </si>
  <si>
    <t>Kickemuit Middle School</t>
  </si>
  <si>
    <t>Mt. Hope High School</t>
  </si>
  <si>
    <t>Rockwell School</t>
  </si>
  <si>
    <t>Austin T. Levy School</t>
  </si>
  <si>
    <t>Burrillville High School</t>
  </si>
  <si>
    <t>30 to 34</t>
  </si>
  <si>
    <t>Burrillville Middle School</t>
  </si>
  <si>
    <t>Steere Farm Elementary School</t>
  </si>
  <si>
    <t>William L. Callahan School</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</si>
  <si>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</si>
  <si>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</si>
  <si>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</si>
  <si>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</si>
  <si>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</si>
  <si>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</si>
  <si>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</si>
  <si>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</si>
  <si>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</si>
  <si>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</si>
  <si>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</si>
  <si>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</si>
  <si>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75 to 79</t>
  </si>
  <si>
    <t>Mercymount Country Day School</t>
  </si>
  <si>
    <t>Mount St. Charles Academy</t>
  </si>
  <si>
    <t>55 to 59</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</si>
  <si>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</si>
  <si>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</si>
  <si>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</si>
  <si>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</si>
  <si>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</si>
  <si>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</si>
  <si>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</si>
  <si>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</si>
  <si>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</si>
  <si>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</si>
  <si>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</si>
  <si>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</si>
  <si>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</si>
  <si>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</si>
  <si>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</si>
  <si>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</si>
  <si>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</si>
  <si>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</si>
  <si>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</si>
  <si>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</si>
  <si>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</si>
  <si>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</si>
  <si>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</si>
  <si>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</si>
  <si>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</si>
  <si>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</si>
  <si>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</si>
  <si>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</si>
  <si>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</si>
  <si>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</si>
  <si>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</si>
  <si>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</si>
  <si>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</si>
  <si>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</si>
  <si>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</si>
  <si>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</si>
  <si>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</si>
  <si>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</si>
  <si>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50 to 54</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</si>
  <si>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</si>
  <si>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</si>
  <si>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</si>
  <si>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</si>
  <si>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</si>
  <si>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</si>
  <si>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</si>
  <si>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</si>
  <si>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</si>
  <si>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</si>
  <si>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</si>
  <si>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</si>
  <si>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</si>
  <si>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</si>
  <si>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</si>
  <si>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</si>
  <si>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</si>
  <si>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</si>
  <si>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</si>
  <si>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</si>
  <si>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</si>
  <si>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</si>
  <si>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</si>
  <si>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</si>
  <si>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</si>
  <si>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</si>
  <si>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</si>
  <si>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</si>
  <si>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</si>
  <si>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</si>
  <si>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</si>
  <si>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</si>
  <si>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</si>
  <si>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</si>
  <si>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</si>
  <si>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</si>
  <si>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</si>
  <si>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</si>
  <si>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</si>
  <si>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</si>
  <si>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</si>
  <si>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</si>
  <si>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</si>
  <si>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45 to 49</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</si>
  <si>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</si>
  <si>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</si>
  <si>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</si>
  <si>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</si>
  <si>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</si>
  <si>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</si>
  <si>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</si>
  <si>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</si>
  <si>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</si>
  <si>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</si>
  <si>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70 to 74</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</si>
  <si>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</si>
  <si>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</si>
  <si>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</si>
  <si>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</si>
  <si>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</si>
  <si>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</si>
  <si>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</si>
  <si>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</si>
  <si>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</si>
  <si>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</si>
  <si>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</si>
  <si>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</si>
  <si>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</si>
  <si>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</si>
  <si>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</si>
  <si>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</si>
  <si>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</si>
  <si>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</si>
  <si>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</si>
  <si>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</si>
  <si>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</si>
  <si>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</si>
  <si>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</si>
  <si>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</si>
  <si>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</si>
  <si>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</si>
  <si>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</si>
  <si>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</si>
  <si>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</si>
  <si>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</si>
  <si>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</si>
  <si>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</si>
  <si>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</si>
  <si>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</si>
  <si>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</si>
  <si>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</si>
  <si>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</si>
  <si>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</si>
  <si>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</si>
  <si>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</si>
  <si>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</si>
  <si>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</si>
  <si>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</si>
  <si>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</si>
  <si>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</si>
  <si>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</si>
  <si>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</si>
  <si>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</si>
  <si>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</si>
  <si>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</si>
  <si>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</si>
  <si>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</si>
  <si>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</si>
  <si>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</si>
  <si>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</si>
  <si>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</si>
  <si>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</si>
  <si>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</si>
  <si>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</si>
  <si>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</si>
  <si>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</si>
  <si>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</si>
  <si>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</si>
  <si>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</si>
  <si>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</si>
  <si>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</si>
  <si>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</si>
  <si>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</si>
  <si>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</si>
  <si>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</si>
  <si>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</si>
  <si>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</si>
  <si>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</si>
  <si>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</si>
  <si>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</si>
  <si>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</si>
  <si>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</si>
  <si>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</si>
  <si>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</si>
  <si>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</si>
  <si>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</si>
  <si>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</si>
  <si>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</si>
  <si>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</si>
  <si>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</si>
  <si>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</si>
  <si>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</si>
  <si>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</si>
  <si>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</si>
  <si>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</si>
  <si>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</si>
  <si>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</si>
  <si>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</si>
  <si>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</si>
  <si>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</si>
  <si>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</si>
  <si>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</si>
  <si>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</si>
  <si>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</si>
  <si>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</si>
  <si>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</si>
  <si>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</si>
  <si>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</si>
  <si>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</si>
  <si>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</si>
  <si>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</si>
  <si>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</si>
  <si>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</si>
  <si>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</si>
  <si>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</si>
  <si>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</si>
  <si>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</si>
  <si>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</si>
  <si>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</si>
  <si>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</si>
  <si>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</si>
  <si>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</si>
  <si>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</si>
  <si>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</si>
  <si>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</si>
  <si>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</si>
  <si>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</si>
  <si>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</si>
  <si>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</si>
  <si>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</si>
  <si>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</si>
  <si>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</si>
  <si>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</si>
  <si>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</si>
  <si>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</si>
  <si>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</si>
  <si>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</si>
  <si>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</si>
  <si>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</si>
  <si>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</si>
  <si>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</si>
  <si>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</si>
  <si>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</si>
  <si>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</si>
  <si>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</si>
  <si>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</si>
  <si>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</si>
  <si>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</si>
  <si>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</si>
  <si>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</si>
  <si>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</si>
  <si>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</si>
  <si>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</si>
  <si>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</si>
  <si>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</si>
  <si>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</si>
  <si>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</si>
  <si>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</si>
  <si>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</si>
  <si>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</si>
  <si>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</si>
  <si>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</si>
  <si>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</si>
  <si>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</si>
  <si>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</si>
  <si>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</si>
  <si>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</si>
  <si>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</si>
  <si>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</si>
  <si>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</si>
  <si>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</si>
  <si>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</si>
  <si>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</si>
  <si>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</si>
  <si>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</si>
  <si>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</si>
  <si>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</si>
  <si>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</si>
  <si>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</si>
  <si>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</si>
  <si>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</si>
  <si>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</si>
  <si>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</si>
  <si>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</si>
  <si>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</si>
  <si>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St. Paul's Nursery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</si>
  <si>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</si>
  <si>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</si>
  <si>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</si>
  <si>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</si>
  <si>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</si>
  <si>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</si>
  <si>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</si>
  <si>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</si>
  <si>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</si>
  <si>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</si>
  <si>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</si>
  <si>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</si>
  <si>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</si>
  <si>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</si>
  <si>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</si>
  <si>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</si>
  <si>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</si>
  <si>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</si>
  <si>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</si>
  <si>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</si>
  <si>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YWCA of Northern RI Preschool</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</si>
  <si>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</si>
  <si>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</si>
  <si>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</si>
  <si>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</si>
  <si>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</si>
  <si>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</si>
  <si>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</si>
  <si>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</si>
  <si>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</si>
  <si>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</si>
  <si>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</si>
  <si>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</si>
  <si>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</si>
  <si>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</si>
  <si>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</si>
  <si>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</si>
  <si>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</si>
  <si>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</si>
  <si>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</si>
  <si>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</si>
  <si>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</si>
  <si>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</si>
  <si>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</si>
  <si>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</si>
  <si>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</si>
  <si>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</si>
  <si>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</si>
  <si>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</si>
  <si>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</si>
  <si>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</si>
  <si>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</si>
  <si>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</si>
  <si>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</si>
  <si>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</si>
  <si>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</si>
  <si>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</si>
  <si>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</si>
  <si>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</si>
  <si>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</si>
  <si>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</si>
  <si>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</si>
  <si>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</si>
  <si>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</si>
  <si>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</si>
  <si>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</si>
  <si>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</si>
  <si>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</si>
  <si>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</si>
  <si>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</si>
  <si>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</si>
  <si>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</si>
  <si>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</si>
  <si>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</si>
  <si>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</si>
  <si>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</si>
  <si>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</si>
  <si>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</si>
  <si>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</si>
  <si>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</si>
  <si>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</si>
  <si>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</si>
  <si>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</si>
  <si>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</si>
  <si>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</si>
  <si>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</si>
  <si>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</si>
  <si>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</si>
  <si>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</si>
  <si>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</si>
  <si>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</si>
  <si>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</si>
  <si>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</si>
  <si>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</si>
  <si>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</si>
  <si>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</si>
  <si>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</si>
  <si>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</si>
  <si>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</si>
  <si>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</si>
  <si>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</si>
  <si>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</si>
  <si>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</si>
  <si>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</si>
  <si>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</si>
  <si>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</si>
  <si>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</si>
  <si>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</si>
  <si>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</si>
  <si>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</si>
  <si>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</si>
  <si>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</si>
  <si>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</si>
  <si>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</si>
  <si>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</si>
  <si>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</si>
  <si>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</si>
  <si>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</si>
  <si>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</si>
  <si>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</si>
  <si>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</si>
  <si>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</si>
  <si>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</si>
  <si>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</si>
  <si>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</si>
  <si>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</si>
  <si>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</si>
  <si>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</si>
  <si>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</si>
  <si>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</si>
  <si>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</si>
  <si>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</si>
  <si>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</si>
  <si>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</si>
  <si>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</si>
  <si>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</si>
  <si>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</si>
  <si>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</si>
  <si>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</si>
  <si>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</si>
  <si>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</si>
  <si>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</si>
  <si>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</si>
  <si>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</si>
  <si>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</si>
  <si>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</si>
  <si>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</si>
  <si>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</si>
  <si>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</si>
  <si>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</si>
  <si>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</si>
  <si>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</si>
  <si>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</si>
  <si>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</si>
  <si>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</si>
  <si>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</si>
  <si>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90 to 94</t>
  </si>
  <si>
    <t>290 to 294</t>
  </si>
  <si>
    <t>Total:</t>
  </si>
  <si>
    <t>265 to 269</t>
  </si>
  <si>
    <t>5640 to 5644</t>
  </si>
  <si>
    <t>2395 to 2399</t>
  </si>
  <si>
    <t>Virtual Cases‡</t>
  </si>
  <si>
    <t>AF Iluminar Mayoral Academy Middle School</t>
  </si>
  <si>
    <t>Cranston Transition Program(CTP)</t>
  </si>
  <si>
    <t>65 to 69</t>
  </si>
  <si>
    <t>CHILD, Inc., Centerville Road</t>
  </si>
  <si>
    <t>Day Spring Christian Academy</t>
  </si>
  <si>
    <t>East Side Nursery School</t>
  </si>
  <si>
    <t>Greenville Nursery School</t>
  </si>
  <si>
    <t>Hope Street School</t>
  </si>
  <si>
    <t>Kid's Kingdom</t>
  </si>
  <si>
    <t>The Genesis Daycare Center</t>
  </si>
  <si>
    <t>Providence Virtual Learning Academy</t>
  </si>
  <si>
    <t>Sheila Skip Nowell Leadership Academy (Central Campus)</t>
  </si>
  <si>
    <t>170 to 174</t>
  </si>
  <si>
    <t>100 to 104</t>
  </si>
  <si>
    <t>4945 to 4949</t>
  </si>
  <si>
    <t>405 to 409</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</si>
  <si>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3/24/2021 9am.
 †New cases in past 7 days include positive cases between 3/14/2021 and 3/20/2021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</si>
  <si>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</si>
  <si>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3/24/2021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</si>
  <si>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</si>
  <si>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</si>
  <si>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</si>
  <si>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</si>
  <si>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</si>
  <si>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</si>
  <si>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</si>
  <si>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</si>
  <si>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</si>
  <si>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</si>
  <si>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</si>
  <si>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</si>
  <si>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</si>
  <si>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</si>
  <si>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</si>
  <si>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</si>
  <si>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</si>
  <si>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</si>
  <si>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</si>
  <si>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</si>
  <si>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</si>
  <si>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</si>
  <si>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</si>
  <si>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</si>
  <si>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</si>
  <si>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</si>
  <si>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</si>
  <si>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</si>
  <si>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</si>
  <si>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</si>
  <si>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</si>
  <si>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</si>
  <si>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</si>
  <si>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</si>
  <si>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</si>
  <si>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</si>
  <si>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</si>
  <si>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105 to 109</t>
  </si>
  <si>
    <t>Golden Crest (North Providence)</t>
  </si>
  <si>
    <t>110 to 114</t>
  </si>
  <si>
    <t>Grace Barker Nursing Home (Warren)</t>
  </si>
  <si>
    <t>Grand Islander (Middletown)</t>
  </si>
  <si>
    <t>Grandview Center (Cumberland)</t>
  </si>
  <si>
    <t>Greenville Skilled Nursing &amp; Rehabilitation (Greenville)</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</si>
  <si>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</si>
  <si>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</si>
  <si>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</si>
  <si>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</si>
  <si>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</si>
  <si>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</si>
  <si>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</si>
  <si>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</si>
  <si>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</si>
  <si>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</si>
  <si>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</si>
  <si>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</si>
  <si>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</si>
  <si>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</si>
  <si>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</si>
  <si>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</si>
  <si>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</si>
  <si>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</si>
  <si>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</si>
  <si>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</si>
  <si>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</si>
  <si>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80 to 84</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</si>
  <si>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</si>
  <si>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</si>
  <si>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</si>
  <si>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</si>
  <si>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</si>
  <si>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</si>
  <si>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</si>
  <si>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</si>
  <si>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</si>
  <si>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</si>
  <si>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</si>
  <si>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</si>
  <si>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</si>
  <si>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</si>
  <si>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</si>
  <si>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</si>
  <si>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</si>
  <si>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</si>
  <si>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</si>
  <si>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</si>
  <si>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</si>
  <si>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</si>
  <si>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</si>
  <si>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</si>
  <si>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</si>
  <si>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</si>
  <si>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</si>
  <si>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</si>
  <si>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</si>
  <si>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</si>
  <si>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</si>
  <si>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</si>
  <si>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</si>
  <si>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</si>
  <si>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</si>
  <si>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</si>
  <si>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</si>
  <si>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5775 to 5779</t>
  </si>
  <si>
    <t>1465 to 1469</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</si>
  <si>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</si>
  <si>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</si>
  <si>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</si>
  <si>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</si>
  <si>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</si>
  <si>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</si>
  <si>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</si>
  <si>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</si>
  <si>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</si>
  <si>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</si>
  <si>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</si>
  <si>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</si>
  <si>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</si>
  <si>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</si>
  <si>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</si>
  <si>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</si>
  <si>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</si>
  <si>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</si>
  <si>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</si>
  <si>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</si>
  <si>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</si>
  <si>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</si>
  <si>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</si>
  <si>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</si>
  <si>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</si>
  <si>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</si>
  <si>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</si>
  <si>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</si>
  <si>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</si>
  <si>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</si>
  <si>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</si>
  <si>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</si>
  <si>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</si>
  <si>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</si>
  <si>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</si>
  <si>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</si>
  <si>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</si>
  <si>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</si>
  <si>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</si>
  <si>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</si>
  <si>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</si>
  <si>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</si>
  <si>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</si>
  <si>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</si>
  <si>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</si>
  <si>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</si>
  <si>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</si>
  <si>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</si>
  <si>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</si>
  <si>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</si>
  <si>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1080 to 1084</t>
  </si>
  <si>
    <t>Note: These data are updated weekly and represent cumulative number of cases and deaths, and number of new resident cases in the past 14 days at each facility. Because these data will change throughout the week, number ranges are being presented. Data last updated 3/24/2021.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</si>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</sst>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47" Type="http://schemas.openxmlformats.org/officeDocument/2006/relationships/worksheet" Target="worksheets/sheet44.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44284.0</v>
      </c>
    </row>
    <row r="2" ht="14.25" customHeight="1">
      <c r="A2" s="3" t="s">
        <v>1</v>
      </c>
      <c r="B2" s="4">
        <v>271.0</v>
      </c>
    </row>
    <row r="3" ht="14.25" customHeight="1">
      <c r="A3" s="3" t="s">
        <v>2</v>
      </c>
      <c r="B3" s="4">
        <v>412.0</v>
      </c>
    </row>
    <row r="4" ht="14.25" customHeight="1">
      <c r="A4" s="3" t="s">
        <v>3</v>
      </c>
      <c r="B4" s="4">
        <v>162270.0</v>
      </c>
    </row>
    <row r="5" ht="14.25" customHeight="1">
      <c r="A5" s="3" t="s">
        <v>4</v>
      </c>
      <c r="B5" s="4">
        <v>4506.0</v>
      </c>
    </row>
    <row r="6" ht="14.25" customHeight="1">
      <c r="A6" s="5" t="s">
        <v>5</v>
      </c>
      <c r="B6" s="4">
        <v>3320658.0</v>
      </c>
    </row>
    <row r="7" ht="14.25" customHeight="1">
      <c r="A7" s="6" t="s">
        <v>6</v>
      </c>
      <c r="B7" s="4">
        <v>4777.0</v>
      </c>
    </row>
    <row r="8" ht="14.25" customHeight="1">
      <c r="A8" s="6" t="s">
        <v>7</v>
      </c>
      <c r="B8" s="7">
        <v>3482928.0</v>
      </c>
    </row>
    <row r="9" ht="14.25" customHeight="1">
      <c r="A9" s="8" t="s">
        <v>8</v>
      </c>
      <c r="B9" s="7">
        <v>228.0</v>
      </c>
    </row>
    <row r="10" ht="14.25" customHeight="1">
      <c r="A10" s="9" t="s">
        <v>9</v>
      </c>
      <c r="B10" s="7">
        <v>345.0</v>
      </c>
    </row>
    <row r="11" ht="14.25" customHeight="1">
      <c r="A11" s="8" t="s">
        <v>10</v>
      </c>
      <c r="B11" s="7">
        <v>136419.0</v>
      </c>
    </row>
    <row r="12" ht="14.25" customHeight="1">
      <c r="A12" s="8" t="s">
        <v>11</v>
      </c>
      <c r="B12" s="7">
        <v>686.0</v>
      </c>
    </row>
    <row r="13" ht="14.25" customHeight="1">
      <c r="A13" s="8" t="s">
        <v>12</v>
      </c>
      <c r="B13" s="7">
        <v>706540.0</v>
      </c>
    </row>
    <row r="14" ht="15.0" customHeight="1">
      <c r="A14" s="8" t="s">
        <v>13</v>
      </c>
      <c r="B14" s="7">
        <v>842959.0</v>
      </c>
    </row>
    <row r="15" ht="14.25" customHeight="1">
      <c r="A15" s="10" t="s">
        <v>14</v>
      </c>
      <c r="B15" s="4">
        <v>13.0</v>
      </c>
    </row>
    <row r="16" ht="14.25" customHeight="1">
      <c r="A16" s="10" t="s">
        <v>15</v>
      </c>
      <c r="B16" s="4">
        <v>9427.0</v>
      </c>
    </row>
    <row r="17" ht="14.25" customHeight="1">
      <c r="A17" s="10" t="s">
        <v>16</v>
      </c>
      <c r="B17" s="4">
        <v>10.0</v>
      </c>
    </row>
    <row r="18" ht="14.25" customHeight="1">
      <c r="A18" s="10" t="s">
        <v>17</v>
      </c>
      <c r="B18" s="4">
        <v>8267.0</v>
      </c>
    </row>
    <row r="19" ht="14.25" customHeight="1">
      <c r="A19" s="10" t="s">
        <v>18</v>
      </c>
      <c r="B19" s="4">
        <v>0.0</v>
      </c>
    </row>
    <row r="20" ht="14.25" customHeight="1">
      <c r="A20" s="10" t="s">
        <v>19</v>
      </c>
      <c r="B20" s="4">
        <v>1043.0</v>
      </c>
    </row>
    <row r="21" ht="14.25" customHeight="1">
      <c r="A21" s="10" t="s">
        <v>20</v>
      </c>
      <c r="B21" s="7">
        <v>117.0</v>
      </c>
    </row>
    <row r="22" ht="14.25" customHeight="1">
      <c r="A22" s="10" t="s">
        <v>21</v>
      </c>
      <c r="B22" s="7">
        <v>116.0</v>
      </c>
    </row>
    <row r="23" ht="14.25" customHeight="1">
      <c r="A23" s="10" t="s">
        <v>22</v>
      </c>
      <c r="B23" s="7">
        <v>16.0</v>
      </c>
    </row>
    <row r="24" ht="14.25" customHeight="1">
      <c r="A24" s="10" t="s">
        <v>23</v>
      </c>
      <c r="B24" s="7">
        <v>7.0</v>
      </c>
    </row>
    <row r="25" ht="14.25" customHeight="1">
      <c r="A25" s="11" t="s">
        <v>24</v>
      </c>
      <c r="B25" s="7">
        <v>4.0</v>
      </c>
    </row>
    <row r="26" ht="14.25" customHeight="1">
      <c r="A26" s="12" t="s">
        <v>25</v>
      </c>
      <c r="B26" s="7">
        <v>2613.0</v>
      </c>
    </row>
    <row r="27" ht="14.25" customHeight="1">
      <c r="A27" s="13" t="s">
        <v>26</v>
      </c>
      <c r="B27" s="14">
        <v>1616.0</v>
      </c>
    </row>
    <row r="28" ht="14.25" customHeight="1">
      <c r="A28" s="15" t="s">
        <v>27</v>
      </c>
      <c r="B28" s="16">
        <v>1520.0</v>
      </c>
    </row>
    <row r="29" ht="14.25" customHeight="1">
      <c r="A29" s="15" t="s">
        <v>28</v>
      </c>
      <c r="B29" s="16">
        <v>3136.0</v>
      </c>
    </row>
    <row r="30" ht="14.25" customHeight="1">
      <c r="A30" s="15" t="s">
        <v>29</v>
      </c>
      <c r="B30" s="16">
        <v>530690.0</v>
      </c>
    </row>
    <row r="31" ht="14.25" customHeight="1">
      <c r="A31" s="15" t="s">
        <v>30</v>
      </c>
      <c r="B31" s="16">
        <v>1616.0</v>
      </c>
    </row>
    <row r="32" ht="14.25" customHeight="1">
      <c r="A32" s="15" t="s">
        <v>31</v>
      </c>
      <c r="B32" s="16">
        <v>331805.0</v>
      </c>
    </row>
    <row r="33" ht="14.25" customHeight="1">
      <c r="A33" s="15" t="s">
        <v>32</v>
      </c>
      <c r="B33" s="17">
        <v>1520.0</v>
      </c>
    </row>
    <row r="34" ht="14.25" customHeight="1">
      <c r="A34" s="15" t="s">
        <v>33</v>
      </c>
      <c r="B34" s="17">
        <v>212059.0</v>
      </c>
    </row>
    <row r="35" ht="31.5" customHeight="1">
      <c r="A35" s="18" t="s">
        <v>34</v>
      </c>
      <c r="B35" s="17">
        <v>3457077.0</v>
      </c>
    </row>
    <row r="36" ht="14.25" customHeight="1">
      <c r="A36" s="18" t="s">
        <v>35</v>
      </c>
      <c r="B36" s="17">
        <v>4734.0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1.0</v>
      </c>
      <c r="J5" s="29">
        <v>0.0</v>
      </c>
      <c r="K5" s="29">
        <v>1.0</v>
      </c>
      <c r="L5" s="29">
        <v>2.0</v>
      </c>
      <c r="M5" s="29">
        <v>2.0</v>
      </c>
      <c r="N5" s="29">
        <v>3.0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0.0</v>
      </c>
      <c r="K6" s="29">
        <v>1.0</v>
      </c>
      <c r="L6" s="29">
        <v>0.0</v>
      </c>
      <c r="M6" s="29">
        <v>2.0</v>
      </c>
      <c r="N6" s="29">
        <v>3.0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0.0</v>
      </c>
      <c r="K7" s="29">
        <v>1.0</v>
      </c>
      <c r="L7" s="29">
        <v>1.0</v>
      </c>
      <c r="M7" s="29">
        <v>3.0</v>
      </c>
      <c r="N7" s="29">
        <v>4.0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1.0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0.0</v>
      </c>
      <c r="J9" s="29">
        <v>0.0</v>
      </c>
      <c r="K9" s="29">
        <v>2.0</v>
      </c>
      <c r="L9" s="29">
        <v>4.0</v>
      </c>
      <c r="M9" s="29">
        <v>17.0</v>
      </c>
      <c r="N9" s="29">
        <v>19.0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2.0</v>
      </c>
      <c r="L10" s="29">
        <v>11.0</v>
      </c>
      <c r="M10" s="29">
        <v>28.0</v>
      </c>
      <c r="N10" s="29">
        <v>30.0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2.0</v>
      </c>
      <c r="L11" s="29">
        <v>19.0</v>
      </c>
      <c r="M11" s="29">
        <v>47.0</v>
      </c>
      <c r="N11" s="29">
        <v>49.0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1.0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1.0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0.0</v>
      </c>
      <c r="J14" s="29">
        <v>1.0</v>
      </c>
      <c r="K14" s="29">
        <v>4.0</v>
      </c>
      <c r="L14" s="29">
        <v>21.0</v>
      </c>
      <c r="M14" s="29">
        <v>100.0</v>
      </c>
      <c r="N14" s="29">
        <v>104.0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8.0</v>
      </c>
      <c r="J15" s="29">
        <v>3.0</v>
      </c>
      <c r="K15" s="29">
        <v>12.0</v>
      </c>
      <c r="L15" s="29">
        <v>32.0</v>
      </c>
      <c r="M15" s="29">
        <v>132.0</v>
      </c>
      <c r="N15" s="29">
        <v>144.0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6.0</v>
      </c>
      <c r="J16" s="29">
        <v>5.0</v>
      </c>
      <c r="K16" s="29">
        <v>18.0</v>
      </c>
      <c r="L16" s="29">
        <v>38.0</v>
      </c>
      <c r="M16" s="29">
        <v>170.0</v>
      </c>
      <c r="N16" s="29">
        <v>188.0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0.0</v>
      </c>
      <c r="J17" s="29">
        <v>5.0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2.0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0.0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14.0</v>
      </c>
      <c r="J21" s="29">
        <v>6.0</v>
      </c>
      <c r="K21" s="29">
        <v>36.0</v>
      </c>
      <c r="L21" s="29">
        <v>134.0</v>
      </c>
      <c r="M21" s="29">
        <v>560.0</v>
      </c>
      <c r="N21" s="29">
        <v>596.0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10.0</v>
      </c>
      <c r="J22" s="29">
        <v>9.0</v>
      </c>
      <c r="K22" s="29">
        <v>46.0</v>
      </c>
      <c r="L22" s="29">
        <v>97.0</v>
      </c>
      <c r="M22" s="29">
        <v>657.0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14.0</v>
      </c>
      <c r="K23" s="29">
        <v>63.0</v>
      </c>
      <c r="L23" s="29">
        <v>230.0</v>
      </c>
      <c r="M23" s="29">
        <v>887.0</v>
      </c>
      <c r="N23" s="29">
        <v>950.0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14.0</v>
      </c>
      <c r="J24" s="29">
        <v>14.0</v>
      </c>
      <c r="K24" s="29">
        <v>77.0</v>
      </c>
      <c r="L24" s="29">
        <v>177.0</v>
      </c>
      <c r="M24" s="29">
        <v>1064.0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13.0</v>
      </c>
      <c r="J25" s="29">
        <v>15.0</v>
      </c>
      <c r="K25" s="29">
        <v>90.0</v>
      </c>
      <c r="L25" s="29">
        <v>105.0</v>
      </c>
      <c r="M25" s="29">
        <v>1169.0</v>
      </c>
      <c r="N25" s="29">
        <v>1259.0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115.0</v>
      </c>
      <c r="L26" s="29">
        <v>239.0</v>
      </c>
      <c r="M26" s="29">
        <v>1408.0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131.0</v>
      </c>
      <c r="L27" s="29">
        <v>153.0</v>
      </c>
      <c r="M27" s="29">
        <v>1561.0</v>
      </c>
      <c r="N27" s="29">
        <v>1692.0</v>
      </c>
      <c r="O27" s="30">
        <v>16.0</v>
      </c>
      <c r="P27" s="30">
        <v>49.0</v>
      </c>
      <c r="Q27" s="30">
        <v>1.0</v>
      </c>
      <c r="R27" s="30">
        <v>5.0</v>
      </c>
      <c r="S27" s="30">
        <v>0.0</v>
      </c>
      <c r="T27" s="29">
        <v>0.0</v>
      </c>
      <c r="U27" s="29">
        <v>44.0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150.0</v>
      </c>
      <c r="L28" s="29">
        <v>205.0</v>
      </c>
      <c r="M28" s="29">
        <v>1766.0</v>
      </c>
      <c r="N28" s="29">
        <v>1916.0</v>
      </c>
      <c r="O28" s="30">
        <v>8.0</v>
      </c>
      <c r="P28" s="30">
        <v>57.0</v>
      </c>
      <c r="Q28" s="30">
        <v>0.0</v>
      </c>
      <c r="R28" s="30">
        <v>5.0</v>
      </c>
      <c r="S28" s="30">
        <v>0.0</v>
      </c>
      <c r="T28" s="29">
        <v>0.0</v>
      </c>
      <c r="U28" s="29">
        <v>52.0</v>
      </c>
      <c r="V28" s="29">
        <v>42.0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32.0</v>
      </c>
      <c r="J29" s="29">
        <v>22.0</v>
      </c>
      <c r="K29" s="29">
        <v>182.0</v>
      </c>
      <c r="L29" s="29">
        <v>150.0</v>
      </c>
      <c r="M29" s="29">
        <v>1916.0</v>
      </c>
      <c r="N29" s="29">
        <v>2098.0</v>
      </c>
      <c r="O29" s="30">
        <v>4.0</v>
      </c>
      <c r="P29" s="30">
        <v>61.0</v>
      </c>
      <c r="Q29" s="30">
        <v>1.0</v>
      </c>
      <c r="R29" s="30">
        <v>6.0</v>
      </c>
      <c r="S29" s="30">
        <v>0.0</v>
      </c>
      <c r="T29" s="29">
        <v>0.0</v>
      </c>
      <c r="U29" s="29">
        <v>55.0</v>
      </c>
      <c r="V29" s="29">
        <v>50.0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39.0</v>
      </c>
      <c r="J30" s="29">
        <v>30.0</v>
      </c>
      <c r="K30" s="29">
        <v>221.0</v>
      </c>
      <c r="L30" s="29">
        <v>150.0</v>
      </c>
      <c r="M30" s="29">
        <v>2066.0</v>
      </c>
      <c r="N30" s="29">
        <v>2287.0</v>
      </c>
      <c r="O30" s="30">
        <v>9.0</v>
      </c>
      <c r="P30" s="30">
        <v>70.0</v>
      </c>
      <c r="Q30" s="30">
        <v>5.0</v>
      </c>
      <c r="R30" s="30">
        <v>11.0</v>
      </c>
      <c r="S30" s="30">
        <v>0.0</v>
      </c>
      <c r="T30" s="29">
        <v>0.0</v>
      </c>
      <c r="U30" s="29">
        <v>59.0</v>
      </c>
      <c r="V30" s="29">
        <v>55.0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35.0</v>
      </c>
      <c r="J31" s="29">
        <v>35.0</v>
      </c>
      <c r="K31" s="29">
        <v>256.0</v>
      </c>
      <c r="L31" s="29">
        <v>175.0</v>
      </c>
      <c r="M31" s="29">
        <v>2241.0</v>
      </c>
      <c r="N31" s="29">
        <v>2497.0</v>
      </c>
      <c r="O31" s="30">
        <v>9.0</v>
      </c>
      <c r="P31" s="30">
        <v>79.0</v>
      </c>
      <c r="Q31" s="30">
        <v>1.0</v>
      </c>
      <c r="R31" s="30">
        <v>12.0</v>
      </c>
      <c r="S31" s="30">
        <v>1.0</v>
      </c>
      <c r="T31" s="29">
        <v>1.0</v>
      </c>
      <c r="U31" s="29">
        <v>66.0</v>
      </c>
      <c r="V31" s="29">
        <v>60.0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66.0</v>
      </c>
      <c r="J32" s="29">
        <v>47.0</v>
      </c>
      <c r="K32" s="29">
        <v>322.0</v>
      </c>
      <c r="L32" s="29">
        <v>218.0</v>
      </c>
      <c r="M32" s="29">
        <v>2459.0</v>
      </c>
      <c r="N32" s="29">
        <v>2781.0</v>
      </c>
      <c r="O32" s="30">
        <v>11.0</v>
      </c>
      <c r="P32" s="30">
        <v>90.0</v>
      </c>
      <c r="Q32" s="30">
        <v>2.0</v>
      </c>
      <c r="R32" s="30">
        <v>14.0</v>
      </c>
      <c r="S32" s="30">
        <v>1.0</v>
      </c>
      <c r="T32" s="29">
        <v>2.0</v>
      </c>
      <c r="U32" s="29">
        <v>74.0</v>
      </c>
      <c r="V32" s="29">
        <v>66.0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104.0</v>
      </c>
      <c r="J33" s="29">
        <v>68.0</v>
      </c>
      <c r="K33" s="29">
        <v>426.0</v>
      </c>
      <c r="L33" s="29">
        <v>275.0</v>
      </c>
      <c r="M33" s="29">
        <v>2734.0</v>
      </c>
      <c r="N33" s="29">
        <v>3160.0</v>
      </c>
      <c r="O33" s="30">
        <v>8.0</v>
      </c>
      <c r="P33" s="30">
        <v>98.0</v>
      </c>
      <c r="Q33" s="30">
        <v>3.0</v>
      </c>
      <c r="R33" s="30">
        <v>17.0</v>
      </c>
      <c r="S33" s="30">
        <v>1.0</v>
      </c>
      <c r="T33" s="29">
        <v>3.0</v>
      </c>
      <c r="U33" s="29">
        <v>78.0</v>
      </c>
      <c r="V33" s="29">
        <v>73.0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82.0</v>
      </c>
      <c r="J34" s="29">
        <v>84.0</v>
      </c>
      <c r="K34" s="29">
        <v>508.0</v>
      </c>
      <c r="L34" s="29">
        <v>161.0</v>
      </c>
      <c r="M34" s="29">
        <v>2895.0</v>
      </c>
      <c r="N34" s="29">
        <v>3403.0</v>
      </c>
      <c r="O34" s="30">
        <v>19.0</v>
      </c>
      <c r="P34" s="30">
        <v>117.0</v>
      </c>
      <c r="Q34" s="30">
        <v>5.0</v>
      </c>
      <c r="R34" s="30">
        <v>22.0</v>
      </c>
      <c r="S34" s="30">
        <v>0.0</v>
      </c>
      <c r="T34" s="29">
        <v>3.0</v>
      </c>
      <c r="U34" s="29">
        <v>92.0</v>
      </c>
      <c r="V34" s="29">
        <v>81.0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69.0</v>
      </c>
      <c r="J35" s="29">
        <v>85.0</v>
      </c>
      <c r="K35" s="29">
        <v>577.0</v>
      </c>
      <c r="L35" s="29">
        <v>264.0</v>
      </c>
      <c r="M35" s="29">
        <v>3159.0</v>
      </c>
      <c r="N35" s="29">
        <v>3736.0</v>
      </c>
      <c r="O35" s="30">
        <v>11.0</v>
      </c>
      <c r="P35" s="30">
        <v>128.0</v>
      </c>
      <c r="Q35" s="30">
        <v>7.0</v>
      </c>
      <c r="R35" s="30">
        <v>29.0</v>
      </c>
      <c r="S35" s="30">
        <v>1.0</v>
      </c>
      <c r="T35" s="29">
        <v>4.0</v>
      </c>
      <c r="U35" s="29">
        <v>95.0</v>
      </c>
      <c r="V35" s="29">
        <v>88.0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103.0</v>
      </c>
      <c r="J36" s="29">
        <v>85.0</v>
      </c>
      <c r="K36" s="29">
        <v>680.0</v>
      </c>
      <c r="L36" s="29">
        <v>540.0</v>
      </c>
      <c r="M36" s="29">
        <v>3699.0</v>
      </c>
      <c r="N36" s="29">
        <v>4379.0</v>
      </c>
      <c r="O36" s="30">
        <v>18.0</v>
      </c>
      <c r="P36" s="30">
        <v>146.0</v>
      </c>
      <c r="Q36" s="30">
        <v>7.0</v>
      </c>
      <c r="R36" s="30">
        <v>36.0</v>
      </c>
      <c r="S36" s="30">
        <v>0.0</v>
      </c>
      <c r="T36" s="29">
        <v>4.0</v>
      </c>
      <c r="U36" s="29">
        <v>106.0</v>
      </c>
      <c r="V36" s="29">
        <v>98.0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65.0</v>
      </c>
      <c r="J37" s="29">
        <v>79.0</v>
      </c>
      <c r="K37" s="29">
        <v>745.0</v>
      </c>
      <c r="L37" s="29">
        <v>382.0</v>
      </c>
      <c r="M37" s="29">
        <v>4081.0</v>
      </c>
      <c r="N37" s="29">
        <v>4826.0</v>
      </c>
      <c r="O37" s="30">
        <v>22.0</v>
      </c>
      <c r="P37" s="30">
        <v>168.0</v>
      </c>
      <c r="Q37" s="30">
        <v>6.0</v>
      </c>
      <c r="R37" s="30">
        <v>42.0</v>
      </c>
      <c r="S37" s="30">
        <v>2.0</v>
      </c>
      <c r="T37" s="29">
        <v>6.0</v>
      </c>
      <c r="U37" s="29">
        <v>120.0</v>
      </c>
      <c r="V37" s="29">
        <v>107.0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89.0</v>
      </c>
      <c r="K38" s="29">
        <v>843.0</v>
      </c>
      <c r="L38" s="29">
        <v>617.0</v>
      </c>
      <c r="M38" s="29">
        <v>4698.0</v>
      </c>
      <c r="N38" s="29">
        <v>5541.0</v>
      </c>
      <c r="O38" s="30">
        <v>23.0</v>
      </c>
      <c r="P38" s="30">
        <v>191.0</v>
      </c>
      <c r="Q38" s="30">
        <v>7.0</v>
      </c>
      <c r="R38" s="30">
        <v>49.0</v>
      </c>
      <c r="S38" s="30">
        <v>0.0</v>
      </c>
      <c r="T38" s="29">
        <v>6.0</v>
      </c>
      <c r="U38" s="29">
        <v>136.0</v>
      </c>
      <c r="V38" s="29">
        <v>121.0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135.0</v>
      </c>
      <c r="J39" s="29">
        <v>99.0</v>
      </c>
      <c r="K39" s="29">
        <v>978.0</v>
      </c>
      <c r="L39" s="29">
        <v>548.0</v>
      </c>
      <c r="M39" s="29">
        <v>5246.0</v>
      </c>
      <c r="N39" s="29">
        <v>6224.0</v>
      </c>
      <c r="O39" s="30">
        <v>22.0</v>
      </c>
      <c r="P39" s="30">
        <v>213.0</v>
      </c>
      <c r="Q39" s="30">
        <v>4.0</v>
      </c>
      <c r="R39" s="30">
        <v>53.0</v>
      </c>
      <c r="S39" s="30">
        <v>5.0</v>
      </c>
      <c r="T39" s="29">
        <v>11.0</v>
      </c>
      <c r="U39" s="29">
        <v>149.0</v>
      </c>
      <c r="V39" s="29">
        <v>135.0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183.0</v>
      </c>
      <c r="J40" s="29">
        <v>139.0</v>
      </c>
      <c r="K40" s="29">
        <v>1161.0</v>
      </c>
      <c r="L40" s="29">
        <v>919.0</v>
      </c>
      <c r="M40" s="29">
        <v>6165.0</v>
      </c>
      <c r="N40" s="29">
        <v>7326.0</v>
      </c>
      <c r="O40" s="30">
        <v>20.0</v>
      </c>
      <c r="P40" s="30">
        <v>233.0</v>
      </c>
      <c r="Q40" s="30">
        <v>9.0</v>
      </c>
      <c r="R40" s="30">
        <v>62.0</v>
      </c>
      <c r="S40" s="30">
        <v>1.0</v>
      </c>
      <c r="T40" s="29">
        <v>12.0</v>
      </c>
      <c r="U40" s="29">
        <v>159.0</v>
      </c>
      <c r="V40" s="29">
        <v>148.0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216.0</v>
      </c>
      <c r="J41" s="29">
        <v>178.0</v>
      </c>
      <c r="K41" s="29">
        <v>1377.0</v>
      </c>
      <c r="L41" s="29">
        <v>1387.0</v>
      </c>
      <c r="M41" s="29">
        <v>7552.0</v>
      </c>
      <c r="N41" s="29">
        <v>8929.0</v>
      </c>
      <c r="O41" s="30">
        <v>26.0</v>
      </c>
      <c r="P41" s="30">
        <v>259.0</v>
      </c>
      <c r="Q41" s="30">
        <v>7.0</v>
      </c>
      <c r="R41" s="30">
        <v>69.0</v>
      </c>
      <c r="S41" s="30">
        <v>0.0</v>
      </c>
      <c r="T41" s="29">
        <v>12.0</v>
      </c>
      <c r="U41" s="29">
        <v>178.0</v>
      </c>
      <c r="V41" s="29">
        <v>162.0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220.0</v>
      </c>
      <c r="K42" s="29">
        <v>1637.0</v>
      </c>
      <c r="L42" s="29">
        <v>1296.0</v>
      </c>
      <c r="M42" s="29">
        <v>8848.0</v>
      </c>
      <c r="N42" s="29">
        <v>10485.0</v>
      </c>
      <c r="O42" s="30">
        <v>19.0</v>
      </c>
      <c r="P42" s="30">
        <v>278.0</v>
      </c>
      <c r="Q42" s="30">
        <v>3.0</v>
      </c>
      <c r="R42" s="30">
        <v>72.0</v>
      </c>
      <c r="S42" s="30">
        <v>2.0</v>
      </c>
      <c r="T42" s="29">
        <v>14.0</v>
      </c>
      <c r="U42" s="29">
        <v>192.0</v>
      </c>
      <c r="V42" s="29">
        <v>176.0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274.0</v>
      </c>
      <c r="J43" s="29">
        <v>250.0</v>
      </c>
      <c r="K43" s="29">
        <v>1911.0</v>
      </c>
      <c r="L43" s="29">
        <v>1369.0</v>
      </c>
      <c r="M43" s="29">
        <v>10217.0</v>
      </c>
      <c r="N43" s="29">
        <v>12128.0</v>
      </c>
      <c r="O43" s="30">
        <v>18.0</v>
      </c>
      <c r="P43" s="30">
        <v>296.0</v>
      </c>
      <c r="Q43" s="30">
        <v>9.0</v>
      </c>
      <c r="R43" s="30">
        <v>81.0</v>
      </c>
      <c r="S43" s="30">
        <v>5.0</v>
      </c>
      <c r="T43" s="29">
        <v>19.0</v>
      </c>
      <c r="U43" s="29">
        <v>196.0</v>
      </c>
      <c r="V43" s="29">
        <v>189.0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285.0</v>
      </c>
      <c r="J44" s="29">
        <v>273.0</v>
      </c>
      <c r="K44" s="29">
        <v>2196.0</v>
      </c>
      <c r="L44" s="29">
        <v>1189.0</v>
      </c>
      <c r="M44" s="29">
        <v>11406.0</v>
      </c>
      <c r="N44" s="29">
        <v>13602.0</v>
      </c>
      <c r="O44" s="30">
        <v>32.0</v>
      </c>
      <c r="P44" s="30">
        <v>328.0</v>
      </c>
      <c r="Q44" s="30">
        <v>8.0</v>
      </c>
      <c r="R44" s="30">
        <v>89.0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395.0</v>
      </c>
      <c r="J45" s="29">
        <v>318.0</v>
      </c>
      <c r="K45" s="29">
        <v>2591.0</v>
      </c>
      <c r="L45" s="29">
        <v>2057.0</v>
      </c>
      <c r="M45" s="29">
        <v>13463.0</v>
      </c>
      <c r="N45" s="29">
        <v>16054.0</v>
      </c>
      <c r="O45" s="30">
        <v>29.0</v>
      </c>
      <c r="P45" s="30">
        <v>357.0</v>
      </c>
      <c r="Q45" s="30">
        <v>17.0</v>
      </c>
      <c r="R45" s="30">
        <v>106.0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279.0</v>
      </c>
      <c r="J46" s="29">
        <v>320.0</v>
      </c>
      <c r="K46" s="29">
        <v>2870.0</v>
      </c>
      <c r="L46" s="29">
        <v>1505.0</v>
      </c>
      <c r="M46" s="29">
        <v>14968.0</v>
      </c>
      <c r="N46" s="29">
        <v>17838.0</v>
      </c>
      <c r="O46" s="30">
        <v>29.0</v>
      </c>
      <c r="P46" s="30">
        <v>386.0</v>
      </c>
      <c r="Q46" s="30">
        <v>11.0</v>
      </c>
      <c r="R46" s="30">
        <v>117.0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290.0</v>
      </c>
      <c r="J47" s="29">
        <v>321.0</v>
      </c>
      <c r="K47" s="29">
        <v>3160.0</v>
      </c>
      <c r="L47" s="29">
        <v>1227.0</v>
      </c>
      <c r="M47" s="29">
        <v>16195.0</v>
      </c>
      <c r="N47" s="29">
        <v>19355.0</v>
      </c>
      <c r="O47" s="30">
        <v>35.0</v>
      </c>
      <c r="P47" s="30">
        <v>421.0</v>
      </c>
      <c r="Q47" s="30">
        <v>12.0</v>
      </c>
      <c r="R47" s="30">
        <v>129.0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184.0</v>
      </c>
      <c r="J48" s="29">
        <v>251.0</v>
      </c>
      <c r="K48" s="29">
        <v>3344.0</v>
      </c>
      <c r="L48" s="29">
        <v>735.0</v>
      </c>
      <c r="M48" s="29">
        <v>16930.0</v>
      </c>
      <c r="N48" s="29">
        <v>20274.0</v>
      </c>
      <c r="O48" s="30">
        <v>35.0</v>
      </c>
      <c r="P48" s="30">
        <v>456.0</v>
      </c>
      <c r="Q48" s="30">
        <v>13.0</v>
      </c>
      <c r="R48" s="30">
        <v>142.0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267.0</v>
      </c>
      <c r="J49" s="29">
        <v>247.0</v>
      </c>
      <c r="K49" s="29">
        <v>3611.0</v>
      </c>
      <c r="L49" s="29">
        <v>1306.0</v>
      </c>
      <c r="M49" s="29">
        <v>18236.0</v>
      </c>
      <c r="N49" s="29">
        <v>21847.0</v>
      </c>
      <c r="O49" s="30">
        <v>27.0</v>
      </c>
      <c r="P49" s="30">
        <v>483.0</v>
      </c>
      <c r="Q49" s="30">
        <v>18.0</v>
      </c>
      <c r="R49" s="30">
        <v>160.0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317.0</v>
      </c>
      <c r="J50" s="29">
        <v>256.0</v>
      </c>
      <c r="K50" s="29">
        <v>3928.0</v>
      </c>
      <c r="L50" s="29">
        <v>1314.0</v>
      </c>
      <c r="M50" s="29">
        <v>19550.0</v>
      </c>
      <c r="N50" s="29">
        <v>23478.0</v>
      </c>
      <c r="O50" s="30">
        <v>30.0</v>
      </c>
      <c r="P50" s="30">
        <v>513.0</v>
      </c>
      <c r="Q50" s="30">
        <v>19.0</v>
      </c>
      <c r="R50" s="30">
        <v>179.0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380.0</v>
      </c>
      <c r="J51" s="29">
        <v>321.0</v>
      </c>
      <c r="K51" s="29">
        <v>4308.0</v>
      </c>
      <c r="L51" s="29">
        <v>1788.0</v>
      </c>
      <c r="M51" s="29">
        <v>21338.0</v>
      </c>
      <c r="N51" s="29">
        <v>25646.0</v>
      </c>
      <c r="O51" s="30">
        <v>34.0</v>
      </c>
      <c r="P51" s="30">
        <v>547.0</v>
      </c>
      <c r="Q51" s="30">
        <v>23.0</v>
      </c>
      <c r="R51" s="30">
        <v>202.0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292.0</v>
      </c>
      <c r="J52" s="29">
        <v>330.0</v>
      </c>
      <c r="K52" s="29">
        <v>4600.0</v>
      </c>
      <c r="L52" s="29">
        <v>1237.0</v>
      </c>
      <c r="M52" s="29">
        <v>22575.0</v>
      </c>
      <c r="N52" s="29">
        <v>27175.0</v>
      </c>
      <c r="O52" s="30">
        <v>31.0</v>
      </c>
      <c r="P52" s="30">
        <v>578.0</v>
      </c>
      <c r="Q52" s="30">
        <v>20.0</v>
      </c>
      <c r="R52" s="30">
        <v>222.0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284.0</v>
      </c>
      <c r="J53" s="29">
        <v>319.0</v>
      </c>
      <c r="K53" s="29">
        <v>4884.0</v>
      </c>
      <c r="L53" s="29">
        <v>1154.0</v>
      </c>
      <c r="M53" s="29">
        <v>23729.0</v>
      </c>
      <c r="N53" s="29">
        <v>28613.0</v>
      </c>
      <c r="O53" s="30">
        <v>26.0</v>
      </c>
      <c r="P53" s="30">
        <v>604.0</v>
      </c>
      <c r="Q53" s="30">
        <v>18.0</v>
      </c>
      <c r="R53" s="30">
        <v>240.0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342.0</v>
      </c>
      <c r="J54" s="29">
        <v>306.0</v>
      </c>
      <c r="K54" s="29">
        <v>5226.0</v>
      </c>
      <c r="L54" s="29">
        <v>1516.0</v>
      </c>
      <c r="M54" s="29">
        <v>25245.0</v>
      </c>
      <c r="N54" s="29">
        <v>30471.0</v>
      </c>
      <c r="O54" s="30">
        <v>23.0</v>
      </c>
      <c r="P54" s="30">
        <v>627.0</v>
      </c>
      <c r="Q54" s="30">
        <v>26.0</v>
      </c>
      <c r="R54" s="30">
        <v>266.0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334.0</v>
      </c>
      <c r="K55" s="29">
        <v>5601.0</v>
      </c>
      <c r="L55" s="29">
        <v>1336.0</v>
      </c>
      <c r="M55" s="29">
        <v>26581.0</v>
      </c>
      <c r="N55" s="29">
        <v>32182.0</v>
      </c>
      <c r="O55" s="30">
        <v>45.0</v>
      </c>
      <c r="P55" s="30">
        <v>672.0</v>
      </c>
      <c r="Q55" s="30">
        <v>28.0</v>
      </c>
      <c r="R55" s="30">
        <v>294.0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382.0</v>
      </c>
      <c r="J56" s="29">
        <v>366.0</v>
      </c>
      <c r="K56" s="29">
        <v>5983.0</v>
      </c>
      <c r="L56" s="29">
        <v>1466.0</v>
      </c>
      <c r="M56" s="29">
        <v>28047.0</v>
      </c>
      <c r="N56" s="29">
        <v>34030.0</v>
      </c>
      <c r="O56" s="30">
        <v>44.0</v>
      </c>
      <c r="P56" s="30">
        <v>716.0</v>
      </c>
      <c r="Q56" s="30">
        <v>31.0</v>
      </c>
      <c r="R56" s="30">
        <v>325.0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390.0</v>
      </c>
      <c r="J57" s="29">
        <v>382.0</v>
      </c>
      <c r="K57" s="29">
        <v>6373.0</v>
      </c>
      <c r="L57" s="29">
        <v>1611.0</v>
      </c>
      <c r="M57" s="29">
        <v>29658.0</v>
      </c>
      <c r="N57" s="29">
        <v>36031.0</v>
      </c>
      <c r="O57" s="30">
        <v>40.0</v>
      </c>
      <c r="P57" s="30">
        <v>756.0</v>
      </c>
      <c r="Q57" s="30">
        <v>31.0</v>
      </c>
      <c r="R57" s="30">
        <v>356.0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425.0</v>
      </c>
      <c r="J58" s="29">
        <v>399.0</v>
      </c>
      <c r="K58" s="29">
        <v>6798.0</v>
      </c>
      <c r="L58" s="29">
        <v>1580.0</v>
      </c>
      <c r="M58" s="29">
        <v>31238.0</v>
      </c>
      <c r="N58" s="29">
        <v>38036.0</v>
      </c>
      <c r="O58" s="30">
        <v>31.0</v>
      </c>
      <c r="P58" s="30">
        <v>787.0</v>
      </c>
      <c r="Q58" s="30">
        <v>27.0</v>
      </c>
      <c r="R58" s="30">
        <v>383.0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408.0</v>
      </c>
      <c r="J59" s="29">
        <v>408.0</v>
      </c>
      <c r="K59" s="29">
        <v>7206.0</v>
      </c>
      <c r="L59" s="29">
        <v>2091.0</v>
      </c>
      <c r="M59" s="29">
        <v>33329.0</v>
      </c>
      <c r="N59" s="29">
        <v>40535.0</v>
      </c>
      <c r="O59" s="30">
        <v>34.0</v>
      </c>
      <c r="P59" s="30">
        <v>821.0</v>
      </c>
      <c r="Q59" s="30">
        <v>27.0</v>
      </c>
      <c r="R59" s="30">
        <v>410.0</v>
      </c>
      <c r="S59" s="30">
        <v>4.0</v>
      </c>
      <c r="T59" s="29">
        <v>85.0</v>
      </c>
      <c r="U59" s="29">
        <v>326.0</v>
      </c>
      <c r="V59" s="29">
        <v>324.0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303.0</v>
      </c>
      <c r="J60" s="29">
        <v>379.0</v>
      </c>
      <c r="K60" s="29">
        <v>7509.0</v>
      </c>
      <c r="L60" s="29">
        <v>1458.0</v>
      </c>
      <c r="M60" s="29">
        <v>34787.0</v>
      </c>
      <c r="N60" s="29">
        <v>42296.0</v>
      </c>
      <c r="O60" s="30">
        <v>34.0</v>
      </c>
      <c r="P60" s="30">
        <v>855.0</v>
      </c>
      <c r="Q60" s="30">
        <v>17.0</v>
      </c>
      <c r="R60" s="30">
        <v>427.0</v>
      </c>
      <c r="S60" s="30">
        <v>5.0</v>
      </c>
      <c r="T60" s="29">
        <v>90.0</v>
      </c>
      <c r="U60" s="29">
        <v>338.0</v>
      </c>
      <c r="V60" s="29">
        <v>329.0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286.0</v>
      </c>
      <c r="J61" s="29">
        <v>332.0</v>
      </c>
      <c r="K61" s="29">
        <v>7795.0</v>
      </c>
      <c r="L61" s="29">
        <v>1618.0</v>
      </c>
      <c r="M61" s="29">
        <v>36405.0</v>
      </c>
      <c r="N61" s="29">
        <v>44200.0</v>
      </c>
      <c r="O61" s="30">
        <v>33.0</v>
      </c>
      <c r="P61" s="30">
        <v>888.0</v>
      </c>
      <c r="Q61" s="30">
        <v>15.0</v>
      </c>
      <c r="R61" s="30">
        <v>442.0</v>
      </c>
      <c r="S61" s="30">
        <v>3.0</v>
      </c>
      <c r="T61" s="29">
        <v>93.0</v>
      </c>
      <c r="U61" s="29">
        <v>353.0</v>
      </c>
      <c r="V61" s="29">
        <v>339.0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212.0</v>
      </c>
      <c r="J62" s="29">
        <v>267.0</v>
      </c>
      <c r="K62" s="29">
        <v>8007.0</v>
      </c>
      <c r="L62" s="29">
        <v>983.0</v>
      </c>
      <c r="M62" s="29">
        <v>37388.0</v>
      </c>
      <c r="N62" s="29">
        <v>45395.0</v>
      </c>
      <c r="O62" s="30">
        <v>27.0</v>
      </c>
      <c r="P62" s="30">
        <v>915.0</v>
      </c>
      <c r="Q62" s="30">
        <v>20.0</v>
      </c>
      <c r="R62" s="30">
        <v>462.0</v>
      </c>
      <c r="S62" s="30">
        <v>4.0</v>
      </c>
      <c r="T62" s="29">
        <v>97.0</v>
      </c>
      <c r="U62" s="29">
        <v>356.0</v>
      </c>
      <c r="V62" s="29">
        <v>349.0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344.0</v>
      </c>
      <c r="J63" s="29">
        <v>281.0</v>
      </c>
      <c r="K63" s="29">
        <v>8351.0</v>
      </c>
      <c r="L63" s="29">
        <v>1385.0</v>
      </c>
      <c r="M63" s="29">
        <v>38773.0</v>
      </c>
      <c r="N63" s="29">
        <v>47124.0</v>
      </c>
      <c r="O63" s="30">
        <v>43.0</v>
      </c>
      <c r="P63" s="30">
        <v>958.0</v>
      </c>
      <c r="Q63" s="30">
        <v>22.0</v>
      </c>
      <c r="R63" s="30">
        <v>484.0</v>
      </c>
      <c r="S63" s="30">
        <v>3.0</v>
      </c>
      <c r="T63" s="29">
        <v>100.0</v>
      </c>
      <c r="U63" s="29">
        <v>374.0</v>
      </c>
      <c r="V63" s="29">
        <v>361.0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358.0</v>
      </c>
      <c r="J64" s="29">
        <v>305.0</v>
      </c>
      <c r="K64" s="29">
        <v>8709.0</v>
      </c>
      <c r="L64" s="29">
        <v>2008.0</v>
      </c>
      <c r="M64" s="29">
        <v>40781.0</v>
      </c>
      <c r="N64" s="29">
        <v>49490.0</v>
      </c>
      <c r="O64" s="30">
        <v>35.0</v>
      </c>
      <c r="P64" s="30">
        <v>993.0</v>
      </c>
      <c r="Q64" s="30">
        <v>38.0</v>
      </c>
      <c r="R64" s="30">
        <v>522.0</v>
      </c>
      <c r="S64" s="30">
        <v>11.0</v>
      </c>
      <c r="T64" s="29">
        <v>111.0</v>
      </c>
      <c r="U64" s="29">
        <v>360.0</v>
      </c>
      <c r="V64" s="29">
        <v>363.0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351.0</v>
      </c>
      <c r="K65" s="29">
        <v>9059.0</v>
      </c>
      <c r="L65" s="29">
        <v>1567.0</v>
      </c>
      <c r="M65" s="29">
        <v>42348.0</v>
      </c>
      <c r="N65" s="29">
        <v>51407.0</v>
      </c>
      <c r="O65" s="30">
        <v>30.0</v>
      </c>
      <c r="P65" s="30">
        <v>1023.0</v>
      </c>
      <c r="Q65" s="30">
        <v>34.0</v>
      </c>
      <c r="R65" s="30">
        <v>556.0</v>
      </c>
      <c r="S65" s="30">
        <v>6.0</v>
      </c>
      <c r="T65" s="29">
        <v>117.0</v>
      </c>
      <c r="U65" s="29">
        <v>350.0</v>
      </c>
      <c r="V65" s="29">
        <v>361.0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290.0</v>
      </c>
      <c r="J66" s="29">
        <v>333.0</v>
      </c>
      <c r="K66" s="29">
        <v>9349.0</v>
      </c>
      <c r="L66" s="29">
        <v>1779.0</v>
      </c>
      <c r="M66" s="29">
        <v>44127.0</v>
      </c>
      <c r="N66" s="29">
        <v>53476.0</v>
      </c>
      <c r="O66" s="30">
        <v>49.0</v>
      </c>
      <c r="P66" s="30">
        <v>1072.0</v>
      </c>
      <c r="Q66" s="30">
        <v>35.0</v>
      </c>
      <c r="R66" s="30">
        <v>591.0</v>
      </c>
      <c r="S66" s="30">
        <v>3.0</v>
      </c>
      <c r="T66" s="29">
        <v>120.0</v>
      </c>
      <c r="U66" s="29">
        <v>361.0</v>
      </c>
      <c r="V66" s="29">
        <v>357.0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278.0</v>
      </c>
      <c r="K67" s="29">
        <v>9543.0</v>
      </c>
      <c r="L67" s="29">
        <v>1092.0</v>
      </c>
      <c r="M67" s="29">
        <v>45219.0</v>
      </c>
      <c r="N67" s="29">
        <v>54762.0</v>
      </c>
      <c r="O67" s="30">
        <v>34.0</v>
      </c>
      <c r="P67" s="30">
        <v>1106.0</v>
      </c>
      <c r="Q67" s="30">
        <v>38.0</v>
      </c>
      <c r="R67" s="30">
        <v>629.0</v>
      </c>
      <c r="S67" s="30">
        <v>4.0</v>
      </c>
      <c r="T67" s="29">
        <v>124.0</v>
      </c>
      <c r="U67" s="29">
        <v>353.0</v>
      </c>
      <c r="V67" s="29">
        <v>355.0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173.0</v>
      </c>
      <c r="J68" s="29">
        <v>219.0</v>
      </c>
      <c r="K68" s="29">
        <v>9716.0</v>
      </c>
      <c r="L68" s="29">
        <v>1299.0</v>
      </c>
      <c r="M68" s="29">
        <v>46518.0</v>
      </c>
      <c r="N68" s="29">
        <v>56234.0</v>
      </c>
      <c r="O68" s="30">
        <v>30.0</v>
      </c>
      <c r="P68" s="30">
        <v>1136.0</v>
      </c>
      <c r="Q68" s="30">
        <v>24.0</v>
      </c>
      <c r="R68" s="30">
        <v>653.0</v>
      </c>
      <c r="S68" s="30">
        <v>8.0</v>
      </c>
      <c r="T68" s="29">
        <v>132.0</v>
      </c>
      <c r="U68" s="29">
        <v>351.0</v>
      </c>
      <c r="V68" s="29">
        <v>355.0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275.0</v>
      </c>
      <c r="J69" s="29">
        <v>214.0</v>
      </c>
      <c r="K69" s="29">
        <v>9991.0</v>
      </c>
      <c r="L69" s="29">
        <v>1361.0</v>
      </c>
      <c r="M69" s="29">
        <v>47879.0</v>
      </c>
      <c r="N69" s="29">
        <v>57870.0</v>
      </c>
      <c r="O69" s="30">
        <v>29.0</v>
      </c>
      <c r="P69" s="30">
        <v>1165.0</v>
      </c>
      <c r="Q69" s="30">
        <v>30.0</v>
      </c>
      <c r="R69" s="30">
        <v>683.0</v>
      </c>
      <c r="S69" s="30">
        <v>6.0</v>
      </c>
      <c r="T69" s="29">
        <v>138.0</v>
      </c>
      <c r="U69" s="29">
        <v>344.0</v>
      </c>
      <c r="V69" s="29">
        <v>349.0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303.0</v>
      </c>
      <c r="J70" s="29">
        <v>250.0</v>
      </c>
      <c r="K70" s="29">
        <v>10294.0</v>
      </c>
      <c r="L70" s="29">
        <v>1707.0</v>
      </c>
      <c r="M70" s="29">
        <v>49586.0</v>
      </c>
      <c r="N70" s="29">
        <v>59880.0</v>
      </c>
      <c r="O70" s="30">
        <v>24.0</v>
      </c>
      <c r="P70" s="30">
        <v>1189.0</v>
      </c>
      <c r="Q70" s="30">
        <v>27.0</v>
      </c>
      <c r="R70" s="30">
        <v>710.0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323.0</v>
      </c>
      <c r="J71" s="29">
        <v>300.0</v>
      </c>
      <c r="K71" s="29">
        <v>10617.0</v>
      </c>
      <c r="L71" s="29">
        <v>1635.0</v>
      </c>
      <c r="M71" s="29">
        <v>51221.0</v>
      </c>
      <c r="N71" s="29">
        <v>61838.0</v>
      </c>
      <c r="O71" s="30">
        <v>26.0</v>
      </c>
      <c r="P71" s="30">
        <v>1215.0</v>
      </c>
      <c r="Q71" s="30">
        <v>42.0</v>
      </c>
      <c r="R71" s="30">
        <v>752.0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270.0</v>
      </c>
      <c r="J72" s="29">
        <v>299.0</v>
      </c>
      <c r="K72" s="29">
        <v>10887.0</v>
      </c>
      <c r="L72" s="29">
        <v>1659.0</v>
      </c>
      <c r="M72" s="29">
        <v>52880.0</v>
      </c>
      <c r="N72" s="29">
        <v>63767.0</v>
      </c>
      <c r="O72" s="30">
        <v>31.0</v>
      </c>
      <c r="P72" s="30">
        <v>1246.0</v>
      </c>
      <c r="Q72" s="30">
        <v>39.0</v>
      </c>
      <c r="R72" s="30">
        <v>791.0</v>
      </c>
      <c r="S72" s="30">
        <v>6.0</v>
      </c>
      <c r="T72" s="29">
        <v>159.0</v>
      </c>
      <c r="U72" s="29">
        <v>296.0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274.0</v>
      </c>
      <c r="K73" s="29">
        <v>11116.0</v>
      </c>
      <c r="L73" s="29">
        <v>1444.0</v>
      </c>
      <c r="M73" s="29">
        <v>54324.0</v>
      </c>
      <c r="N73" s="29">
        <v>65440.0</v>
      </c>
      <c r="O73" s="30">
        <v>29.0</v>
      </c>
      <c r="P73" s="30">
        <v>1275.0</v>
      </c>
      <c r="Q73" s="30">
        <v>26.0</v>
      </c>
      <c r="R73" s="30">
        <v>817.0</v>
      </c>
      <c r="S73" s="30">
        <v>7.0</v>
      </c>
      <c r="T73" s="29">
        <v>166.0</v>
      </c>
      <c r="U73" s="29">
        <v>292.0</v>
      </c>
      <c r="V73" s="29">
        <v>299.0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285.0</v>
      </c>
      <c r="J74" s="29">
        <v>261.0</v>
      </c>
      <c r="K74" s="29">
        <v>11401.0</v>
      </c>
      <c r="L74" s="29">
        <v>1948.0</v>
      </c>
      <c r="M74" s="29">
        <v>56272.0</v>
      </c>
      <c r="N74" s="29">
        <v>67673.0</v>
      </c>
      <c r="O74" s="30">
        <v>19.0</v>
      </c>
      <c r="P74" s="30">
        <v>1294.0</v>
      </c>
      <c r="Q74" s="30">
        <v>18.0</v>
      </c>
      <c r="R74" s="30">
        <v>835.0</v>
      </c>
      <c r="S74" s="30">
        <v>4.0</v>
      </c>
      <c r="T74" s="29">
        <v>170.0</v>
      </c>
      <c r="U74" s="29">
        <v>289.0</v>
      </c>
      <c r="V74" s="29">
        <v>292.0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189.0</v>
      </c>
      <c r="J75" s="29">
        <v>234.0</v>
      </c>
      <c r="K75" s="29">
        <v>11590.0</v>
      </c>
      <c r="L75" s="29">
        <v>1315.0</v>
      </c>
      <c r="M75" s="29">
        <v>57587.0</v>
      </c>
      <c r="N75" s="29">
        <v>69177.0</v>
      </c>
      <c r="O75" s="30">
        <v>18.0</v>
      </c>
      <c r="P75" s="30">
        <v>1312.0</v>
      </c>
      <c r="Q75" s="30">
        <v>21.0</v>
      </c>
      <c r="R75" s="30">
        <v>856.0</v>
      </c>
      <c r="S75" s="30">
        <v>6.0</v>
      </c>
      <c r="T75" s="29">
        <v>176.0</v>
      </c>
      <c r="U75" s="29">
        <v>280.0</v>
      </c>
      <c r="V75" s="29">
        <v>287.0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175.0</v>
      </c>
      <c r="J76" s="29">
        <v>216.0</v>
      </c>
      <c r="K76" s="29">
        <v>11765.0</v>
      </c>
      <c r="L76" s="29">
        <v>1149.0</v>
      </c>
      <c r="M76" s="29">
        <v>58736.0</v>
      </c>
      <c r="N76" s="29">
        <v>70501.0</v>
      </c>
      <c r="O76" s="30">
        <v>30.0</v>
      </c>
      <c r="P76" s="30">
        <v>1342.0</v>
      </c>
      <c r="Q76" s="30">
        <v>15.0</v>
      </c>
      <c r="R76" s="30">
        <v>871.0</v>
      </c>
      <c r="S76" s="30">
        <v>5.0</v>
      </c>
      <c r="T76" s="29">
        <v>181.0</v>
      </c>
      <c r="U76" s="29">
        <v>290.0</v>
      </c>
      <c r="V76" s="29">
        <v>286.0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221.0</v>
      </c>
      <c r="J77" s="29">
        <v>195.0</v>
      </c>
      <c r="K77" s="29">
        <v>11986.0</v>
      </c>
      <c r="L77" s="29">
        <v>1414.0</v>
      </c>
      <c r="M77" s="29">
        <v>60150.0</v>
      </c>
      <c r="N77" s="29">
        <v>72136.0</v>
      </c>
      <c r="O77" s="30">
        <v>23.0</v>
      </c>
      <c r="P77" s="30">
        <v>1365.0</v>
      </c>
      <c r="Q77" s="30">
        <v>18.0</v>
      </c>
      <c r="R77" s="30">
        <v>889.0</v>
      </c>
      <c r="S77" s="30">
        <v>4.0</v>
      </c>
      <c r="T77" s="29">
        <v>185.0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196.0</v>
      </c>
      <c r="J78" s="29">
        <v>197.0</v>
      </c>
      <c r="K78" s="29">
        <v>12182.0</v>
      </c>
      <c r="L78" s="29">
        <v>1705.0</v>
      </c>
      <c r="M78" s="29">
        <v>61855.0</v>
      </c>
      <c r="N78" s="29">
        <v>74037.0</v>
      </c>
      <c r="O78" s="30">
        <v>23.0</v>
      </c>
      <c r="P78" s="30">
        <v>1388.0</v>
      </c>
      <c r="Q78" s="30">
        <v>25.0</v>
      </c>
      <c r="R78" s="30">
        <v>914.0</v>
      </c>
      <c r="S78" s="30">
        <v>1.0</v>
      </c>
      <c r="T78" s="29">
        <v>186.0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228.0</v>
      </c>
      <c r="J79" s="29">
        <v>215.0</v>
      </c>
      <c r="K79" s="29">
        <v>12410.0</v>
      </c>
      <c r="L79" s="29">
        <v>1731.0</v>
      </c>
      <c r="M79" s="29">
        <v>63586.0</v>
      </c>
      <c r="N79" s="29">
        <v>75996.0</v>
      </c>
      <c r="O79" s="30">
        <v>18.0</v>
      </c>
      <c r="P79" s="30">
        <v>1406.0</v>
      </c>
      <c r="Q79" s="30">
        <v>26.0</v>
      </c>
      <c r="R79" s="30">
        <v>940.0</v>
      </c>
      <c r="S79" s="30">
        <v>3.0</v>
      </c>
      <c r="T79" s="29">
        <v>189.0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236.0</v>
      </c>
      <c r="J80" s="29">
        <v>220.0</v>
      </c>
      <c r="K80" s="29">
        <v>12646.0</v>
      </c>
      <c r="L80" s="29">
        <v>1580.0</v>
      </c>
      <c r="M80" s="29">
        <v>65166.0</v>
      </c>
      <c r="N80" s="29">
        <v>77812.0</v>
      </c>
      <c r="O80" s="30">
        <v>24.0</v>
      </c>
      <c r="P80" s="30">
        <v>1430.0</v>
      </c>
      <c r="Q80" s="30">
        <v>40.0</v>
      </c>
      <c r="R80" s="30">
        <v>980.0</v>
      </c>
      <c r="S80" s="30">
        <v>5.0</v>
      </c>
      <c r="T80" s="29">
        <v>194.0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245.0</v>
      </c>
      <c r="J81" s="29">
        <v>236.0</v>
      </c>
      <c r="K81" s="29">
        <v>12891.0</v>
      </c>
      <c r="L81" s="29">
        <v>1687.0</v>
      </c>
      <c r="M81" s="29">
        <v>66853.0</v>
      </c>
      <c r="N81" s="29">
        <v>79744.0</v>
      </c>
      <c r="O81" s="30">
        <v>25.0</v>
      </c>
      <c r="P81" s="30">
        <v>1455.0</v>
      </c>
      <c r="Q81" s="30">
        <v>15.0</v>
      </c>
      <c r="R81" s="30">
        <v>995.0</v>
      </c>
      <c r="S81" s="30">
        <v>5.0</v>
      </c>
      <c r="T81" s="29">
        <v>199.0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122.0</v>
      </c>
      <c r="J82" s="29">
        <v>201.0</v>
      </c>
      <c r="K82" s="29">
        <v>13013.0</v>
      </c>
      <c r="L82" s="29">
        <v>1347.0</v>
      </c>
      <c r="M82" s="29">
        <v>68200.0</v>
      </c>
      <c r="N82" s="29">
        <v>81213.0</v>
      </c>
      <c r="O82" s="30">
        <v>17.0</v>
      </c>
      <c r="P82" s="30">
        <v>1472.0</v>
      </c>
      <c r="Q82" s="30">
        <v>9.0</v>
      </c>
      <c r="R82" s="30">
        <v>1004.0</v>
      </c>
      <c r="S82" s="30">
        <v>5.0</v>
      </c>
      <c r="T82" s="29">
        <v>204.0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138.0</v>
      </c>
      <c r="J83" s="29">
        <v>168.0</v>
      </c>
      <c r="K83" s="29">
        <v>13151.0</v>
      </c>
      <c r="L83" s="29">
        <v>1229.0</v>
      </c>
      <c r="M83" s="29">
        <v>69429.0</v>
      </c>
      <c r="N83" s="29">
        <v>82580.0</v>
      </c>
      <c r="O83" s="30">
        <v>18.0</v>
      </c>
      <c r="P83" s="30">
        <v>1490.0</v>
      </c>
      <c r="Q83" s="30">
        <v>15.0</v>
      </c>
      <c r="R83" s="30">
        <v>1019.0</v>
      </c>
      <c r="S83" s="30">
        <v>5.0</v>
      </c>
      <c r="T83" s="29">
        <v>209.0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208.0</v>
      </c>
      <c r="J84" s="29">
        <v>156.0</v>
      </c>
      <c r="K84" s="29">
        <v>13359.0</v>
      </c>
      <c r="L84" s="29">
        <v>1721.0</v>
      </c>
      <c r="M84" s="29">
        <v>71150.0</v>
      </c>
      <c r="N84" s="29">
        <v>84509.0</v>
      </c>
      <c r="O84" s="30">
        <v>23.0</v>
      </c>
      <c r="P84" s="30">
        <v>1513.0</v>
      </c>
      <c r="Q84" s="30">
        <v>33.0</v>
      </c>
      <c r="R84" s="30">
        <v>1052.0</v>
      </c>
      <c r="S84" s="30">
        <v>5.0</v>
      </c>
      <c r="T84" s="29">
        <v>214.0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182.0</v>
      </c>
      <c r="J85" s="29">
        <v>176.0</v>
      </c>
      <c r="K85" s="29">
        <v>13541.0</v>
      </c>
      <c r="L85" s="29">
        <v>1360.0</v>
      </c>
      <c r="M85" s="29">
        <v>72510.0</v>
      </c>
      <c r="N85" s="29">
        <v>86051.0</v>
      </c>
      <c r="O85" s="30">
        <v>19.0</v>
      </c>
      <c r="P85" s="30">
        <v>1532.0</v>
      </c>
      <c r="Q85" s="30">
        <v>23.0</v>
      </c>
      <c r="R85" s="30">
        <v>1075.0</v>
      </c>
      <c r="S85" s="30">
        <v>7.0</v>
      </c>
      <c r="T85" s="29">
        <v>221.0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167.0</v>
      </c>
      <c r="J86" s="29">
        <v>186.0</v>
      </c>
      <c r="K86" s="29">
        <v>13708.0</v>
      </c>
      <c r="L86" s="29">
        <v>1727.0</v>
      </c>
      <c r="M86" s="29">
        <v>74237.0</v>
      </c>
      <c r="N86" s="29">
        <v>87945.0</v>
      </c>
      <c r="O86" s="30">
        <v>25.0</v>
      </c>
      <c r="P86" s="30">
        <v>1557.0</v>
      </c>
      <c r="Q86" s="30">
        <v>15.0</v>
      </c>
      <c r="R86" s="30">
        <v>1090.0</v>
      </c>
      <c r="S86" s="30">
        <v>3.0</v>
      </c>
      <c r="T86" s="29">
        <v>224.0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203.0</v>
      </c>
      <c r="J87" s="29">
        <v>184.0</v>
      </c>
      <c r="K87" s="29">
        <v>13911.0</v>
      </c>
      <c r="L87" s="29">
        <v>1416.0</v>
      </c>
      <c r="M87" s="29">
        <v>75653.0</v>
      </c>
      <c r="N87" s="29">
        <v>89564.0</v>
      </c>
      <c r="O87" s="30">
        <v>20.0</v>
      </c>
      <c r="P87" s="30">
        <v>1577.0</v>
      </c>
      <c r="Q87" s="30">
        <v>28.0</v>
      </c>
      <c r="R87" s="30">
        <v>1118.0</v>
      </c>
      <c r="S87" s="30">
        <v>5.0</v>
      </c>
      <c r="T87" s="29">
        <v>229.0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106.0</v>
      </c>
      <c r="J88" s="29">
        <v>159.0</v>
      </c>
      <c r="K88" s="29">
        <v>14017.0</v>
      </c>
      <c r="L88" s="29">
        <v>1137.0</v>
      </c>
      <c r="M88" s="29">
        <v>76790.0</v>
      </c>
      <c r="N88" s="29">
        <v>90807.0</v>
      </c>
      <c r="O88" s="30">
        <v>19.0</v>
      </c>
      <c r="P88" s="30">
        <v>1596.0</v>
      </c>
      <c r="Q88" s="30">
        <v>11.0</v>
      </c>
      <c r="R88" s="30">
        <v>1129.0</v>
      </c>
      <c r="S88" s="30">
        <v>3.0</v>
      </c>
      <c r="T88" s="29">
        <v>232.0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131.0</v>
      </c>
      <c r="K89" s="29">
        <v>14101.0</v>
      </c>
      <c r="L89" s="29">
        <v>691.0</v>
      </c>
      <c r="M89" s="29">
        <v>77481.0</v>
      </c>
      <c r="N89" s="29">
        <v>91582.0</v>
      </c>
      <c r="O89" s="30">
        <v>13.0</v>
      </c>
      <c r="P89" s="30">
        <v>1609.0</v>
      </c>
      <c r="Q89" s="30">
        <v>14.0</v>
      </c>
      <c r="R89" s="30">
        <v>1143.0</v>
      </c>
      <c r="S89" s="30">
        <v>2.0</v>
      </c>
      <c r="T89" s="29">
        <v>234.0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74.0</v>
      </c>
      <c r="J90" s="29">
        <v>88.0</v>
      </c>
      <c r="K90" s="29">
        <v>14175.0</v>
      </c>
      <c r="L90" s="29">
        <v>633.0</v>
      </c>
      <c r="M90" s="29">
        <v>78114.0</v>
      </c>
      <c r="N90" s="29">
        <v>92289.0</v>
      </c>
      <c r="O90" s="30">
        <v>14.0</v>
      </c>
      <c r="P90" s="30">
        <v>1623.0</v>
      </c>
      <c r="Q90" s="30">
        <v>14.0</v>
      </c>
      <c r="R90" s="30">
        <v>1157.0</v>
      </c>
      <c r="S90" s="30">
        <v>0.0</v>
      </c>
      <c r="T90" s="29">
        <v>234.0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154.0</v>
      </c>
      <c r="J91" s="29">
        <v>104.0</v>
      </c>
      <c r="K91" s="29">
        <v>14329.0</v>
      </c>
      <c r="L91" s="29">
        <v>1458.0</v>
      </c>
      <c r="M91" s="29">
        <v>79572.0</v>
      </c>
      <c r="N91" s="29">
        <v>93901.0</v>
      </c>
      <c r="O91" s="30">
        <v>24.0</v>
      </c>
      <c r="P91" s="30">
        <v>1647.0</v>
      </c>
      <c r="Q91" s="30">
        <v>21.0</v>
      </c>
      <c r="R91" s="30">
        <v>1178.0</v>
      </c>
      <c r="S91" s="30">
        <v>5.0</v>
      </c>
      <c r="T91" s="29">
        <v>239.0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129.0</v>
      </c>
      <c r="J92" s="29">
        <v>119.0</v>
      </c>
      <c r="K92" s="29">
        <v>14458.0</v>
      </c>
      <c r="L92" s="29">
        <v>1023.0</v>
      </c>
      <c r="M92" s="29">
        <v>80595.0</v>
      </c>
      <c r="N92" s="29">
        <v>95053.0</v>
      </c>
      <c r="O92" s="30">
        <v>20.0</v>
      </c>
      <c r="P92" s="30">
        <v>1667.0</v>
      </c>
      <c r="Q92" s="30">
        <v>18.0</v>
      </c>
      <c r="R92" s="30">
        <v>1196.0</v>
      </c>
      <c r="S92" s="30">
        <v>3.0</v>
      </c>
      <c r="T92" s="29">
        <v>242.0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127.0</v>
      </c>
      <c r="J93" s="29">
        <v>137.0</v>
      </c>
      <c r="K93" s="29">
        <v>14585.0</v>
      </c>
      <c r="L93" s="29">
        <v>975.0</v>
      </c>
      <c r="M93" s="29">
        <v>81570.0</v>
      </c>
      <c r="N93" s="29">
        <v>96155.0</v>
      </c>
      <c r="O93" s="30">
        <v>16.0</v>
      </c>
      <c r="P93" s="30">
        <v>1683.0</v>
      </c>
      <c r="Q93" s="30">
        <v>27.0</v>
      </c>
      <c r="R93" s="30">
        <v>1223.0</v>
      </c>
      <c r="S93" s="30">
        <v>4.0</v>
      </c>
      <c r="T93" s="29">
        <v>246.0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174.0</v>
      </c>
      <c r="J94" s="29">
        <v>143.0</v>
      </c>
      <c r="K94" s="29">
        <v>14759.0</v>
      </c>
      <c r="L94" s="29">
        <v>1374.0</v>
      </c>
      <c r="M94" s="29">
        <v>82944.0</v>
      </c>
      <c r="N94" s="29">
        <v>97703.0</v>
      </c>
      <c r="O94" s="30">
        <v>19.0</v>
      </c>
      <c r="P94" s="30">
        <v>1702.0</v>
      </c>
      <c r="Q94" s="30">
        <v>26.0</v>
      </c>
      <c r="R94" s="30">
        <v>1249.0</v>
      </c>
      <c r="S94" s="30">
        <v>7.0</v>
      </c>
      <c r="T94" s="29">
        <v>253.0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137.0</v>
      </c>
      <c r="K95" s="29">
        <v>14868.0</v>
      </c>
      <c r="L95" s="29">
        <v>1545.0</v>
      </c>
      <c r="M95" s="29">
        <v>84489.0</v>
      </c>
      <c r="N95" s="29">
        <v>99357.0</v>
      </c>
      <c r="O95" s="30">
        <v>16.0</v>
      </c>
      <c r="P95" s="30">
        <v>1718.0</v>
      </c>
      <c r="Q95" s="30">
        <v>19.0</v>
      </c>
      <c r="R95" s="30">
        <v>1268.0</v>
      </c>
      <c r="S95" s="30">
        <v>4.0</v>
      </c>
      <c r="T95" s="29">
        <v>257.0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75.0</v>
      </c>
      <c r="J96" s="29">
        <v>119.0</v>
      </c>
      <c r="K96" s="29">
        <v>14943.0</v>
      </c>
      <c r="L96" s="29">
        <v>747.0</v>
      </c>
      <c r="M96" s="29">
        <v>85236.0</v>
      </c>
      <c r="N96" s="29">
        <v>100179.0</v>
      </c>
      <c r="O96" s="30">
        <v>11.0</v>
      </c>
      <c r="P96" s="30">
        <v>1729.0</v>
      </c>
      <c r="Q96" s="30">
        <v>12.0</v>
      </c>
      <c r="R96" s="30">
        <v>1280.0</v>
      </c>
      <c r="S96" s="30">
        <v>1.0</v>
      </c>
      <c r="T96" s="29">
        <v>258.0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95.0</v>
      </c>
      <c r="J97" s="29">
        <v>93.0</v>
      </c>
      <c r="K97" s="29">
        <v>15038.0</v>
      </c>
      <c r="L97" s="29">
        <v>1233.0</v>
      </c>
      <c r="M97" s="29">
        <v>86469.0</v>
      </c>
      <c r="N97" s="29">
        <v>101507.0</v>
      </c>
      <c r="O97" s="33">
        <v>8.0</v>
      </c>
      <c r="P97" s="33">
        <v>1737.0</v>
      </c>
      <c r="Q97" s="33">
        <v>13.0</v>
      </c>
      <c r="R97" s="33">
        <v>1293.0</v>
      </c>
      <c r="S97" s="33">
        <v>1.0</v>
      </c>
      <c r="T97" s="33">
        <v>259.0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97.0</v>
      </c>
      <c r="J98" s="29">
        <v>89.0</v>
      </c>
      <c r="K98" s="29">
        <v>15135.0</v>
      </c>
      <c r="L98" s="29">
        <v>1277.0</v>
      </c>
      <c r="M98" s="29">
        <v>87746.0</v>
      </c>
      <c r="N98" s="29">
        <v>102881.0</v>
      </c>
      <c r="O98" s="33">
        <v>8.0</v>
      </c>
      <c r="P98" s="33">
        <v>1745.0</v>
      </c>
      <c r="Q98" s="33">
        <v>9.0</v>
      </c>
      <c r="R98" s="33">
        <v>1302.0</v>
      </c>
      <c r="S98" s="33">
        <v>3.0</v>
      </c>
      <c r="T98" s="33">
        <v>262.0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100.0</v>
      </c>
      <c r="J99" s="29">
        <v>97.0</v>
      </c>
      <c r="K99" s="29">
        <v>15235.0</v>
      </c>
      <c r="L99" s="29">
        <v>1496.0</v>
      </c>
      <c r="M99" s="29">
        <v>89242.0</v>
      </c>
      <c r="N99" s="29">
        <v>104477.0</v>
      </c>
      <c r="O99" s="33">
        <v>13.0</v>
      </c>
      <c r="P99" s="33">
        <v>1758.0</v>
      </c>
      <c r="Q99" s="33">
        <v>17.0</v>
      </c>
      <c r="R99" s="33">
        <v>1319.0</v>
      </c>
      <c r="S99" s="33">
        <v>6.0</v>
      </c>
      <c r="T99" s="33">
        <v>268.0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15342.0</v>
      </c>
      <c r="L100" s="29">
        <v>1784.0</v>
      </c>
      <c r="M100" s="29">
        <v>91026.0</v>
      </c>
      <c r="N100" s="29">
        <v>106368.0</v>
      </c>
      <c r="O100" s="33">
        <v>7.0</v>
      </c>
      <c r="P100" s="33">
        <v>1765.0</v>
      </c>
      <c r="Q100" s="33">
        <v>26.0</v>
      </c>
      <c r="R100" s="33">
        <v>1345.0</v>
      </c>
      <c r="S100" s="33">
        <v>4.0</v>
      </c>
      <c r="T100" s="33">
        <v>272.0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98.0</v>
      </c>
      <c r="J101" s="29">
        <v>102.0</v>
      </c>
      <c r="K101" s="29">
        <v>15440.0</v>
      </c>
      <c r="L101" s="29">
        <v>1344.0</v>
      </c>
      <c r="M101" s="29">
        <v>92370.0</v>
      </c>
      <c r="N101" s="29">
        <v>107810.0</v>
      </c>
      <c r="O101" s="33">
        <v>15.0</v>
      </c>
      <c r="P101" s="33">
        <v>1780.0</v>
      </c>
      <c r="Q101" s="33">
        <v>13.0</v>
      </c>
      <c r="R101" s="33">
        <v>1358.0</v>
      </c>
      <c r="S101" s="33">
        <v>6.0</v>
      </c>
      <c r="T101" s="33">
        <v>278.0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66.0</v>
      </c>
      <c r="J102" s="29">
        <v>90.0</v>
      </c>
      <c r="K102" s="29">
        <v>15506.0</v>
      </c>
      <c r="L102" s="29">
        <v>995.0</v>
      </c>
      <c r="M102" s="29">
        <v>93365.0</v>
      </c>
      <c r="N102" s="29">
        <v>108871.0</v>
      </c>
      <c r="O102" s="33">
        <v>9.0</v>
      </c>
      <c r="P102" s="33">
        <v>1789.0</v>
      </c>
      <c r="Q102" s="33">
        <v>6.0</v>
      </c>
      <c r="R102" s="33">
        <v>1364.0</v>
      </c>
      <c r="S102" s="33">
        <v>2.0</v>
      </c>
      <c r="T102" s="33">
        <v>280.0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49.0</v>
      </c>
      <c r="J103" s="29">
        <v>71.0</v>
      </c>
      <c r="K103" s="29">
        <v>15555.0</v>
      </c>
      <c r="L103" s="29">
        <v>711.0</v>
      </c>
      <c r="M103" s="29">
        <v>94076.0</v>
      </c>
      <c r="N103" s="29">
        <v>109631.0</v>
      </c>
      <c r="O103" s="33">
        <v>11.0</v>
      </c>
      <c r="P103" s="33">
        <v>1800.0</v>
      </c>
      <c r="Q103" s="33">
        <v>7.0</v>
      </c>
      <c r="R103" s="33">
        <v>1371.0</v>
      </c>
      <c r="S103" s="33">
        <v>1.0</v>
      </c>
      <c r="T103" s="33">
        <v>281.0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45.0</v>
      </c>
      <c r="J104" s="36">
        <v>53.0</v>
      </c>
      <c r="K104" s="36">
        <v>15600.0</v>
      </c>
      <c r="L104" s="36">
        <v>865.0</v>
      </c>
      <c r="M104" s="36">
        <v>94941.0</v>
      </c>
      <c r="N104" s="36">
        <v>110541.0</v>
      </c>
      <c r="O104" s="36">
        <v>15.0</v>
      </c>
      <c r="P104" s="38">
        <v>1815.0</v>
      </c>
      <c r="Q104" s="38">
        <v>13.0</v>
      </c>
      <c r="R104" s="38">
        <v>1384.0</v>
      </c>
      <c r="S104" s="38">
        <v>2.0</v>
      </c>
      <c r="T104" s="38">
        <v>283.0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65.0</v>
      </c>
      <c r="J105" s="36">
        <v>53.0</v>
      </c>
      <c r="K105" s="36">
        <v>15665.0</v>
      </c>
      <c r="L105" s="36">
        <v>1129.0</v>
      </c>
      <c r="M105" s="36">
        <v>96070.0</v>
      </c>
      <c r="N105" s="36">
        <v>111735.0</v>
      </c>
      <c r="O105" s="36">
        <v>10.0</v>
      </c>
      <c r="P105" s="38">
        <v>1825.0</v>
      </c>
      <c r="Q105" s="38">
        <v>19.0</v>
      </c>
      <c r="R105" s="38">
        <v>1403.0</v>
      </c>
      <c r="S105" s="38">
        <v>0.0</v>
      </c>
      <c r="T105" s="38">
        <v>283.0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15766.0</v>
      </c>
      <c r="L106" s="36">
        <v>1333.0</v>
      </c>
      <c r="M106" s="36">
        <v>97403.0</v>
      </c>
      <c r="N106" s="36">
        <v>113169.0</v>
      </c>
      <c r="O106" s="36">
        <v>13.0</v>
      </c>
      <c r="P106" s="38">
        <v>1838.0</v>
      </c>
      <c r="Q106" s="38">
        <v>12.0</v>
      </c>
      <c r="R106" s="38">
        <v>1415.0</v>
      </c>
      <c r="S106" s="38">
        <v>2.0</v>
      </c>
      <c r="T106" s="38">
        <v>285.0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85.0</v>
      </c>
      <c r="K107" s="36">
        <v>15854.0</v>
      </c>
      <c r="L107" s="36">
        <v>1388.0</v>
      </c>
      <c r="M107" s="36">
        <v>98791.0</v>
      </c>
      <c r="N107" s="36">
        <v>114645.0</v>
      </c>
      <c r="O107" s="36">
        <v>6.0</v>
      </c>
      <c r="P107" s="38">
        <v>1844.0</v>
      </c>
      <c r="Q107" s="38">
        <v>14.0</v>
      </c>
      <c r="R107" s="38">
        <v>1429.0</v>
      </c>
      <c r="S107" s="38">
        <v>1.0</v>
      </c>
      <c r="T107" s="38">
        <v>286.0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15932.0</v>
      </c>
      <c r="L108" s="36">
        <v>1870.0</v>
      </c>
      <c r="M108" s="36">
        <v>100661.0</v>
      </c>
      <c r="N108" s="36">
        <v>116593.0</v>
      </c>
      <c r="O108" s="36">
        <v>9.0</v>
      </c>
      <c r="P108" s="38">
        <v>1853.0</v>
      </c>
      <c r="Q108" s="38">
        <v>16.0</v>
      </c>
      <c r="R108" s="38">
        <v>1445.0</v>
      </c>
      <c r="S108" s="38">
        <v>1.0</v>
      </c>
      <c r="T108" s="38">
        <v>287.0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48.0</v>
      </c>
      <c r="J109" s="36">
        <v>71.0</v>
      </c>
      <c r="K109" s="36">
        <v>15980.0</v>
      </c>
      <c r="L109" s="36">
        <v>1177.0</v>
      </c>
      <c r="M109" s="36">
        <v>101838.0</v>
      </c>
      <c r="N109" s="36">
        <v>117818.0</v>
      </c>
      <c r="O109" s="36">
        <v>6.0</v>
      </c>
      <c r="P109" s="38">
        <v>1859.0</v>
      </c>
      <c r="Q109" s="38">
        <v>5.0</v>
      </c>
      <c r="R109" s="38">
        <v>1450.0</v>
      </c>
      <c r="S109" s="38">
        <v>0.0</v>
      </c>
      <c r="T109" s="38">
        <v>287.0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32.0</v>
      </c>
      <c r="J110" s="36">
        <v>53.0</v>
      </c>
      <c r="K110" s="36">
        <v>16012.0</v>
      </c>
      <c r="L110" s="36">
        <v>884.0</v>
      </c>
      <c r="M110" s="36">
        <v>102722.0</v>
      </c>
      <c r="N110" s="36">
        <v>118734.0</v>
      </c>
      <c r="O110" s="36">
        <v>7.0</v>
      </c>
      <c r="P110" s="38">
        <v>1866.0</v>
      </c>
      <c r="Q110" s="38">
        <v>8.0</v>
      </c>
      <c r="R110" s="38">
        <v>1458.0</v>
      </c>
      <c r="S110" s="38">
        <v>1.0</v>
      </c>
      <c r="T110" s="38">
        <v>288.0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16087.0</v>
      </c>
      <c r="L111" s="36">
        <v>1625.0</v>
      </c>
      <c r="M111" s="36">
        <v>104347.0</v>
      </c>
      <c r="N111" s="36">
        <v>120434.0</v>
      </c>
      <c r="O111" s="36">
        <v>13.0</v>
      </c>
      <c r="P111" s="38">
        <v>1879.0</v>
      </c>
      <c r="Q111" s="38">
        <v>19.0</v>
      </c>
      <c r="R111" s="38">
        <v>1477.0</v>
      </c>
      <c r="S111" s="38">
        <v>0.0</v>
      </c>
      <c r="T111" s="38">
        <v>288.0</v>
      </c>
      <c r="U111" s="38">
        <v>114.0</v>
      </c>
      <c r="V111" s="38">
        <v>119.0</v>
      </c>
      <c r="W111" s="38">
        <v>20.0</v>
      </c>
      <c r="X111" s="38">
        <v>15.0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51.0</v>
      </c>
      <c r="J112" s="36">
        <v>53.0</v>
      </c>
      <c r="K112" s="36">
        <v>16138.0</v>
      </c>
      <c r="L112" s="36">
        <v>1398.0</v>
      </c>
      <c r="M112" s="36">
        <v>105745.0</v>
      </c>
      <c r="N112" s="36">
        <v>121883.0</v>
      </c>
      <c r="O112" s="36">
        <v>11.0</v>
      </c>
      <c r="P112" s="38">
        <v>1890.0</v>
      </c>
      <c r="Q112" s="38">
        <v>9.0</v>
      </c>
      <c r="R112" s="38">
        <v>1486.0</v>
      </c>
      <c r="S112" s="38">
        <v>1.0</v>
      </c>
      <c r="T112" s="38">
        <v>289.0</v>
      </c>
      <c r="U112" s="38">
        <v>115.0</v>
      </c>
      <c r="V112" s="38">
        <v>116.0</v>
      </c>
      <c r="W112" s="38">
        <v>21.0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16189.0</v>
      </c>
      <c r="L113" s="36">
        <v>1195.0</v>
      </c>
      <c r="M113" s="36">
        <v>106940.0</v>
      </c>
      <c r="N113" s="36">
        <v>123129.0</v>
      </c>
      <c r="O113" s="36">
        <v>15.0</v>
      </c>
      <c r="P113" s="38">
        <v>1905.0</v>
      </c>
      <c r="Q113" s="38">
        <v>20.0</v>
      </c>
      <c r="R113" s="38">
        <v>1506.0</v>
      </c>
      <c r="S113" s="38">
        <v>3.0</v>
      </c>
      <c r="T113" s="38">
        <v>292.0</v>
      </c>
      <c r="U113" s="38">
        <v>107.0</v>
      </c>
      <c r="V113" s="38">
        <v>112.0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69.0</v>
      </c>
      <c r="J114" s="36">
        <v>57.0</v>
      </c>
      <c r="K114" s="36">
        <v>16258.0</v>
      </c>
      <c r="L114" s="36">
        <v>1191.0</v>
      </c>
      <c r="M114" s="36">
        <v>108131.0</v>
      </c>
      <c r="N114" s="36">
        <v>124389.0</v>
      </c>
      <c r="O114" s="36">
        <v>9.0</v>
      </c>
      <c r="P114" s="38">
        <v>1914.0</v>
      </c>
      <c r="Q114" s="38">
        <v>15.0</v>
      </c>
      <c r="R114" s="38">
        <v>1521.0</v>
      </c>
      <c r="S114" s="38">
        <v>1.0</v>
      </c>
      <c r="T114" s="38">
        <v>293.0</v>
      </c>
      <c r="U114" s="38">
        <v>100.0</v>
      </c>
      <c r="V114" s="38">
        <v>107.0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16317.0</v>
      </c>
      <c r="L115" s="36">
        <v>1226.0</v>
      </c>
      <c r="M115" s="36">
        <v>109357.0</v>
      </c>
      <c r="N115" s="36">
        <v>125674.0</v>
      </c>
      <c r="O115" s="36">
        <v>13.0</v>
      </c>
      <c r="P115" s="38">
        <v>1927.0</v>
      </c>
      <c r="Q115" s="38">
        <v>12.0</v>
      </c>
      <c r="R115" s="38">
        <v>1533.0</v>
      </c>
      <c r="S115" s="38">
        <v>1.0</v>
      </c>
      <c r="T115" s="38">
        <v>294.0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35.0</v>
      </c>
      <c r="J116" s="36">
        <v>54.0</v>
      </c>
      <c r="K116" s="36">
        <v>16352.0</v>
      </c>
      <c r="L116" s="36">
        <v>726.0</v>
      </c>
      <c r="M116" s="36">
        <v>110083.0</v>
      </c>
      <c r="N116" s="36">
        <v>126435.0</v>
      </c>
      <c r="O116" s="36">
        <v>8.0</v>
      </c>
      <c r="P116" s="38">
        <v>1935.0</v>
      </c>
      <c r="Q116" s="38">
        <v>11.0</v>
      </c>
      <c r="R116" s="38">
        <v>1544.0</v>
      </c>
      <c r="S116" s="38">
        <v>0.0</v>
      </c>
      <c r="T116" s="38">
        <v>294.0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31.0</v>
      </c>
      <c r="J117" s="36">
        <v>42.0</v>
      </c>
      <c r="K117" s="36">
        <v>16383.0</v>
      </c>
      <c r="L117" s="36">
        <v>623.0</v>
      </c>
      <c r="M117" s="36">
        <v>110706.0</v>
      </c>
      <c r="N117" s="36">
        <v>127089.0</v>
      </c>
      <c r="O117" s="36">
        <v>8.0</v>
      </c>
      <c r="P117" s="38">
        <v>1943.0</v>
      </c>
      <c r="Q117" s="38">
        <v>5.0</v>
      </c>
      <c r="R117" s="38">
        <v>1549.0</v>
      </c>
      <c r="S117" s="38">
        <v>0.0</v>
      </c>
      <c r="T117" s="38">
        <v>294.0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59.0</v>
      </c>
      <c r="J118" s="36">
        <v>42.0</v>
      </c>
      <c r="K118" s="36">
        <v>16442.0</v>
      </c>
      <c r="L118" s="36">
        <v>1549.0</v>
      </c>
      <c r="M118" s="36">
        <v>112255.0</v>
      </c>
      <c r="N118" s="36">
        <v>128697.0</v>
      </c>
      <c r="O118" s="36">
        <v>11.0</v>
      </c>
      <c r="P118" s="38">
        <v>1954.0</v>
      </c>
      <c r="Q118" s="38">
        <v>16.0</v>
      </c>
      <c r="R118" s="38">
        <v>1565.0</v>
      </c>
      <c r="S118" s="38">
        <v>0.0</v>
      </c>
      <c r="T118" s="38">
        <v>294.0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78.0</v>
      </c>
      <c r="J119" s="36">
        <v>56.0</v>
      </c>
      <c r="K119" s="36">
        <v>16520.0</v>
      </c>
      <c r="L119" s="36">
        <v>1627.0</v>
      </c>
      <c r="M119" s="36">
        <v>113882.0</v>
      </c>
      <c r="N119" s="36">
        <v>130402.0</v>
      </c>
      <c r="O119" s="36">
        <v>3.0</v>
      </c>
      <c r="P119" s="38">
        <v>1957.0</v>
      </c>
      <c r="Q119" s="38">
        <v>13.0</v>
      </c>
      <c r="R119" s="38">
        <v>1578.0</v>
      </c>
      <c r="S119" s="38">
        <v>3.0</v>
      </c>
      <c r="T119" s="38">
        <v>297.0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46.0</v>
      </c>
      <c r="J120" s="36">
        <v>61.0</v>
      </c>
      <c r="K120" s="36">
        <v>16566.0</v>
      </c>
      <c r="L120" s="36">
        <v>1524.0</v>
      </c>
      <c r="M120" s="36">
        <v>115406.0</v>
      </c>
      <c r="N120" s="36">
        <v>131972.0</v>
      </c>
      <c r="O120" s="36">
        <v>9.0</v>
      </c>
      <c r="P120" s="38">
        <v>1966.0</v>
      </c>
      <c r="Q120" s="38">
        <v>10.0</v>
      </c>
      <c r="R120" s="38">
        <v>1588.0</v>
      </c>
      <c r="S120" s="38">
        <v>1.0</v>
      </c>
      <c r="T120" s="38">
        <v>298.0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48.0</v>
      </c>
      <c r="J121" s="36">
        <v>57.0</v>
      </c>
      <c r="K121" s="36">
        <v>16614.0</v>
      </c>
      <c r="L121" s="36">
        <v>1358.0</v>
      </c>
      <c r="M121" s="36">
        <v>116764.0</v>
      </c>
      <c r="N121" s="36">
        <v>133378.0</v>
      </c>
      <c r="O121" s="36">
        <v>6.0</v>
      </c>
      <c r="P121" s="38">
        <v>1972.0</v>
      </c>
      <c r="Q121" s="38">
        <v>14.0</v>
      </c>
      <c r="R121" s="38">
        <v>1602.0</v>
      </c>
      <c r="S121" s="38">
        <v>1.0</v>
      </c>
      <c r="T121" s="38">
        <v>299.0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61.0</v>
      </c>
      <c r="J122" s="36">
        <v>52.0</v>
      </c>
      <c r="K122" s="36">
        <v>16675.0</v>
      </c>
      <c r="L122" s="36">
        <v>1228.0</v>
      </c>
      <c r="M122" s="36">
        <v>117992.0</v>
      </c>
      <c r="N122" s="36">
        <v>134667.0</v>
      </c>
      <c r="O122" s="36">
        <v>2.0</v>
      </c>
      <c r="P122" s="38">
        <v>1974.0</v>
      </c>
      <c r="Q122" s="38">
        <v>10.0</v>
      </c>
      <c r="R122" s="38">
        <v>1612.0</v>
      </c>
      <c r="S122" s="38">
        <v>0.0</v>
      </c>
      <c r="T122" s="38">
        <v>299.0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16712.0</v>
      </c>
      <c r="L123" s="36">
        <v>1108.0</v>
      </c>
      <c r="M123" s="36">
        <v>119100.0</v>
      </c>
      <c r="N123" s="36">
        <v>135812.0</v>
      </c>
      <c r="O123" s="36">
        <v>5.0</v>
      </c>
      <c r="P123" s="38">
        <v>1979.0</v>
      </c>
      <c r="Q123" s="38">
        <v>3.0</v>
      </c>
      <c r="R123" s="38">
        <v>1615.0</v>
      </c>
      <c r="S123" s="38">
        <v>1.0</v>
      </c>
      <c r="T123" s="38">
        <v>300.0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16.0</v>
      </c>
      <c r="J124" s="36">
        <v>38.0</v>
      </c>
      <c r="K124" s="36">
        <v>16728.0</v>
      </c>
      <c r="L124" s="36">
        <v>549.0</v>
      </c>
      <c r="M124" s="36">
        <v>119649.0</v>
      </c>
      <c r="N124" s="36">
        <v>136377.0</v>
      </c>
      <c r="O124" s="36">
        <v>4.0</v>
      </c>
      <c r="P124" s="38">
        <v>1983.0</v>
      </c>
      <c r="Q124" s="38">
        <v>4.0</v>
      </c>
      <c r="R124" s="38">
        <v>1619.0</v>
      </c>
      <c r="S124" s="38">
        <v>4.0</v>
      </c>
      <c r="T124" s="38">
        <v>304.0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42.0</v>
      </c>
      <c r="J125" s="36">
        <v>32.0</v>
      </c>
      <c r="K125" s="36">
        <v>16770.0</v>
      </c>
      <c r="L125" s="36">
        <v>1238.0</v>
      </c>
      <c r="M125" s="36">
        <v>120887.0</v>
      </c>
      <c r="N125" s="36">
        <v>137657.0</v>
      </c>
      <c r="O125" s="36">
        <v>4.0</v>
      </c>
      <c r="P125" s="38">
        <v>1987.0</v>
      </c>
      <c r="Q125" s="38">
        <v>5.0</v>
      </c>
      <c r="R125" s="38">
        <v>1624.0</v>
      </c>
      <c r="S125" s="38">
        <v>0.0</v>
      </c>
      <c r="T125" s="38">
        <v>304.0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38.0</v>
      </c>
      <c r="J126" s="36">
        <v>32.0</v>
      </c>
      <c r="K126" s="36">
        <v>16808.0</v>
      </c>
      <c r="L126" s="36">
        <v>907.0</v>
      </c>
      <c r="M126" s="36">
        <v>121794.0</v>
      </c>
      <c r="N126" s="36">
        <v>138602.0</v>
      </c>
      <c r="O126" s="36">
        <v>1.0</v>
      </c>
      <c r="P126" s="38">
        <v>1988.0</v>
      </c>
      <c r="Q126" s="38">
        <v>5.0</v>
      </c>
      <c r="R126" s="38">
        <v>1629.0</v>
      </c>
      <c r="S126" s="38">
        <v>1.0</v>
      </c>
      <c r="T126" s="38">
        <v>305.0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73.0</v>
      </c>
      <c r="J127" s="36">
        <v>51.0</v>
      </c>
      <c r="K127" s="36">
        <v>16881.0</v>
      </c>
      <c r="L127" s="36">
        <v>1744.0</v>
      </c>
      <c r="M127" s="36">
        <v>123538.0</v>
      </c>
      <c r="N127" s="36">
        <v>140419.0</v>
      </c>
      <c r="O127" s="36">
        <v>8.0</v>
      </c>
      <c r="P127" s="38">
        <v>1996.0</v>
      </c>
      <c r="Q127" s="38">
        <v>10.0</v>
      </c>
      <c r="R127" s="38">
        <v>1639.0</v>
      </c>
      <c r="S127" s="38">
        <v>0.0</v>
      </c>
      <c r="T127" s="38">
        <v>305.0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60.0</v>
      </c>
      <c r="J128" s="36">
        <v>57.0</v>
      </c>
      <c r="K128" s="36">
        <v>16941.0</v>
      </c>
      <c r="L128" s="36">
        <v>975.0</v>
      </c>
      <c r="M128" s="36">
        <v>124513.0</v>
      </c>
      <c r="N128" s="36">
        <v>141454.0</v>
      </c>
      <c r="O128" s="36">
        <v>5.0</v>
      </c>
      <c r="P128" s="38">
        <v>2001.0</v>
      </c>
      <c r="Q128" s="38">
        <v>5.0</v>
      </c>
      <c r="R128" s="38">
        <v>1644.0</v>
      </c>
      <c r="S128" s="38">
        <v>1.0</v>
      </c>
      <c r="T128" s="38">
        <v>306.0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27.0</v>
      </c>
      <c r="J129" s="36">
        <v>53.0</v>
      </c>
      <c r="K129" s="36">
        <v>16968.0</v>
      </c>
      <c r="L129" s="36">
        <v>719.0</v>
      </c>
      <c r="M129" s="36">
        <v>125232.0</v>
      </c>
      <c r="N129" s="36">
        <v>142200.0</v>
      </c>
      <c r="O129" s="36">
        <v>9.0</v>
      </c>
      <c r="P129" s="38">
        <v>2010.0</v>
      </c>
      <c r="Q129" s="38">
        <v>6.0</v>
      </c>
      <c r="R129" s="38">
        <v>1650.0</v>
      </c>
      <c r="S129" s="38">
        <v>0.0</v>
      </c>
      <c r="T129" s="38">
        <v>306.0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32.0</v>
      </c>
      <c r="J130" s="36">
        <v>40.0</v>
      </c>
      <c r="K130" s="36">
        <v>17000.0</v>
      </c>
      <c r="L130" s="36">
        <v>911.0</v>
      </c>
      <c r="M130" s="36">
        <v>126143.0</v>
      </c>
      <c r="N130" s="36">
        <v>143143.0</v>
      </c>
      <c r="O130" s="36">
        <v>2.0</v>
      </c>
      <c r="P130" s="38">
        <v>2012.0</v>
      </c>
      <c r="Q130" s="38">
        <v>4.0</v>
      </c>
      <c r="R130" s="38">
        <v>1654.0</v>
      </c>
      <c r="S130" s="38">
        <v>1.0</v>
      </c>
      <c r="T130" s="38">
        <v>307.0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25.0</v>
      </c>
      <c r="J131" s="36">
        <v>28.0</v>
      </c>
      <c r="K131" s="36">
        <v>17025.0</v>
      </c>
      <c r="L131" s="36">
        <v>1310.0</v>
      </c>
      <c r="M131" s="36">
        <v>127453.0</v>
      </c>
      <c r="N131" s="36">
        <v>144478.0</v>
      </c>
      <c r="O131" s="36">
        <v>1.0</v>
      </c>
      <c r="P131" s="38">
        <v>2013.0</v>
      </c>
      <c r="Q131" s="38">
        <v>2.0</v>
      </c>
      <c r="R131" s="38">
        <v>1656.0</v>
      </c>
      <c r="S131" s="38">
        <v>1.0</v>
      </c>
      <c r="T131" s="38">
        <v>308.0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48.0</v>
      </c>
      <c r="J132" s="36">
        <v>35.0</v>
      </c>
      <c r="K132" s="36">
        <v>17073.0</v>
      </c>
      <c r="L132" s="36">
        <v>1426.0</v>
      </c>
      <c r="M132" s="36">
        <v>128879.0</v>
      </c>
      <c r="N132" s="36">
        <v>145952.0</v>
      </c>
      <c r="O132" s="36">
        <v>5.0</v>
      </c>
      <c r="P132" s="38">
        <v>2018.0</v>
      </c>
      <c r="Q132" s="38">
        <v>5.0</v>
      </c>
      <c r="R132" s="38">
        <v>1661.0</v>
      </c>
      <c r="S132" s="38">
        <v>0.0</v>
      </c>
      <c r="T132" s="38">
        <v>308.0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50.0</v>
      </c>
      <c r="J133" s="36">
        <v>41.0</v>
      </c>
      <c r="K133" s="36">
        <v>17123.0</v>
      </c>
      <c r="L133" s="36">
        <v>1409.0</v>
      </c>
      <c r="M133" s="36">
        <v>130288.0</v>
      </c>
      <c r="N133" s="36">
        <v>147411.0</v>
      </c>
      <c r="O133" s="36">
        <v>5.0</v>
      </c>
      <c r="P133" s="38">
        <v>2023.0</v>
      </c>
      <c r="Q133" s="38">
        <v>7.0</v>
      </c>
      <c r="R133" s="38">
        <v>1668.0</v>
      </c>
      <c r="S133" s="38">
        <v>0.0</v>
      </c>
      <c r="T133" s="38">
        <v>308.0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65.0</v>
      </c>
      <c r="J134" s="36">
        <v>54.0</v>
      </c>
      <c r="K134" s="36">
        <v>17188.0</v>
      </c>
      <c r="L134" s="36">
        <v>1288.0</v>
      </c>
      <c r="M134" s="36">
        <v>131576.0</v>
      </c>
      <c r="N134" s="36">
        <v>148764.0</v>
      </c>
      <c r="O134" s="36">
        <v>4.0</v>
      </c>
      <c r="P134" s="38">
        <v>2027.0</v>
      </c>
      <c r="Q134" s="38">
        <v>2.0</v>
      </c>
      <c r="R134" s="38">
        <v>1670.0</v>
      </c>
      <c r="S134" s="38">
        <v>0.0</v>
      </c>
      <c r="T134" s="38">
        <v>308.0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48.0</v>
      </c>
      <c r="J135" s="36">
        <v>54.0</v>
      </c>
      <c r="K135" s="36">
        <v>17236.0</v>
      </c>
      <c r="L135" s="36">
        <v>1470.0</v>
      </c>
      <c r="M135" s="36">
        <v>133046.0</v>
      </c>
      <c r="N135" s="36">
        <v>150282.0</v>
      </c>
      <c r="O135" s="36">
        <v>9.0</v>
      </c>
      <c r="P135" s="38">
        <v>2036.0</v>
      </c>
      <c r="Q135" s="38">
        <v>3.0</v>
      </c>
      <c r="R135" s="38">
        <v>1673.0</v>
      </c>
      <c r="S135" s="38">
        <v>0.0</v>
      </c>
      <c r="T135" s="38">
        <v>308.0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65.0</v>
      </c>
      <c r="J136" s="36">
        <v>59.0</v>
      </c>
      <c r="K136" s="36">
        <v>17301.0</v>
      </c>
      <c r="L136" s="36">
        <v>1886.0</v>
      </c>
      <c r="M136" s="36">
        <v>134932.0</v>
      </c>
      <c r="N136" s="36">
        <v>152233.0</v>
      </c>
      <c r="O136" s="36">
        <v>6.0</v>
      </c>
      <c r="P136" s="38">
        <v>2042.0</v>
      </c>
      <c r="Q136" s="38">
        <v>3.0</v>
      </c>
      <c r="R136" s="38">
        <v>1676.0</v>
      </c>
      <c r="S136" s="38">
        <v>2.0</v>
      </c>
      <c r="T136" s="38">
        <v>310.0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33.0</v>
      </c>
      <c r="J137" s="36">
        <v>49.0</v>
      </c>
      <c r="K137" s="36">
        <v>17334.0</v>
      </c>
      <c r="L137" s="36">
        <v>1197.0</v>
      </c>
      <c r="M137" s="36">
        <v>136129.0</v>
      </c>
      <c r="N137" s="36">
        <v>153463.0</v>
      </c>
      <c r="O137" s="36">
        <v>6.0</v>
      </c>
      <c r="P137" s="38">
        <v>2048.0</v>
      </c>
      <c r="Q137" s="38">
        <v>3.0</v>
      </c>
      <c r="R137" s="38">
        <v>1679.0</v>
      </c>
      <c r="S137" s="38">
        <v>1.0</v>
      </c>
      <c r="T137" s="38">
        <v>311.0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40.0</v>
      </c>
      <c r="J138" s="36">
        <v>46.0</v>
      </c>
      <c r="K138" s="36">
        <v>17374.0</v>
      </c>
      <c r="L138" s="36">
        <v>860.0</v>
      </c>
      <c r="M138" s="36">
        <v>136989.0</v>
      </c>
      <c r="N138" s="36">
        <v>154363.0</v>
      </c>
      <c r="O138" s="36">
        <v>1.0</v>
      </c>
      <c r="P138" s="38">
        <v>2049.0</v>
      </c>
      <c r="Q138" s="38">
        <v>3.0</v>
      </c>
      <c r="R138" s="38">
        <v>1682.0</v>
      </c>
      <c r="S138" s="38">
        <v>1.0</v>
      </c>
      <c r="T138" s="38">
        <v>312.0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68.0</v>
      </c>
      <c r="J139" s="36">
        <v>47.0</v>
      </c>
      <c r="K139" s="36">
        <v>17442.0</v>
      </c>
      <c r="L139" s="36">
        <v>1370.0</v>
      </c>
      <c r="M139" s="36">
        <v>138359.0</v>
      </c>
      <c r="N139" s="36">
        <v>155801.0</v>
      </c>
      <c r="O139" s="36">
        <v>8.0</v>
      </c>
      <c r="P139" s="38">
        <v>2057.0</v>
      </c>
      <c r="Q139" s="38">
        <v>10.0</v>
      </c>
      <c r="R139" s="38">
        <v>1692.0</v>
      </c>
      <c r="S139" s="38">
        <v>0.0</v>
      </c>
      <c r="T139" s="38">
        <v>312.0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50.0</v>
      </c>
      <c r="J140" s="36">
        <v>53.0</v>
      </c>
      <c r="K140" s="36">
        <v>17492.0</v>
      </c>
      <c r="L140" s="36">
        <v>1287.0</v>
      </c>
      <c r="M140" s="36">
        <v>139646.0</v>
      </c>
      <c r="N140" s="36">
        <v>157138.0</v>
      </c>
      <c r="O140" s="36">
        <v>7.0</v>
      </c>
      <c r="P140" s="38">
        <v>2064.0</v>
      </c>
      <c r="Q140" s="38">
        <v>4.0</v>
      </c>
      <c r="R140" s="38">
        <v>1696.0</v>
      </c>
      <c r="S140" s="38">
        <v>0.0</v>
      </c>
      <c r="T140" s="38">
        <v>312.0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95.0</v>
      </c>
      <c r="J141" s="36">
        <v>71.0</v>
      </c>
      <c r="K141" s="36">
        <v>17587.0</v>
      </c>
      <c r="L141" s="36">
        <v>1587.0</v>
      </c>
      <c r="M141" s="36">
        <v>141233.0</v>
      </c>
      <c r="N141" s="36">
        <v>158820.0</v>
      </c>
      <c r="O141" s="36">
        <v>5.0</v>
      </c>
      <c r="P141" s="38">
        <v>2069.0</v>
      </c>
      <c r="Q141" s="38">
        <v>7.0</v>
      </c>
      <c r="R141" s="38">
        <v>1703.0</v>
      </c>
      <c r="S141" s="38">
        <v>0.0</v>
      </c>
      <c r="T141" s="38">
        <v>312.0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85.0</v>
      </c>
      <c r="J142" s="36">
        <v>77.0</v>
      </c>
      <c r="K142" s="36">
        <v>17672.0</v>
      </c>
      <c r="L142" s="36">
        <v>1471.0</v>
      </c>
      <c r="M142" s="36">
        <v>142704.0</v>
      </c>
      <c r="N142" s="36">
        <v>160376.0</v>
      </c>
      <c r="O142" s="36">
        <v>6.0</v>
      </c>
      <c r="P142" s="38">
        <v>2075.0</v>
      </c>
      <c r="Q142" s="38">
        <v>9.0</v>
      </c>
      <c r="R142" s="38">
        <v>1712.0</v>
      </c>
      <c r="S142" s="38">
        <v>0.0</v>
      </c>
      <c r="T142" s="38">
        <v>312.0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98.0</v>
      </c>
      <c r="J143" s="36">
        <v>93.0</v>
      </c>
      <c r="K143" s="36">
        <v>17770.0</v>
      </c>
      <c r="L143" s="36">
        <v>1696.0</v>
      </c>
      <c r="M143" s="36">
        <v>144400.0</v>
      </c>
      <c r="N143" s="36">
        <v>162170.0</v>
      </c>
      <c r="O143" s="36">
        <v>14.0</v>
      </c>
      <c r="P143" s="38">
        <v>2089.0</v>
      </c>
      <c r="Q143" s="38">
        <v>3.0</v>
      </c>
      <c r="R143" s="38">
        <v>1715.0</v>
      </c>
      <c r="S143" s="38">
        <v>1.0</v>
      </c>
      <c r="T143" s="38">
        <v>313.0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75.0</v>
      </c>
      <c r="J144" s="36">
        <v>86.0</v>
      </c>
      <c r="K144" s="36">
        <v>17845.0</v>
      </c>
      <c r="L144" s="36">
        <v>1283.0</v>
      </c>
      <c r="M144" s="36">
        <v>145683.0</v>
      </c>
      <c r="N144" s="36">
        <v>163528.0</v>
      </c>
      <c r="O144" s="36">
        <v>5.0</v>
      </c>
      <c r="P144" s="38">
        <v>2094.0</v>
      </c>
      <c r="Q144" s="38">
        <v>9.0</v>
      </c>
      <c r="R144" s="38">
        <v>1724.0</v>
      </c>
      <c r="S144" s="38">
        <v>1.0</v>
      </c>
      <c r="T144" s="38">
        <v>314.0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61.0</v>
      </c>
      <c r="J145" s="36">
        <v>78.0</v>
      </c>
      <c r="K145" s="36">
        <v>17906.0</v>
      </c>
      <c r="L145" s="36">
        <v>1048.0</v>
      </c>
      <c r="M145" s="36">
        <v>146731.0</v>
      </c>
      <c r="N145" s="36">
        <v>164637.0</v>
      </c>
      <c r="O145" s="36">
        <v>7.0</v>
      </c>
      <c r="P145" s="38">
        <v>2101.0</v>
      </c>
      <c r="Q145" s="38">
        <v>3.0</v>
      </c>
      <c r="R145" s="38">
        <v>1727.0</v>
      </c>
      <c r="S145" s="38">
        <v>0.0</v>
      </c>
      <c r="T145" s="38">
        <v>314.0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64.0</v>
      </c>
      <c r="J146" s="36">
        <v>67.0</v>
      </c>
      <c r="K146" s="36">
        <v>17970.0</v>
      </c>
      <c r="L146" s="36">
        <v>1336.0</v>
      </c>
      <c r="M146" s="36">
        <v>148067.0</v>
      </c>
      <c r="N146" s="36">
        <v>166037.0</v>
      </c>
      <c r="O146" s="36">
        <v>9.0</v>
      </c>
      <c r="P146" s="38">
        <v>2110.0</v>
      </c>
      <c r="Q146" s="38">
        <v>7.0</v>
      </c>
      <c r="R146" s="38">
        <v>1734.0</v>
      </c>
      <c r="S146" s="38">
        <v>0.0</v>
      </c>
      <c r="T146" s="38">
        <v>314.0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91.0</v>
      </c>
      <c r="J147" s="36">
        <v>72.0</v>
      </c>
      <c r="K147" s="36">
        <v>18061.0</v>
      </c>
      <c r="L147" s="36">
        <v>1734.0</v>
      </c>
      <c r="M147" s="36">
        <v>149801.0</v>
      </c>
      <c r="N147" s="36">
        <v>167862.0</v>
      </c>
      <c r="O147" s="36">
        <v>9.0</v>
      </c>
      <c r="P147" s="38">
        <v>2119.0</v>
      </c>
      <c r="Q147" s="38">
        <v>11.0</v>
      </c>
      <c r="R147" s="38">
        <v>1745.0</v>
      </c>
      <c r="S147" s="38">
        <v>0.0</v>
      </c>
      <c r="T147" s="38">
        <v>314.0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80.0</v>
      </c>
      <c r="K148" s="36">
        <v>18147.0</v>
      </c>
      <c r="L148" s="36">
        <v>1535.0</v>
      </c>
      <c r="M148" s="36">
        <v>151336.0</v>
      </c>
      <c r="N148" s="36">
        <v>169483.0</v>
      </c>
      <c r="O148" s="36">
        <v>7.0</v>
      </c>
      <c r="P148" s="38">
        <v>2126.0</v>
      </c>
      <c r="Q148" s="38">
        <v>8.0</v>
      </c>
      <c r="R148" s="38">
        <v>1753.0</v>
      </c>
      <c r="S148" s="38">
        <v>1.0</v>
      </c>
      <c r="T148" s="38">
        <v>315.0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108.0</v>
      </c>
      <c r="J149" s="36">
        <v>95.0</v>
      </c>
      <c r="K149" s="36">
        <v>18255.0</v>
      </c>
      <c r="L149" s="36">
        <v>1796.0</v>
      </c>
      <c r="M149" s="36">
        <v>153132.0</v>
      </c>
      <c r="N149" s="36">
        <v>171387.0</v>
      </c>
      <c r="O149" s="36">
        <v>8.0</v>
      </c>
      <c r="P149" s="38">
        <v>2134.0</v>
      </c>
      <c r="Q149" s="38">
        <v>6.0</v>
      </c>
      <c r="R149" s="38">
        <v>1759.0</v>
      </c>
      <c r="S149" s="38">
        <v>0.0</v>
      </c>
      <c r="T149" s="38">
        <v>315.0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104.0</v>
      </c>
      <c r="K150" s="36">
        <v>18374.0</v>
      </c>
      <c r="L150" s="36">
        <v>2102.0</v>
      </c>
      <c r="M150" s="36">
        <v>155234.0</v>
      </c>
      <c r="N150" s="36">
        <v>173608.0</v>
      </c>
      <c r="O150" s="36">
        <v>15.0</v>
      </c>
      <c r="P150" s="38">
        <v>2149.0</v>
      </c>
      <c r="Q150" s="38">
        <v>12.0</v>
      </c>
      <c r="R150" s="38">
        <v>1771.0</v>
      </c>
      <c r="S150" s="38">
        <v>0.0</v>
      </c>
      <c r="T150" s="38">
        <v>315.0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105.0</v>
      </c>
      <c r="J151" s="36">
        <v>111.0</v>
      </c>
      <c r="K151" s="36">
        <v>18479.0</v>
      </c>
      <c r="L151" s="36">
        <v>1933.0</v>
      </c>
      <c r="M151" s="36">
        <v>157167.0</v>
      </c>
      <c r="N151" s="36">
        <v>175646.0</v>
      </c>
      <c r="O151" s="36">
        <v>7.0</v>
      </c>
      <c r="P151" s="38">
        <v>2156.0</v>
      </c>
      <c r="Q151" s="38">
        <v>7.0</v>
      </c>
      <c r="R151" s="38">
        <v>1778.0</v>
      </c>
      <c r="S151" s="38">
        <v>0.0</v>
      </c>
      <c r="T151" s="38">
        <v>315.0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18533.0</v>
      </c>
      <c r="L152" s="36">
        <v>1200.0</v>
      </c>
      <c r="M152" s="36">
        <v>158367.0</v>
      </c>
      <c r="N152" s="36">
        <v>176900.0</v>
      </c>
      <c r="O152" s="36">
        <v>7.0</v>
      </c>
      <c r="P152" s="38">
        <v>2163.0</v>
      </c>
      <c r="Q152" s="38">
        <v>8.0</v>
      </c>
      <c r="R152" s="38">
        <v>1786.0</v>
      </c>
      <c r="S152" s="38">
        <v>0.0</v>
      </c>
      <c r="T152" s="38">
        <v>315.0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135.0</v>
      </c>
      <c r="J153" s="36">
        <v>98.0</v>
      </c>
      <c r="K153" s="36">
        <v>18668.0</v>
      </c>
      <c r="L153" s="36">
        <v>2119.0</v>
      </c>
      <c r="M153" s="36">
        <v>160486.0</v>
      </c>
      <c r="N153" s="36">
        <v>179154.0</v>
      </c>
      <c r="O153" s="36">
        <v>12.0</v>
      </c>
      <c r="P153" s="38">
        <v>2175.0</v>
      </c>
      <c r="Q153" s="38">
        <v>7.0</v>
      </c>
      <c r="R153" s="38">
        <v>1793.0</v>
      </c>
      <c r="S153" s="38">
        <v>0.0</v>
      </c>
      <c r="T153" s="38">
        <v>315.0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94.0</v>
      </c>
      <c r="J154" s="36">
        <v>94.0</v>
      </c>
      <c r="K154" s="36">
        <v>18762.0</v>
      </c>
      <c r="L154" s="36">
        <v>1497.0</v>
      </c>
      <c r="M154" s="36">
        <v>161983.0</v>
      </c>
      <c r="N154" s="36">
        <v>180745.0</v>
      </c>
      <c r="O154" s="36">
        <v>5.0</v>
      </c>
      <c r="P154" s="38">
        <v>2180.0</v>
      </c>
      <c r="Q154" s="38">
        <v>5.0</v>
      </c>
      <c r="R154" s="38">
        <v>1798.0</v>
      </c>
      <c r="S154" s="38">
        <v>0.0</v>
      </c>
      <c r="T154" s="38">
        <v>315.0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152.0</v>
      </c>
      <c r="J155" s="36">
        <v>127.0</v>
      </c>
      <c r="K155" s="36">
        <v>18914.0</v>
      </c>
      <c r="L155" s="36">
        <v>2094.0</v>
      </c>
      <c r="M155" s="36">
        <v>164077.0</v>
      </c>
      <c r="N155" s="36">
        <v>182991.0</v>
      </c>
      <c r="O155" s="36">
        <v>8.0</v>
      </c>
      <c r="P155" s="38">
        <v>2188.0</v>
      </c>
      <c r="Q155" s="38">
        <v>9.0</v>
      </c>
      <c r="R155" s="38">
        <v>1807.0</v>
      </c>
      <c r="S155" s="38">
        <v>0.0</v>
      </c>
      <c r="T155" s="38">
        <v>315.0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94.0</v>
      </c>
      <c r="J156" s="36">
        <v>113.0</v>
      </c>
      <c r="K156" s="36">
        <v>19008.0</v>
      </c>
      <c r="L156" s="36">
        <v>1491.0</v>
      </c>
      <c r="M156" s="36">
        <v>165568.0</v>
      </c>
      <c r="N156" s="36">
        <v>184576.0</v>
      </c>
      <c r="O156" s="36">
        <v>6.0</v>
      </c>
      <c r="P156" s="38">
        <v>2194.0</v>
      </c>
      <c r="Q156" s="38">
        <v>2.0</v>
      </c>
      <c r="R156" s="38">
        <v>1809.0</v>
      </c>
      <c r="S156" s="38">
        <v>1.0</v>
      </c>
      <c r="T156" s="38">
        <v>316.0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86.0</v>
      </c>
      <c r="J157" s="36">
        <v>111.0</v>
      </c>
      <c r="K157" s="36">
        <v>19094.0</v>
      </c>
      <c r="L157" s="36">
        <v>1667.0</v>
      </c>
      <c r="M157" s="36">
        <v>167235.0</v>
      </c>
      <c r="N157" s="36">
        <v>186329.0</v>
      </c>
      <c r="O157" s="36">
        <v>7.0</v>
      </c>
      <c r="P157" s="38">
        <v>2201.0</v>
      </c>
      <c r="Q157" s="38">
        <v>9.0</v>
      </c>
      <c r="R157" s="38">
        <v>1818.0</v>
      </c>
      <c r="S157" s="38">
        <v>0.0</v>
      </c>
      <c r="T157" s="38">
        <v>316.0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83.0</v>
      </c>
      <c r="J158" s="36">
        <v>88.0</v>
      </c>
      <c r="K158" s="36">
        <v>19177.0</v>
      </c>
      <c r="L158" s="36">
        <v>1411.0</v>
      </c>
      <c r="M158" s="36">
        <v>168646.0</v>
      </c>
      <c r="N158" s="36">
        <v>187823.0</v>
      </c>
      <c r="O158" s="36">
        <v>7.0</v>
      </c>
      <c r="P158" s="38">
        <v>2208.0</v>
      </c>
      <c r="Q158" s="38">
        <v>2.0</v>
      </c>
      <c r="R158" s="38">
        <v>1820.0</v>
      </c>
      <c r="S158" s="38">
        <v>0.0</v>
      </c>
      <c r="T158" s="38">
        <v>316.0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53.0</v>
      </c>
      <c r="J159" s="36">
        <v>74.0</v>
      </c>
      <c r="K159" s="36">
        <v>19230.0</v>
      </c>
      <c r="L159" s="36">
        <v>1175.0</v>
      </c>
      <c r="M159" s="36">
        <v>169821.0</v>
      </c>
      <c r="N159" s="36">
        <v>189051.0</v>
      </c>
      <c r="O159" s="36">
        <v>12.0</v>
      </c>
      <c r="P159" s="38">
        <v>2220.0</v>
      </c>
      <c r="Q159" s="38">
        <v>12.0</v>
      </c>
      <c r="R159" s="38">
        <v>1832.0</v>
      </c>
      <c r="S159" s="38">
        <v>2.0</v>
      </c>
      <c r="T159" s="38">
        <v>318.0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141.0</v>
      </c>
      <c r="J160" s="36">
        <v>92.0</v>
      </c>
      <c r="K160" s="36">
        <v>19371.0</v>
      </c>
      <c r="L160" s="36">
        <v>2012.0</v>
      </c>
      <c r="M160" s="36">
        <v>171833.0</v>
      </c>
      <c r="N160" s="36">
        <v>191204.0</v>
      </c>
      <c r="O160" s="36">
        <v>11.0</v>
      </c>
      <c r="P160" s="38">
        <v>2231.0</v>
      </c>
      <c r="Q160" s="38">
        <v>10.0</v>
      </c>
      <c r="R160" s="38">
        <v>1842.0</v>
      </c>
      <c r="S160" s="38">
        <v>0.0</v>
      </c>
      <c r="T160" s="38">
        <v>318.0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101.0</v>
      </c>
      <c r="J161" s="36">
        <v>98.0</v>
      </c>
      <c r="K161" s="36">
        <v>19472.0</v>
      </c>
      <c r="L161" s="36">
        <v>1617.0</v>
      </c>
      <c r="M161" s="36">
        <v>173450.0</v>
      </c>
      <c r="N161" s="36">
        <v>192922.0</v>
      </c>
      <c r="O161" s="36">
        <v>8.0</v>
      </c>
      <c r="P161" s="38">
        <v>2239.0</v>
      </c>
      <c r="Q161" s="38">
        <v>5.0</v>
      </c>
      <c r="R161" s="38">
        <v>1847.0</v>
      </c>
      <c r="S161" s="38">
        <v>1.0</v>
      </c>
      <c r="T161" s="38">
        <v>319.0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116.0</v>
      </c>
      <c r="J162" s="36">
        <v>119.0</v>
      </c>
      <c r="K162" s="36">
        <v>19588.0</v>
      </c>
      <c r="L162" s="36">
        <v>2246.0</v>
      </c>
      <c r="M162" s="36">
        <v>175696.0</v>
      </c>
      <c r="N162" s="36">
        <v>195284.0</v>
      </c>
      <c r="O162" s="36">
        <v>10.0</v>
      </c>
      <c r="P162" s="38">
        <v>2249.0</v>
      </c>
      <c r="Q162" s="38">
        <v>8.0</v>
      </c>
      <c r="R162" s="38">
        <v>1855.0</v>
      </c>
      <c r="S162" s="38">
        <v>1.0</v>
      </c>
      <c r="T162" s="38">
        <v>320.0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113.0</v>
      </c>
      <c r="J163" s="36">
        <v>110.0</v>
      </c>
      <c r="K163" s="36">
        <v>19701.0</v>
      </c>
      <c r="L163" s="36">
        <v>2140.0</v>
      </c>
      <c r="M163" s="36">
        <v>177836.0</v>
      </c>
      <c r="N163" s="36">
        <v>197537.0</v>
      </c>
      <c r="O163" s="36">
        <v>7.0</v>
      </c>
      <c r="P163" s="38">
        <v>2256.0</v>
      </c>
      <c r="Q163" s="38">
        <v>9.0</v>
      </c>
      <c r="R163" s="38">
        <v>1864.0</v>
      </c>
      <c r="S163" s="38">
        <v>0.0</v>
      </c>
      <c r="T163" s="38">
        <v>320.0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92.0</v>
      </c>
      <c r="J164" s="36">
        <v>107.0</v>
      </c>
      <c r="K164" s="36">
        <v>19793.0</v>
      </c>
      <c r="L164" s="36">
        <v>1941.0</v>
      </c>
      <c r="M164" s="36">
        <v>179777.0</v>
      </c>
      <c r="N164" s="36">
        <v>199570.0</v>
      </c>
      <c r="O164" s="36">
        <v>12.0</v>
      </c>
      <c r="P164" s="38">
        <v>2268.0</v>
      </c>
      <c r="Q164" s="38">
        <v>9.0</v>
      </c>
      <c r="R164" s="38">
        <v>1873.0</v>
      </c>
      <c r="S164" s="38">
        <v>1.0</v>
      </c>
      <c r="T164" s="38">
        <v>321.0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89.0</v>
      </c>
      <c r="J165" s="36">
        <v>98.0</v>
      </c>
      <c r="K165" s="36">
        <v>19882.0</v>
      </c>
      <c r="L165" s="36">
        <v>1646.0</v>
      </c>
      <c r="M165" s="36">
        <v>181423.0</v>
      </c>
      <c r="N165" s="36">
        <v>201305.0</v>
      </c>
      <c r="O165" s="36">
        <v>18.0</v>
      </c>
      <c r="P165" s="38">
        <v>2286.0</v>
      </c>
      <c r="Q165" s="38">
        <v>5.0</v>
      </c>
      <c r="R165" s="38">
        <v>1878.0</v>
      </c>
      <c r="S165" s="38">
        <v>1.0</v>
      </c>
      <c r="T165" s="38">
        <v>322.0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72.0</v>
      </c>
      <c r="K166" s="36">
        <v>19917.0</v>
      </c>
      <c r="L166" s="36">
        <v>968.0</v>
      </c>
      <c r="M166" s="36">
        <v>182391.0</v>
      </c>
      <c r="N166" s="36">
        <v>202308.0</v>
      </c>
      <c r="O166" s="36">
        <v>6.0</v>
      </c>
      <c r="P166" s="38">
        <v>2292.0</v>
      </c>
      <c r="Q166" s="38">
        <v>8.0</v>
      </c>
      <c r="R166" s="38">
        <v>1886.0</v>
      </c>
      <c r="S166" s="38">
        <v>0.0</v>
      </c>
      <c r="T166" s="38">
        <v>322.0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112.0</v>
      </c>
      <c r="J167" s="36">
        <v>79.0</v>
      </c>
      <c r="K167" s="36">
        <v>20029.0</v>
      </c>
      <c r="L167" s="36">
        <v>1854.0</v>
      </c>
      <c r="M167" s="36">
        <v>184245.0</v>
      </c>
      <c r="N167" s="36">
        <v>204274.0</v>
      </c>
      <c r="O167" s="36">
        <v>8.0</v>
      </c>
      <c r="P167" s="38">
        <v>2300.0</v>
      </c>
      <c r="Q167" s="38">
        <v>9.0</v>
      </c>
      <c r="R167" s="38">
        <v>1895.0</v>
      </c>
      <c r="S167" s="38">
        <v>0.0</v>
      </c>
      <c r="T167" s="38">
        <v>322.0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93.0</v>
      </c>
      <c r="J168" s="36">
        <v>80.0</v>
      </c>
      <c r="K168" s="36">
        <v>20122.0</v>
      </c>
      <c r="L168" s="36">
        <v>2083.0</v>
      </c>
      <c r="M168" s="36">
        <v>186328.0</v>
      </c>
      <c r="N168" s="36">
        <v>206450.0</v>
      </c>
      <c r="O168" s="36">
        <v>5.0</v>
      </c>
      <c r="P168" s="38">
        <v>2305.0</v>
      </c>
      <c r="Q168" s="38">
        <v>13.0</v>
      </c>
      <c r="R168" s="38">
        <v>1908.0</v>
      </c>
      <c r="S168" s="38">
        <v>0.0</v>
      </c>
      <c r="T168" s="38">
        <v>322.0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101.0</v>
      </c>
      <c r="J169" s="36">
        <v>102.0</v>
      </c>
      <c r="K169" s="36">
        <v>20223.0</v>
      </c>
      <c r="L169" s="36">
        <v>2383.0</v>
      </c>
      <c r="M169" s="36">
        <v>188711.0</v>
      </c>
      <c r="N169" s="36">
        <v>208934.0</v>
      </c>
      <c r="O169" s="36">
        <v>8.0</v>
      </c>
      <c r="P169" s="38">
        <v>2313.0</v>
      </c>
      <c r="Q169" s="38">
        <v>11.0</v>
      </c>
      <c r="R169" s="38">
        <v>1919.0</v>
      </c>
      <c r="S169" s="38">
        <v>0.0</v>
      </c>
      <c r="T169" s="38">
        <v>322.0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88.0</v>
      </c>
      <c r="J170" s="36">
        <v>94.0</v>
      </c>
      <c r="K170" s="36">
        <v>20311.0</v>
      </c>
      <c r="L170" s="36">
        <v>1743.0</v>
      </c>
      <c r="M170" s="36">
        <v>190454.0</v>
      </c>
      <c r="N170" s="36">
        <v>210765.0</v>
      </c>
      <c r="O170" s="36">
        <v>13.0</v>
      </c>
      <c r="P170" s="38">
        <v>2326.0</v>
      </c>
      <c r="Q170" s="38">
        <v>12.0</v>
      </c>
      <c r="R170" s="38">
        <v>1931.0</v>
      </c>
      <c r="S170" s="38">
        <v>0.0</v>
      </c>
      <c r="T170" s="38">
        <v>322.0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92.0</v>
      </c>
      <c r="J171" s="36">
        <v>94.0</v>
      </c>
      <c r="K171" s="36">
        <v>20403.0</v>
      </c>
      <c r="L171" s="36">
        <v>1790.0</v>
      </c>
      <c r="M171" s="36">
        <v>192244.0</v>
      </c>
      <c r="N171" s="36">
        <v>212647.0</v>
      </c>
      <c r="O171" s="36">
        <v>13.0</v>
      </c>
      <c r="P171" s="38">
        <v>2339.0</v>
      </c>
      <c r="Q171" s="38">
        <v>11.0</v>
      </c>
      <c r="R171" s="38">
        <v>1942.0</v>
      </c>
      <c r="S171" s="38">
        <v>0.0</v>
      </c>
      <c r="T171" s="38">
        <v>322.0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98.0</v>
      </c>
      <c r="J172" s="36">
        <v>93.0</v>
      </c>
      <c r="K172" s="36">
        <v>20501.0</v>
      </c>
      <c r="L172" s="36">
        <v>1551.0</v>
      </c>
      <c r="M172" s="36">
        <v>193795.0</v>
      </c>
      <c r="N172" s="36">
        <v>214296.0</v>
      </c>
      <c r="O172" s="36">
        <v>9.0</v>
      </c>
      <c r="P172" s="38">
        <v>2348.0</v>
      </c>
      <c r="Q172" s="38">
        <v>11.0</v>
      </c>
      <c r="R172" s="38">
        <v>1953.0</v>
      </c>
      <c r="S172" s="38">
        <v>1.0</v>
      </c>
      <c r="T172" s="38">
        <v>323.0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67.0</v>
      </c>
      <c r="J173" s="36">
        <v>86.0</v>
      </c>
      <c r="K173" s="36">
        <v>20568.0</v>
      </c>
      <c r="L173" s="36">
        <v>878.0</v>
      </c>
      <c r="M173" s="36">
        <v>194673.0</v>
      </c>
      <c r="N173" s="36">
        <v>215241.0</v>
      </c>
      <c r="O173" s="36">
        <v>6.0</v>
      </c>
      <c r="P173" s="38">
        <v>2354.0</v>
      </c>
      <c r="Q173" s="38">
        <v>5.0</v>
      </c>
      <c r="R173" s="38">
        <v>1958.0</v>
      </c>
      <c r="S173" s="38">
        <v>4.0</v>
      </c>
      <c r="T173" s="38">
        <v>327.0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84.0</v>
      </c>
      <c r="J174" s="36">
        <v>83.0</v>
      </c>
      <c r="K174" s="36">
        <v>20652.0</v>
      </c>
      <c r="L174" s="36">
        <v>2190.0</v>
      </c>
      <c r="M174" s="36">
        <v>196863.0</v>
      </c>
      <c r="N174" s="36">
        <v>217515.0</v>
      </c>
      <c r="O174" s="36">
        <v>8.0</v>
      </c>
      <c r="P174" s="38">
        <v>2362.0</v>
      </c>
      <c r="Q174" s="38">
        <v>6.0</v>
      </c>
      <c r="R174" s="38">
        <v>1964.0</v>
      </c>
      <c r="S174" s="38">
        <v>0.0</v>
      </c>
      <c r="T174" s="38">
        <v>327.0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85.0</v>
      </c>
      <c r="J175" s="36">
        <v>79.0</v>
      </c>
      <c r="K175" s="36">
        <v>20737.0</v>
      </c>
      <c r="L175" s="36">
        <v>2507.0</v>
      </c>
      <c r="M175" s="36">
        <v>199370.0</v>
      </c>
      <c r="N175" s="36">
        <v>220107.0</v>
      </c>
      <c r="O175" s="36">
        <v>11.0</v>
      </c>
      <c r="P175" s="38">
        <v>2373.0</v>
      </c>
      <c r="Q175" s="38">
        <v>8.0</v>
      </c>
      <c r="R175" s="38">
        <v>1972.0</v>
      </c>
      <c r="S175" s="38">
        <v>1.0</v>
      </c>
      <c r="T175" s="38">
        <v>328.0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87.0</v>
      </c>
      <c r="J176" s="36">
        <v>85.0</v>
      </c>
      <c r="K176" s="36">
        <v>20824.0</v>
      </c>
      <c r="L176" s="36">
        <v>2357.0</v>
      </c>
      <c r="M176" s="36">
        <v>201727.0</v>
      </c>
      <c r="N176" s="36">
        <v>222551.0</v>
      </c>
      <c r="O176" s="36">
        <v>8.0</v>
      </c>
      <c r="P176" s="38">
        <v>2381.0</v>
      </c>
      <c r="Q176" s="38">
        <v>9.0</v>
      </c>
      <c r="R176" s="38">
        <v>1981.0</v>
      </c>
      <c r="S176" s="38">
        <v>1.0</v>
      </c>
      <c r="T176" s="38">
        <v>329.0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157.0</v>
      </c>
      <c r="J177" s="36">
        <v>110.0</v>
      </c>
      <c r="K177" s="36">
        <v>20981.0</v>
      </c>
      <c r="L177" s="36">
        <v>3213.0</v>
      </c>
      <c r="M177" s="36">
        <v>204940.0</v>
      </c>
      <c r="N177" s="36">
        <v>225921.0</v>
      </c>
      <c r="O177" s="36">
        <v>12.0</v>
      </c>
      <c r="P177" s="38">
        <v>2393.0</v>
      </c>
      <c r="Q177" s="38">
        <v>6.0</v>
      </c>
      <c r="R177" s="38">
        <v>1987.0</v>
      </c>
      <c r="S177" s="38">
        <v>2.0</v>
      </c>
      <c r="T177" s="38">
        <v>331.0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144.0</v>
      </c>
      <c r="J178" s="36">
        <v>129.0</v>
      </c>
      <c r="K178" s="36">
        <v>21125.0</v>
      </c>
      <c r="L178" s="36">
        <v>2655.0</v>
      </c>
      <c r="M178" s="36">
        <v>207595.0</v>
      </c>
      <c r="N178" s="36">
        <v>228720.0</v>
      </c>
      <c r="O178" s="36">
        <v>8.0</v>
      </c>
      <c r="P178" s="38">
        <v>2401.0</v>
      </c>
      <c r="Q178" s="38">
        <v>5.0</v>
      </c>
      <c r="R178" s="38">
        <v>1992.0</v>
      </c>
      <c r="S178" s="38">
        <v>1.0</v>
      </c>
      <c r="T178" s="38">
        <v>332.0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95.0</v>
      </c>
      <c r="J179" s="36">
        <v>132.0</v>
      </c>
      <c r="K179" s="36">
        <v>21220.0</v>
      </c>
      <c r="L179" s="36">
        <v>2312.0</v>
      </c>
      <c r="M179" s="36">
        <v>209907.0</v>
      </c>
      <c r="N179" s="36">
        <v>231127.0</v>
      </c>
      <c r="O179" s="36">
        <v>11.0</v>
      </c>
      <c r="P179" s="38">
        <v>2412.0</v>
      </c>
      <c r="Q179" s="38">
        <v>12.0</v>
      </c>
      <c r="R179" s="38">
        <v>2004.0</v>
      </c>
      <c r="S179" s="38">
        <v>0.0</v>
      </c>
      <c r="T179" s="38">
        <v>332.0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54.0</v>
      </c>
      <c r="J180" s="36">
        <v>98.0</v>
      </c>
      <c r="K180" s="36">
        <v>21274.0</v>
      </c>
      <c r="L180" s="36">
        <v>2193.0</v>
      </c>
      <c r="M180" s="36">
        <v>212100.0</v>
      </c>
      <c r="N180" s="36">
        <v>233374.0</v>
      </c>
      <c r="O180" s="36">
        <v>11.0</v>
      </c>
      <c r="P180" s="38">
        <v>2423.0</v>
      </c>
      <c r="Q180" s="38">
        <v>6.0</v>
      </c>
      <c r="R180" s="38">
        <v>2010.0</v>
      </c>
      <c r="S180" s="38">
        <v>0.0</v>
      </c>
      <c r="T180" s="38">
        <v>332.0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82.0</v>
      </c>
      <c r="J181" s="36">
        <v>77.0</v>
      </c>
      <c r="K181" s="36">
        <v>21356.0</v>
      </c>
      <c r="L181" s="36">
        <v>2848.0</v>
      </c>
      <c r="M181" s="36">
        <v>214948.0</v>
      </c>
      <c r="N181" s="36">
        <v>236304.0</v>
      </c>
      <c r="O181" s="36">
        <v>7.0</v>
      </c>
      <c r="P181" s="38">
        <v>2430.0</v>
      </c>
      <c r="Q181" s="38">
        <v>10.0</v>
      </c>
      <c r="R181" s="38">
        <v>2020.0</v>
      </c>
      <c r="S181" s="38">
        <v>1.0</v>
      </c>
      <c r="T181" s="38">
        <v>333.0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92.0</v>
      </c>
      <c r="J182" s="36">
        <v>76.0</v>
      </c>
      <c r="K182" s="36">
        <v>21448.0</v>
      </c>
      <c r="L182" s="36">
        <v>2109.0</v>
      </c>
      <c r="M182" s="36">
        <v>217057.0</v>
      </c>
      <c r="N182" s="36">
        <v>238505.0</v>
      </c>
      <c r="O182" s="36">
        <v>10.0</v>
      </c>
      <c r="P182" s="38">
        <v>2440.0</v>
      </c>
      <c r="Q182" s="38">
        <v>4.0</v>
      </c>
      <c r="R182" s="38">
        <v>2024.0</v>
      </c>
      <c r="S182" s="38">
        <v>1.0</v>
      </c>
      <c r="T182" s="38">
        <v>334.0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125.0</v>
      </c>
      <c r="J183" s="36">
        <v>100.0</v>
      </c>
      <c r="K183" s="36">
        <v>21573.0</v>
      </c>
      <c r="L183" s="36">
        <v>2814.0</v>
      </c>
      <c r="M183" s="36">
        <v>219871.0</v>
      </c>
      <c r="N183" s="36">
        <v>241444.0</v>
      </c>
      <c r="O183" s="36">
        <v>3.0</v>
      </c>
      <c r="P183" s="38">
        <v>2443.0</v>
      </c>
      <c r="Q183" s="38">
        <v>8.0</v>
      </c>
      <c r="R183" s="38">
        <v>2032.0</v>
      </c>
      <c r="S183" s="38">
        <v>0.0</v>
      </c>
      <c r="T183" s="38">
        <v>334.0</v>
      </c>
      <c r="U183" s="38">
        <v>77.0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75.0</v>
      </c>
      <c r="J184" s="36">
        <v>97.0</v>
      </c>
      <c r="K184" s="36">
        <v>21648.0</v>
      </c>
      <c r="L184" s="36">
        <v>2892.0</v>
      </c>
      <c r="M184" s="36">
        <v>222763.0</v>
      </c>
      <c r="N184" s="36">
        <v>244411.0</v>
      </c>
      <c r="O184" s="36">
        <v>6.0</v>
      </c>
      <c r="P184" s="38">
        <v>2449.0</v>
      </c>
      <c r="Q184" s="38">
        <v>13.0</v>
      </c>
      <c r="R184" s="38">
        <v>2045.0</v>
      </c>
      <c r="S184" s="38">
        <v>1.0</v>
      </c>
      <c r="T184" s="38">
        <v>335.0</v>
      </c>
      <c r="U184" s="38">
        <v>69.0</v>
      </c>
      <c r="V184" s="38">
        <v>76.0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68.0</v>
      </c>
      <c r="J185" s="36">
        <v>89.0</v>
      </c>
      <c r="K185" s="36">
        <v>21716.0</v>
      </c>
      <c r="L185" s="36">
        <v>2217.0</v>
      </c>
      <c r="M185" s="36">
        <v>224980.0</v>
      </c>
      <c r="N185" s="36">
        <v>246696.0</v>
      </c>
      <c r="O185" s="36">
        <v>14.0</v>
      </c>
      <c r="P185" s="38">
        <v>2463.0</v>
      </c>
      <c r="Q185" s="38">
        <v>4.0</v>
      </c>
      <c r="R185" s="38">
        <v>2049.0</v>
      </c>
      <c r="S185" s="38">
        <v>0.0</v>
      </c>
      <c r="T185" s="38">
        <v>335.0</v>
      </c>
      <c r="U185" s="38">
        <v>79.0</v>
      </c>
      <c r="V185" s="38">
        <v>75.0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59.0</v>
      </c>
      <c r="J186" s="36">
        <v>67.0</v>
      </c>
      <c r="K186" s="36">
        <v>21775.0</v>
      </c>
      <c r="L186" s="36">
        <v>1775.0</v>
      </c>
      <c r="M186" s="36">
        <v>226755.0</v>
      </c>
      <c r="N186" s="36">
        <v>248530.0</v>
      </c>
      <c r="O186" s="36">
        <v>6.0</v>
      </c>
      <c r="P186" s="38">
        <v>2469.0</v>
      </c>
      <c r="Q186" s="38">
        <v>8.0</v>
      </c>
      <c r="R186" s="38">
        <v>2057.0</v>
      </c>
      <c r="S186" s="38">
        <v>1.0</v>
      </c>
      <c r="T186" s="38">
        <v>336.0</v>
      </c>
      <c r="U186" s="38">
        <v>76.0</v>
      </c>
      <c r="V186" s="38">
        <v>75.0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45.0</v>
      </c>
      <c r="J187" s="36">
        <v>57.0</v>
      </c>
      <c r="K187" s="36">
        <v>21820.0</v>
      </c>
      <c r="L187" s="36">
        <v>1842.0</v>
      </c>
      <c r="M187" s="36">
        <v>228597.0</v>
      </c>
      <c r="N187" s="36">
        <v>250417.0</v>
      </c>
      <c r="O187" s="36">
        <v>7.0</v>
      </c>
      <c r="P187" s="38">
        <v>2476.0</v>
      </c>
      <c r="Q187" s="38">
        <v>4.0</v>
      </c>
      <c r="R187" s="38">
        <v>2061.0</v>
      </c>
      <c r="S187" s="38">
        <v>0.0</v>
      </c>
      <c r="T187" s="38">
        <v>336.0</v>
      </c>
      <c r="U187" s="38">
        <v>79.0</v>
      </c>
      <c r="V187" s="38">
        <v>78.0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86.0</v>
      </c>
      <c r="J188" s="36">
        <v>63.0</v>
      </c>
      <c r="K188" s="36">
        <v>21906.0</v>
      </c>
      <c r="L188" s="36">
        <v>2030.0</v>
      </c>
      <c r="M188" s="36">
        <v>230627.0</v>
      </c>
      <c r="N188" s="36">
        <v>252533.0</v>
      </c>
      <c r="O188" s="36">
        <v>12.0</v>
      </c>
      <c r="P188" s="38">
        <v>2488.0</v>
      </c>
      <c r="Q188" s="38">
        <v>16.0</v>
      </c>
      <c r="R188" s="38">
        <v>2077.0</v>
      </c>
      <c r="S188" s="38">
        <v>0.0</v>
      </c>
      <c r="T188" s="38">
        <v>336.0</v>
      </c>
      <c r="U188" s="38">
        <v>75.0</v>
      </c>
      <c r="V188" s="38">
        <v>77.0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69.0</v>
      </c>
      <c r="J189" s="36">
        <v>67.0</v>
      </c>
      <c r="K189" s="36">
        <v>21975.0</v>
      </c>
      <c r="L189" s="36">
        <v>2194.0</v>
      </c>
      <c r="M189" s="36">
        <v>232821.0</v>
      </c>
      <c r="N189" s="36">
        <v>254796.0</v>
      </c>
      <c r="O189" s="36">
        <v>6.0</v>
      </c>
      <c r="P189" s="38">
        <v>2494.0</v>
      </c>
      <c r="Q189" s="38">
        <v>9.0</v>
      </c>
      <c r="R189" s="38">
        <v>2086.0</v>
      </c>
      <c r="S189" s="38">
        <v>1.0</v>
      </c>
      <c r="T189" s="38">
        <v>337.0</v>
      </c>
      <c r="U189" s="38">
        <v>71.0</v>
      </c>
      <c r="V189" s="38">
        <v>75.0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96.0</v>
      </c>
      <c r="J190" s="36">
        <v>84.0</v>
      </c>
      <c r="K190" s="36">
        <v>22071.0</v>
      </c>
      <c r="L190" s="36">
        <v>2817.0</v>
      </c>
      <c r="M190" s="36">
        <v>235638.0</v>
      </c>
      <c r="N190" s="36">
        <v>257709.0</v>
      </c>
      <c r="O190" s="36">
        <v>9.0</v>
      </c>
      <c r="P190" s="38">
        <v>2503.0</v>
      </c>
      <c r="Q190" s="38">
        <v>10.0</v>
      </c>
      <c r="R190" s="38">
        <v>2096.0</v>
      </c>
      <c r="S190" s="38">
        <v>1.0</v>
      </c>
      <c r="T190" s="38">
        <v>338.0</v>
      </c>
      <c r="U190" s="38">
        <v>69.0</v>
      </c>
      <c r="V190" s="38">
        <v>72.0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82.0</v>
      </c>
      <c r="J191" s="36">
        <v>82.0</v>
      </c>
      <c r="K191" s="36">
        <v>22153.0</v>
      </c>
      <c r="L191" s="36">
        <v>2343.0</v>
      </c>
      <c r="M191" s="36">
        <v>237981.0</v>
      </c>
      <c r="N191" s="36">
        <v>260134.0</v>
      </c>
      <c r="O191" s="36">
        <v>8.0</v>
      </c>
      <c r="P191" s="38">
        <v>2511.0</v>
      </c>
      <c r="Q191" s="38">
        <v>7.0</v>
      </c>
      <c r="R191" s="38">
        <v>2103.0</v>
      </c>
      <c r="S191" s="38">
        <v>0.0</v>
      </c>
      <c r="T191" s="38">
        <v>338.0</v>
      </c>
      <c r="U191" s="38">
        <v>70.0</v>
      </c>
      <c r="V191" s="38">
        <v>70.0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80.0</v>
      </c>
      <c r="J192" s="36">
        <v>86.0</v>
      </c>
      <c r="K192" s="36">
        <v>22233.0</v>
      </c>
      <c r="L192" s="36">
        <v>2169.0</v>
      </c>
      <c r="M192" s="36">
        <v>240150.0</v>
      </c>
      <c r="N192" s="36">
        <v>262383.0</v>
      </c>
      <c r="O192" s="36">
        <v>11.0</v>
      </c>
      <c r="P192" s="38">
        <v>2522.0</v>
      </c>
      <c r="Q192" s="38">
        <v>4.0</v>
      </c>
      <c r="R192" s="38">
        <v>2107.0</v>
      </c>
      <c r="S192" s="38">
        <v>0.0</v>
      </c>
      <c r="T192" s="38">
        <v>338.0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37.0</v>
      </c>
      <c r="J193" s="36">
        <v>66.0</v>
      </c>
      <c r="K193" s="36">
        <v>22270.0</v>
      </c>
      <c r="L193" s="36">
        <v>1454.0</v>
      </c>
      <c r="M193" s="36">
        <v>241604.0</v>
      </c>
      <c r="N193" s="36">
        <v>263874.0</v>
      </c>
      <c r="O193" s="36">
        <v>6.0</v>
      </c>
      <c r="P193" s="38">
        <v>2528.0</v>
      </c>
      <c r="Q193" s="38">
        <v>9.0</v>
      </c>
      <c r="R193" s="38">
        <v>2116.0</v>
      </c>
      <c r="S193" s="38">
        <v>0.0</v>
      </c>
      <c r="T193" s="38">
        <v>338.0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62.0</v>
      </c>
      <c r="J194" s="36">
        <v>60.0</v>
      </c>
      <c r="K194" s="36">
        <v>22332.0</v>
      </c>
      <c r="L194" s="36">
        <v>1768.0</v>
      </c>
      <c r="M194" s="36">
        <v>243372.0</v>
      </c>
      <c r="N194" s="36">
        <v>265704.0</v>
      </c>
      <c r="O194" s="36">
        <v>4.0</v>
      </c>
      <c r="P194" s="38">
        <v>2532.0</v>
      </c>
      <c r="Q194" s="38">
        <v>8.0</v>
      </c>
      <c r="R194" s="38">
        <v>2124.0</v>
      </c>
      <c r="S194" s="38">
        <v>1.0</v>
      </c>
      <c r="T194" s="38">
        <v>339.0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27.0</v>
      </c>
      <c r="J195" s="36">
        <v>42.0</v>
      </c>
      <c r="K195" s="36">
        <v>22359.0</v>
      </c>
      <c r="L195" s="36">
        <v>593.0</v>
      </c>
      <c r="M195" s="36">
        <v>243965.0</v>
      </c>
      <c r="N195" s="36">
        <v>266324.0</v>
      </c>
      <c r="O195" s="36">
        <v>11.0</v>
      </c>
      <c r="P195" s="38">
        <v>2543.0</v>
      </c>
      <c r="Q195" s="38">
        <v>3.0</v>
      </c>
      <c r="R195" s="38">
        <v>2127.0</v>
      </c>
      <c r="S195" s="38">
        <v>0.0</v>
      </c>
      <c r="T195" s="38">
        <v>339.0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72.0</v>
      </c>
      <c r="J196" s="36">
        <v>54.0</v>
      </c>
      <c r="K196" s="36">
        <v>22431.0</v>
      </c>
      <c r="L196" s="36">
        <v>1442.0</v>
      </c>
      <c r="M196" s="36">
        <v>245407.0</v>
      </c>
      <c r="N196" s="36">
        <v>267838.0</v>
      </c>
      <c r="O196" s="36">
        <v>6.0</v>
      </c>
      <c r="P196" s="38">
        <v>2549.0</v>
      </c>
      <c r="Q196" s="38">
        <v>12.0</v>
      </c>
      <c r="R196" s="38">
        <v>2139.0</v>
      </c>
      <c r="S196" s="38">
        <v>1.0</v>
      </c>
      <c r="T196" s="38">
        <v>340.0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105.0</v>
      </c>
      <c r="J197" s="36">
        <v>68.0</v>
      </c>
      <c r="K197" s="36">
        <v>22536.0</v>
      </c>
      <c r="L197" s="36">
        <v>1950.0</v>
      </c>
      <c r="M197" s="36">
        <v>247357.0</v>
      </c>
      <c r="N197" s="36">
        <v>269893.0</v>
      </c>
      <c r="O197" s="36">
        <v>10.0</v>
      </c>
      <c r="P197" s="38">
        <v>2559.0</v>
      </c>
      <c r="Q197" s="38">
        <v>5.0</v>
      </c>
      <c r="R197" s="38">
        <v>2144.0</v>
      </c>
      <c r="S197" s="38">
        <v>1.0</v>
      </c>
      <c r="T197" s="38">
        <v>341.0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113.0</v>
      </c>
      <c r="J198" s="36">
        <v>97.0</v>
      </c>
      <c r="K198" s="36">
        <v>22649.0</v>
      </c>
      <c r="L198" s="36">
        <v>2061.0</v>
      </c>
      <c r="M198" s="36">
        <v>249418.0</v>
      </c>
      <c r="N198" s="36">
        <v>272067.0</v>
      </c>
      <c r="O198" s="36">
        <v>9.0</v>
      </c>
      <c r="P198" s="38">
        <v>2568.0</v>
      </c>
      <c r="Q198" s="38">
        <v>8.0</v>
      </c>
      <c r="R198" s="38">
        <v>2152.0</v>
      </c>
      <c r="S198" s="38">
        <v>0.0</v>
      </c>
      <c r="T198" s="38">
        <v>341.0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103.0</v>
      </c>
      <c r="J199" s="36">
        <v>107.0</v>
      </c>
      <c r="K199" s="36">
        <v>22752.0</v>
      </c>
      <c r="L199" s="36">
        <v>1791.0</v>
      </c>
      <c r="M199" s="36">
        <v>251209.0</v>
      </c>
      <c r="N199" s="36">
        <v>273961.0</v>
      </c>
      <c r="O199" s="36">
        <v>9.0</v>
      </c>
      <c r="P199" s="38">
        <v>2577.0</v>
      </c>
      <c r="Q199" s="38">
        <v>10.0</v>
      </c>
      <c r="R199" s="38">
        <v>2162.0</v>
      </c>
      <c r="S199" s="38">
        <v>0.0</v>
      </c>
      <c r="T199" s="38">
        <v>341.0</v>
      </c>
      <c r="U199" s="38">
        <v>74.0</v>
      </c>
      <c r="V199" s="38">
        <v>74.0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99.0</v>
      </c>
      <c r="J200" s="36">
        <v>105.0</v>
      </c>
      <c r="K200" s="36">
        <v>22851.0</v>
      </c>
      <c r="L200" s="36">
        <v>1361.0</v>
      </c>
      <c r="M200" s="36">
        <v>252570.0</v>
      </c>
      <c r="N200" s="36">
        <v>275421.0</v>
      </c>
      <c r="O200" s="36">
        <v>8.0</v>
      </c>
      <c r="P200" s="38">
        <v>2585.0</v>
      </c>
      <c r="Q200" s="38">
        <v>5.0</v>
      </c>
      <c r="R200" s="38">
        <v>2167.0</v>
      </c>
      <c r="S200" s="38">
        <v>2.0</v>
      </c>
      <c r="T200" s="38">
        <v>343.0</v>
      </c>
      <c r="U200" s="38">
        <v>75.0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56.0</v>
      </c>
      <c r="J201" s="36">
        <v>86.0</v>
      </c>
      <c r="K201" s="36">
        <v>22907.0</v>
      </c>
      <c r="L201" s="36">
        <v>799.0</v>
      </c>
      <c r="M201" s="36">
        <v>253369.0</v>
      </c>
      <c r="N201" s="36">
        <v>276276.0</v>
      </c>
      <c r="O201" s="36">
        <v>4.0</v>
      </c>
      <c r="P201" s="38">
        <v>2589.0</v>
      </c>
      <c r="Q201" s="38">
        <v>3.0</v>
      </c>
      <c r="R201" s="38">
        <v>2170.0</v>
      </c>
      <c r="S201" s="38">
        <v>0.0</v>
      </c>
      <c r="T201" s="38">
        <v>343.0</v>
      </c>
      <c r="U201" s="38">
        <v>76.0</v>
      </c>
      <c r="V201" s="38">
        <v>75.0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93.0</v>
      </c>
      <c r="J202" s="36">
        <v>83.0</v>
      </c>
      <c r="K202" s="36">
        <v>23000.0</v>
      </c>
      <c r="L202" s="36">
        <v>1564.0</v>
      </c>
      <c r="M202" s="36">
        <v>254933.0</v>
      </c>
      <c r="N202" s="36">
        <v>277933.0</v>
      </c>
      <c r="O202" s="36">
        <v>6.0</v>
      </c>
      <c r="P202" s="38">
        <v>2595.0</v>
      </c>
      <c r="Q202" s="38">
        <v>3.0</v>
      </c>
      <c r="R202" s="38">
        <v>2173.0</v>
      </c>
      <c r="S202" s="38">
        <v>2.0</v>
      </c>
      <c r="T202" s="38">
        <v>345.0</v>
      </c>
      <c r="U202" s="38">
        <v>77.0</v>
      </c>
      <c r="V202" s="38">
        <v>76.0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124.0</v>
      </c>
      <c r="J203" s="36">
        <v>91.0</v>
      </c>
      <c r="K203" s="36">
        <v>23124.0</v>
      </c>
      <c r="L203" s="36">
        <v>1995.0</v>
      </c>
      <c r="M203" s="36">
        <v>256928.0</v>
      </c>
      <c r="N203" s="36">
        <v>280052.0</v>
      </c>
      <c r="O203" s="36">
        <v>7.0</v>
      </c>
      <c r="P203" s="38">
        <v>2602.0</v>
      </c>
      <c r="Q203" s="38">
        <v>2.0</v>
      </c>
      <c r="R203" s="38">
        <v>2175.0</v>
      </c>
      <c r="S203" s="38">
        <v>1.0</v>
      </c>
      <c r="T203" s="38">
        <v>346.0</v>
      </c>
      <c r="U203" s="38">
        <v>81.0</v>
      </c>
      <c r="V203" s="38">
        <v>78.0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120.0</v>
      </c>
      <c r="J204" s="36">
        <v>112.0</v>
      </c>
      <c r="K204" s="36">
        <v>23244.0</v>
      </c>
      <c r="L204" s="36">
        <v>1797.0</v>
      </c>
      <c r="M204" s="36">
        <v>258725.0</v>
      </c>
      <c r="N204" s="36">
        <v>281969.0</v>
      </c>
      <c r="O204" s="36">
        <v>7.0</v>
      </c>
      <c r="P204" s="38">
        <v>2609.0</v>
      </c>
      <c r="Q204" s="38">
        <v>6.0</v>
      </c>
      <c r="R204" s="38">
        <v>2181.0</v>
      </c>
      <c r="S204" s="38">
        <v>2.0</v>
      </c>
      <c r="T204" s="38">
        <v>348.0</v>
      </c>
      <c r="U204" s="38">
        <v>80.0</v>
      </c>
      <c r="V204" s="38">
        <v>79.0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145.0</v>
      </c>
      <c r="J205" s="36">
        <v>130.0</v>
      </c>
      <c r="K205" s="36">
        <v>23389.0</v>
      </c>
      <c r="L205" s="36">
        <v>1762.0</v>
      </c>
      <c r="M205" s="36">
        <v>260487.0</v>
      </c>
      <c r="N205" s="36">
        <v>283876.0</v>
      </c>
      <c r="O205" s="36">
        <v>7.0</v>
      </c>
      <c r="P205" s="38">
        <v>2616.0</v>
      </c>
      <c r="Q205" s="38">
        <v>15.0</v>
      </c>
      <c r="R205" s="38">
        <v>2196.0</v>
      </c>
      <c r="S205" s="38">
        <v>0.0</v>
      </c>
      <c r="T205" s="38">
        <v>348.0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138.0</v>
      </c>
      <c r="J206" s="36">
        <v>134.0</v>
      </c>
      <c r="K206" s="36">
        <v>23527.0</v>
      </c>
      <c r="L206" s="36">
        <v>1741.0</v>
      </c>
      <c r="M206" s="36">
        <v>262228.0</v>
      </c>
      <c r="N206" s="36">
        <v>285755.0</v>
      </c>
      <c r="O206" s="36">
        <v>7.0</v>
      </c>
      <c r="P206" s="38">
        <v>2623.0</v>
      </c>
      <c r="Q206" s="38">
        <v>7.0</v>
      </c>
      <c r="R206" s="38">
        <v>2203.0</v>
      </c>
      <c r="S206" s="38">
        <v>1.0</v>
      </c>
      <c r="T206" s="38">
        <v>349.0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113.0</v>
      </c>
      <c r="J207" s="36">
        <v>132.0</v>
      </c>
      <c r="K207" s="36">
        <v>23640.0</v>
      </c>
      <c r="L207" s="36">
        <v>1557.0</v>
      </c>
      <c r="M207" s="36">
        <v>263785.0</v>
      </c>
      <c r="N207" s="36">
        <v>287425.0</v>
      </c>
      <c r="O207" s="36">
        <v>7.0</v>
      </c>
      <c r="P207" s="38">
        <v>2630.0</v>
      </c>
      <c r="Q207" s="38">
        <v>3.0</v>
      </c>
      <c r="R207" s="38">
        <v>2206.0</v>
      </c>
      <c r="S207" s="38">
        <v>0.0</v>
      </c>
      <c r="T207" s="38">
        <v>349.0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43.0</v>
      </c>
      <c r="J208" s="36">
        <v>98.0</v>
      </c>
      <c r="K208" s="36">
        <v>23683.0</v>
      </c>
      <c r="L208" s="36">
        <v>1194.0</v>
      </c>
      <c r="M208" s="36">
        <v>264979.0</v>
      </c>
      <c r="N208" s="36">
        <v>288662.0</v>
      </c>
      <c r="O208" s="36">
        <v>7.0</v>
      </c>
      <c r="P208" s="38">
        <v>2637.0</v>
      </c>
      <c r="Q208" s="38">
        <v>6.0</v>
      </c>
      <c r="R208" s="38">
        <v>2212.0</v>
      </c>
      <c r="S208" s="38">
        <v>2.0</v>
      </c>
      <c r="T208" s="38">
        <v>351.0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98.0</v>
      </c>
      <c r="J209" s="36">
        <v>85.0</v>
      </c>
      <c r="K209" s="36">
        <v>23781.0</v>
      </c>
      <c r="L209" s="36">
        <v>2253.0</v>
      </c>
      <c r="M209" s="36">
        <v>267232.0</v>
      </c>
      <c r="N209" s="36">
        <v>291013.0</v>
      </c>
      <c r="O209" s="36">
        <v>12.0</v>
      </c>
      <c r="P209" s="38">
        <v>2649.0</v>
      </c>
      <c r="Q209" s="38">
        <v>3.0</v>
      </c>
      <c r="R209" s="38">
        <v>2215.0</v>
      </c>
      <c r="S209" s="38">
        <v>2.0</v>
      </c>
      <c r="T209" s="38">
        <v>353.0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127.0</v>
      </c>
      <c r="J210" s="36">
        <v>89.0</v>
      </c>
      <c r="K210" s="36">
        <v>23908.0</v>
      </c>
      <c r="L210" s="36">
        <v>1995.0</v>
      </c>
      <c r="M210" s="36">
        <v>269227.0</v>
      </c>
      <c r="N210" s="36">
        <v>293135.0</v>
      </c>
      <c r="O210" s="36">
        <v>12.0</v>
      </c>
      <c r="P210" s="38">
        <v>2661.0</v>
      </c>
      <c r="Q210" s="38">
        <v>3.0</v>
      </c>
      <c r="R210" s="38">
        <v>2218.0</v>
      </c>
      <c r="S210" s="38">
        <v>1.0</v>
      </c>
      <c r="T210" s="38">
        <v>354.0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120.0</v>
      </c>
      <c r="J211" s="36">
        <v>115.0</v>
      </c>
      <c r="K211" s="36">
        <v>24028.0</v>
      </c>
      <c r="L211" s="36">
        <v>2021.0</v>
      </c>
      <c r="M211" s="36">
        <v>271248.0</v>
      </c>
      <c r="N211" s="36">
        <v>295276.0</v>
      </c>
      <c r="O211" s="36">
        <v>13.0</v>
      </c>
      <c r="P211" s="38">
        <v>2674.0</v>
      </c>
      <c r="Q211" s="38">
        <v>7.0</v>
      </c>
      <c r="R211" s="38">
        <v>2225.0</v>
      </c>
      <c r="S211" s="38">
        <v>0.0</v>
      </c>
      <c r="T211" s="38">
        <v>354.0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125.0</v>
      </c>
      <c r="J212" s="36">
        <v>124.0</v>
      </c>
      <c r="K212" s="36">
        <v>24153.0</v>
      </c>
      <c r="L212" s="36">
        <v>2859.0</v>
      </c>
      <c r="M212" s="36">
        <v>274107.0</v>
      </c>
      <c r="N212" s="36">
        <v>298260.0</v>
      </c>
      <c r="O212" s="36">
        <v>7.0</v>
      </c>
      <c r="P212" s="38">
        <v>2681.0</v>
      </c>
      <c r="Q212" s="38">
        <v>8.0</v>
      </c>
      <c r="R212" s="38">
        <v>2233.0</v>
      </c>
      <c r="S212" s="38">
        <v>1.0</v>
      </c>
      <c r="T212" s="38">
        <v>355.0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142.0</v>
      </c>
      <c r="J213" s="36">
        <v>129.0</v>
      </c>
      <c r="K213" s="36">
        <v>24295.0</v>
      </c>
      <c r="L213" s="36">
        <v>2717.0</v>
      </c>
      <c r="M213" s="36">
        <v>276824.0</v>
      </c>
      <c r="N213" s="36">
        <v>301119.0</v>
      </c>
      <c r="O213" s="36">
        <v>9.0</v>
      </c>
      <c r="P213" s="38">
        <v>2690.0</v>
      </c>
      <c r="Q213" s="38">
        <v>10.0</v>
      </c>
      <c r="R213" s="38">
        <v>2243.0</v>
      </c>
      <c r="S213" s="38">
        <v>0.0</v>
      </c>
      <c r="T213" s="38">
        <v>355.0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128.0</v>
      </c>
      <c r="J214" s="36">
        <v>132.0</v>
      </c>
      <c r="K214" s="36">
        <v>24423.0</v>
      </c>
      <c r="L214" s="36">
        <v>2269.0</v>
      </c>
      <c r="M214" s="36">
        <v>279093.0</v>
      </c>
      <c r="N214" s="36">
        <v>303516.0</v>
      </c>
      <c r="O214" s="36">
        <v>12.0</v>
      </c>
      <c r="P214" s="38">
        <v>2702.0</v>
      </c>
      <c r="Q214" s="38">
        <v>8.0</v>
      </c>
      <c r="R214" s="38">
        <v>2251.0</v>
      </c>
      <c r="S214" s="38">
        <v>1.0</v>
      </c>
      <c r="T214" s="38">
        <v>356.0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37.0</v>
      </c>
      <c r="J215" s="36">
        <v>102.0</v>
      </c>
      <c r="K215" s="36">
        <v>24460.0</v>
      </c>
      <c r="L215" s="36">
        <v>783.0</v>
      </c>
      <c r="M215" s="36">
        <v>279876.0</v>
      </c>
      <c r="N215" s="36">
        <v>304336.0</v>
      </c>
      <c r="O215" s="36">
        <v>7.0</v>
      </c>
      <c r="P215" s="38">
        <v>2709.0</v>
      </c>
      <c r="Q215" s="38">
        <v>5.0</v>
      </c>
      <c r="R215" s="38">
        <v>2256.0</v>
      </c>
      <c r="S215" s="38">
        <v>0.0</v>
      </c>
      <c r="T215" s="38">
        <v>356.0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141.0</v>
      </c>
      <c r="J216" s="36">
        <v>102.0</v>
      </c>
      <c r="K216" s="36">
        <v>24601.0</v>
      </c>
      <c r="L216" s="36">
        <v>2091.0</v>
      </c>
      <c r="M216" s="36">
        <v>281967.0</v>
      </c>
      <c r="N216" s="36">
        <v>306568.0</v>
      </c>
      <c r="O216" s="36">
        <v>7.0</v>
      </c>
      <c r="P216" s="38">
        <v>2716.0</v>
      </c>
      <c r="Q216" s="38">
        <v>7.0</v>
      </c>
      <c r="R216" s="38">
        <v>2263.0</v>
      </c>
      <c r="S216" s="38">
        <v>2.0</v>
      </c>
      <c r="T216" s="38">
        <v>358.0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183.0</v>
      </c>
      <c r="J217" s="36">
        <v>120.0</v>
      </c>
      <c r="K217" s="36">
        <v>24784.0</v>
      </c>
      <c r="L217" s="36">
        <v>2551.0</v>
      </c>
      <c r="M217" s="36">
        <v>284518.0</v>
      </c>
      <c r="N217" s="36">
        <v>309302.0</v>
      </c>
      <c r="O217" s="36">
        <v>12.0</v>
      </c>
      <c r="P217" s="38">
        <v>2728.0</v>
      </c>
      <c r="Q217" s="38">
        <v>18.0</v>
      </c>
      <c r="R217" s="38">
        <v>2281.0</v>
      </c>
      <c r="S217" s="38">
        <v>1.0</v>
      </c>
      <c r="T217" s="38">
        <v>359.0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186.0</v>
      </c>
      <c r="J218" s="36">
        <v>170.0</v>
      </c>
      <c r="K218" s="36">
        <v>24970.0</v>
      </c>
      <c r="L218" s="36">
        <v>2359.0</v>
      </c>
      <c r="M218" s="36">
        <v>286877.0</v>
      </c>
      <c r="N218" s="36">
        <v>311847.0</v>
      </c>
      <c r="O218" s="36">
        <v>6.0</v>
      </c>
      <c r="P218" s="38">
        <v>2734.0</v>
      </c>
      <c r="Q218" s="38">
        <v>6.0</v>
      </c>
      <c r="R218" s="38">
        <v>2287.0</v>
      </c>
      <c r="S218" s="38">
        <v>0.0</v>
      </c>
      <c r="T218" s="38">
        <v>359.0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165.0</v>
      </c>
      <c r="J219" s="36">
        <v>178.0</v>
      </c>
      <c r="K219" s="36">
        <v>25135.0</v>
      </c>
      <c r="L219" s="36">
        <v>2181.0</v>
      </c>
      <c r="M219" s="36">
        <v>289058.0</v>
      </c>
      <c r="N219" s="36">
        <v>314193.0</v>
      </c>
      <c r="O219" s="36">
        <v>17.0</v>
      </c>
      <c r="P219" s="38">
        <v>2751.0</v>
      </c>
      <c r="Q219" s="38">
        <v>13.0</v>
      </c>
      <c r="R219" s="38">
        <v>2300.0</v>
      </c>
      <c r="S219" s="38">
        <v>1.0</v>
      </c>
      <c r="T219" s="38">
        <v>360.0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184.0</v>
      </c>
      <c r="J220" s="36">
        <v>178.0</v>
      </c>
      <c r="K220" s="36">
        <v>25319.0</v>
      </c>
      <c r="L220" s="36">
        <v>2268.0</v>
      </c>
      <c r="M220" s="36">
        <v>291326.0</v>
      </c>
      <c r="N220" s="36">
        <v>316645.0</v>
      </c>
      <c r="O220" s="36">
        <v>14.0</v>
      </c>
      <c r="P220" s="38">
        <v>2765.0</v>
      </c>
      <c r="Q220" s="38">
        <v>13.0</v>
      </c>
      <c r="R220" s="38">
        <v>2313.0</v>
      </c>
      <c r="S220" s="38">
        <v>1.0</v>
      </c>
      <c r="T220" s="38">
        <v>361.0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140.0</v>
      </c>
      <c r="J221" s="36">
        <v>163.0</v>
      </c>
      <c r="K221" s="36">
        <v>25459.0</v>
      </c>
      <c r="L221" s="36">
        <v>1853.0</v>
      </c>
      <c r="M221" s="36">
        <v>293179.0</v>
      </c>
      <c r="N221" s="36">
        <v>318638.0</v>
      </c>
      <c r="O221" s="36">
        <v>8.0</v>
      </c>
      <c r="P221" s="38">
        <v>2773.0</v>
      </c>
      <c r="Q221" s="38">
        <v>8.0</v>
      </c>
      <c r="R221" s="38">
        <v>2321.0</v>
      </c>
      <c r="S221" s="38">
        <v>2.0</v>
      </c>
      <c r="T221" s="38">
        <v>363.0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78.0</v>
      </c>
      <c r="J222" s="36">
        <v>134.0</v>
      </c>
      <c r="K222" s="36">
        <v>25537.0</v>
      </c>
      <c r="L222" s="36">
        <v>869.0</v>
      </c>
      <c r="M222" s="36">
        <v>294048.0</v>
      </c>
      <c r="N222" s="36">
        <v>319585.0</v>
      </c>
      <c r="O222" s="36">
        <v>11.0</v>
      </c>
      <c r="P222" s="38">
        <v>2784.0</v>
      </c>
      <c r="Q222" s="38">
        <v>9.0</v>
      </c>
      <c r="R222" s="38">
        <v>2330.0</v>
      </c>
      <c r="S222" s="38">
        <v>1.0</v>
      </c>
      <c r="T222" s="38">
        <v>364.0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171.0</v>
      </c>
      <c r="J223" s="36">
        <v>130.0</v>
      </c>
      <c r="K223" s="36">
        <v>25708.0</v>
      </c>
      <c r="L223" s="36">
        <v>2786.0</v>
      </c>
      <c r="M223" s="36">
        <v>296834.0</v>
      </c>
      <c r="N223" s="36">
        <v>322542.0</v>
      </c>
      <c r="O223" s="36">
        <v>29.0</v>
      </c>
      <c r="P223" s="38">
        <v>2813.0</v>
      </c>
      <c r="Q223" s="38">
        <v>9.0</v>
      </c>
      <c r="R223" s="38">
        <v>2339.0</v>
      </c>
      <c r="S223" s="38">
        <v>2.0</v>
      </c>
      <c r="T223" s="38">
        <v>366.0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180.0</v>
      </c>
      <c r="J224" s="36">
        <v>143.0</v>
      </c>
      <c r="K224" s="36">
        <v>25888.0</v>
      </c>
      <c r="L224" s="36">
        <v>2641.0</v>
      </c>
      <c r="M224" s="36">
        <v>299475.0</v>
      </c>
      <c r="N224" s="36">
        <v>325363.0</v>
      </c>
      <c r="O224" s="36">
        <v>11.0</v>
      </c>
      <c r="P224" s="38">
        <v>2824.0</v>
      </c>
      <c r="Q224" s="38">
        <v>4.0</v>
      </c>
      <c r="R224" s="38">
        <v>2343.0</v>
      </c>
      <c r="S224" s="38">
        <v>0.0</v>
      </c>
      <c r="T224" s="38">
        <v>366.0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247.0</v>
      </c>
      <c r="J225" s="36">
        <v>199.0</v>
      </c>
      <c r="K225" s="36">
        <v>26135.0</v>
      </c>
      <c r="L225" s="36">
        <v>3218.0</v>
      </c>
      <c r="M225" s="36">
        <v>302693.0</v>
      </c>
      <c r="N225" s="36">
        <v>328828.0</v>
      </c>
      <c r="O225" s="36">
        <v>13.0</v>
      </c>
      <c r="P225" s="38">
        <v>2837.0</v>
      </c>
      <c r="Q225" s="38">
        <v>14.0</v>
      </c>
      <c r="R225" s="38">
        <v>2357.0</v>
      </c>
      <c r="S225" s="38">
        <v>2.0</v>
      </c>
      <c r="T225" s="38">
        <v>368.0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269.0</v>
      </c>
      <c r="J226" s="36">
        <v>232.0</v>
      </c>
      <c r="K226" s="36">
        <v>26404.0</v>
      </c>
      <c r="L226" s="36">
        <v>3811.0</v>
      </c>
      <c r="M226" s="36">
        <v>306504.0</v>
      </c>
      <c r="N226" s="36">
        <v>332908.0</v>
      </c>
      <c r="O226" s="36">
        <v>17.0</v>
      </c>
      <c r="P226" s="38">
        <v>2854.0</v>
      </c>
      <c r="Q226" s="38">
        <v>13.0</v>
      </c>
      <c r="R226" s="38">
        <v>2370.0</v>
      </c>
      <c r="S226" s="38">
        <v>2.0</v>
      </c>
      <c r="T226" s="38">
        <v>370.0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198.0</v>
      </c>
      <c r="J227" s="36">
        <v>238.0</v>
      </c>
      <c r="K227" s="36">
        <v>26602.0</v>
      </c>
      <c r="L227" s="36">
        <v>3821.0</v>
      </c>
      <c r="M227" s="36">
        <v>310325.0</v>
      </c>
      <c r="N227" s="36">
        <v>336927.0</v>
      </c>
      <c r="O227" s="36">
        <v>21.0</v>
      </c>
      <c r="P227" s="38">
        <v>2875.0</v>
      </c>
      <c r="Q227" s="38">
        <v>12.0</v>
      </c>
      <c r="R227" s="38">
        <v>2382.0</v>
      </c>
      <c r="S227" s="38">
        <v>0.0</v>
      </c>
      <c r="T227" s="38">
        <v>370.0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183.0</v>
      </c>
      <c r="J228" s="36">
        <v>217.0</v>
      </c>
      <c r="K228" s="36">
        <v>26785.0</v>
      </c>
      <c r="L228" s="36">
        <v>3438.0</v>
      </c>
      <c r="M228" s="36">
        <v>313763.0</v>
      </c>
      <c r="N228" s="36">
        <v>340548.0</v>
      </c>
      <c r="O228" s="36">
        <v>18.0</v>
      </c>
      <c r="P228" s="38">
        <v>2893.0</v>
      </c>
      <c r="Q228" s="38">
        <v>9.0</v>
      </c>
      <c r="R228" s="38">
        <v>2391.0</v>
      </c>
      <c r="S228" s="38">
        <v>1.0</v>
      </c>
      <c r="T228" s="38">
        <v>371.0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91.0</v>
      </c>
      <c r="J229" s="36">
        <v>157.0</v>
      </c>
      <c r="K229" s="36">
        <v>26876.0</v>
      </c>
      <c r="L229" s="36">
        <v>1071.0</v>
      </c>
      <c r="M229" s="36">
        <v>314834.0</v>
      </c>
      <c r="N229" s="36">
        <v>341710.0</v>
      </c>
      <c r="O229" s="36">
        <v>11.0</v>
      </c>
      <c r="P229" s="38">
        <v>2904.0</v>
      </c>
      <c r="Q229" s="38">
        <v>8.0</v>
      </c>
      <c r="R229" s="38">
        <v>2399.0</v>
      </c>
      <c r="S229" s="38">
        <v>1.0</v>
      </c>
      <c r="T229" s="38">
        <v>372.0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172.0</v>
      </c>
      <c r="J230" s="36">
        <v>149.0</v>
      </c>
      <c r="K230" s="36">
        <v>27048.0</v>
      </c>
      <c r="L230" s="36">
        <v>1587.0</v>
      </c>
      <c r="M230" s="36">
        <v>316421.0</v>
      </c>
      <c r="N230" s="36">
        <v>343469.0</v>
      </c>
      <c r="O230" s="36">
        <v>19.0</v>
      </c>
      <c r="P230" s="38">
        <v>2923.0</v>
      </c>
      <c r="Q230" s="38">
        <v>15.0</v>
      </c>
      <c r="R230" s="38">
        <v>2414.0</v>
      </c>
      <c r="S230" s="38">
        <v>2.0</v>
      </c>
      <c r="T230" s="38">
        <v>374.0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224.0</v>
      </c>
      <c r="J231" s="36">
        <v>162.0</v>
      </c>
      <c r="K231" s="36">
        <v>27272.0</v>
      </c>
      <c r="L231" s="36">
        <v>2138.0</v>
      </c>
      <c r="M231" s="36">
        <v>318559.0</v>
      </c>
      <c r="N231" s="36">
        <v>345831.0</v>
      </c>
      <c r="O231" s="36">
        <v>16.0</v>
      </c>
      <c r="P231" s="38">
        <v>2939.0</v>
      </c>
      <c r="Q231" s="38">
        <v>13.0</v>
      </c>
      <c r="R231" s="38">
        <v>2427.0</v>
      </c>
      <c r="S231" s="38">
        <v>4.0</v>
      </c>
      <c r="T231" s="38">
        <v>378.0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297.0</v>
      </c>
      <c r="J232" s="36">
        <v>231.0</v>
      </c>
      <c r="K232" s="36">
        <v>27569.0</v>
      </c>
      <c r="L232" s="36">
        <v>3679.0</v>
      </c>
      <c r="M232" s="36">
        <v>322238.0</v>
      </c>
      <c r="N232" s="36">
        <v>349807.0</v>
      </c>
      <c r="O232" s="36">
        <v>17.0</v>
      </c>
      <c r="P232" s="38">
        <v>2956.0</v>
      </c>
      <c r="Q232" s="38">
        <v>7.0</v>
      </c>
      <c r="R232" s="38">
        <v>2434.0</v>
      </c>
      <c r="S232" s="38">
        <v>0.0</v>
      </c>
      <c r="T232" s="38">
        <v>378.0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244.0</v>
      </c>
      <c r="J233" s="36">
        <v>255.0</v>
      </c>
      <c r="K233" s="36">
        <v>27813.0</v>
      </c>
      <c r="L233" s="36">
        <v>3267.0</v>
      </c>
      <c r="M233" s="36">
        <v>325505.0</v>
      </c>
      <c r="N233" s="36">
        <v>353318.0</v>
      </c>
      <c r="O233" s="36">
        <v>11.0</v>
      </c>
      <c r="P233" s="38">
        <v>2967.0</v>
      </c>
      <c r="Q233" s="38">
        <v>15.0</v>
      </c>
      <c r="R233" s="38">
        <v>2449.0</v>
      </c>
      <c r="S233" s="38">
        <v>1.0</v>
      </c>
      <c r="T233" s="38">
        <v>379.0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291.0</v>
      </c>
      <c r="J234" s="36">
        <v>277.0</v>
      </c>
      <c r="K234" s="36">
        <v>28104.0</v>
      </c>
      <c r="L234" s="36">
        <v>3063.0</v>
      </c>
      <c r="M234" s="36">
        <v>328568.0</v>
      </c>
      <c r="N234" s="36">
        <v>356672.0</v>
      </c>
      <c r="O234" s="36">
        <v>13.0</v>
      </c>
      <c r="P234" s="38">
        <v>2980.0</v>
      </c>
      <c r="Q234" s="38">
        <v>18.0</v>
      </c>
      <c r="R234" s="38">
        <v>2467.0</v>
      </c>
      <c r="S234" s="38">
        <v>1.0</v>
      </c>
      <c r="T234" s="38">
        <v>380.0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299.0</v>
      </c>
      <c r="J235" s="36">
        <v>278.0</v>
      </c>
      <c r="K235" s="36">
        <v>28403.0</v>
      </c>
      <c r="L235" s="36">
        <v>2959.0</v>
      </c>
      <c r="M235" s="36">
        <v>331527.0</v>
      </c>
      <c r="N235" s="36">
        <v>359930.0</v>
      </c>
      <c r="O235" s="36">
        <v>19.0</v>
      </c>
      <c r="P235" s="38">
        <v>2999.0</v>
      </c>
      <c r="Q235" s="38">
        <v>11.0</v>
      </c>
      <c r="R235" s="38">
        <v>2478.0</v>
      </c>
      <c r="S235" s="38">
        <v>1.0</v>
      </c>
      <c r="T235" s="38">
        <v>381.0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126.0</v>
      </c>
      <c r="J236" s="36">
        <v>239.0</v>
      </c>
      <c r="K236" s="36">
        <v>28529.0</v>
      </c>
      <c r="L236" s="36">
        <v>1194.0</v>
      </c>
      <c r="M236" s="36">
        <v>332721.0</v>
      </c>
      <c r="N236" s="36">
        <v>361250.0</v>
      </c>
      <c r="O236" s="36">
        <v>18.0</v>
      </c>
      <c r="P236" s="38">
        <v>3017.0</v>
      </c>
      <c r="Q236" s="38">
        <v>11.0</v>
      </c>
      <c r="R236" s="38">
        <v>2489.0</v>
      </c>
      <c r="S236" s="38">
        <v>0.0</v>
      </c>
      <c r="T236" s="38">
        <v>381.0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313.0</v>
      </c>
      <c r="J237" s="36">
        <v>246.0</v>
      </c>
      <c r="K237" s="36">
        <v>28842.0</v>
      </c>
      <c r="L237" s="36">
        <v>2378.0</v>
      </c>
      <c r="M237" s="36">
        <v>335099.0</v>
      </c>
      <c r="N237" s="36">
        <v>363941.0</v>
      </c>
      <c r="O237" s="36">
        <v>20.0</v>
      </c>
      <c r="P237" s="38">
        <v>3037.0</v>
      </c>
      <c r="Q237" s="38">
        <v>21.0</v>
      </c>
      <c r="R237" s="38">
        <v>2510.0</v>
      </c>
      <c r="S237" s="38">
        <v>2.0</v>
      </c>
      <c r="T237" s="38">
        <v>383.0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378.0</v>
      </c>
      <c r="J238" s="36">
        <v>272.0</v>
      </c>
      <c r="K238" s="36">
        <v>29220.0</v>
      </c>
      <c r="L238" s="36">
        <v>2763.0</v>
      </c>
      <c r="M238" s="36">
        <v>337862.0</v>
      </c>
      <c r="N238" s="36">
        <v>367082.0</v>
      </c>
      <c r="O238" s="36">
        <v>22.0</v>
      </c>
      <c r="P238" s="38">
        <v>3059.0</v>
      </c>
      <c r="Q238" s="38">
        <v>16.0</v>
      </c>
      <c r="R238" s="38">
        <v>2526.0</v>
      </c>
      <c r="S238" s="38">
        <v>0.0</v>
      </c>
      <c r="T238" s="38">
        <v>383.0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475.0</v>
      </c>
      <c r="J239" s="36">
        <v>389.0</v>
      </c>
      <c r="K239" s="36">
        <v>29695.0</v>
      </c>
      <c r="L239" s="36">
        <v>3191.0</v>
      </c>
      <c r="M239" s="36">
        <v>341053.0</v>
      </c>
      <c r="N239" s="36">
        <v>370748.0</v>
      </c>
      <c r="O239" s="36">
        <v>23.0</v>
      </c>
      <c r="P239" s="38">
        <v>3082.0</v>
      </c>
      <c r="Q239" s="38">
        <v>8.0</v>
      </c>
      <c r="R239" s="38">
        <v>2534.0</v>
      </c>
      <c r="S239" s="38">
        <v>2.0</v>
      </c>
      <c r="T239" s="38">
        <v>385.0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523.0</v>
      </c>
      <c r="J240" s="36">
        <v>459.0</v>
      </c>
      <c r="K240" s="36">
        <v>30218.0</v>
      </c>
      <c r="L240" s="36">
        <v>2931.0</v>
      </c>
      <c r="M240" s="36">
        <v>343984.0</v>
      </c>
      <c r="N240" s="36">
        <v>374202.0</v>
      </c>
      <c r="O240" s="36">
        <v>24.0</v>
      </c>
      <c r="P240" s="38">
        <v>3106.0</v>
      </c>
      <c r="Q240" s="38">
        <v>20.0</v>
      </c>
      <c r="R240" s="38">
        <v>2554.0</v>
      </c>
      <c r="S240" s="38">
        <v>3.0</v>
      </c>
      <c r="T240" s="38">
        <v>388.0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455.0</v>
      </c>
      <c r="J241" s="36">
        <v>484.0</v>
      </c>
      <c r="K241" s="36">
        <v>30673.0</v>
      </c>
      <c r="L241" s="36">
        <v>2613.0</v>
      </c>
      <c r="M241" s="36">
        <v>346597.0</v>
      </c>
      <c r="N241" s="36">
        <v>377270.0</v>
      </c>
      <c r="O241" s="36">
        <v>22.0</v>
      </c>
      <c r="P241" s="38">
        <v>3128.0</v>
      </c>
      <c r="Q241" s="38">
        <v>22.0</v>
      </c>
      <c r="R241" s="38">
        <v>2576.0</v>
      </c>
      <c r="S241" s="38">
        <v>1.0</v>
      </c>
      <c r="T241" s="38">
        <v>389.0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334.0</v>
      </c>
      <c r="J242" s="36">
        <v>437.0</v>
      </c>
      <c r="K242" s="36">
        <v>31007.0</v>
      </c>
      <c r="L242" s="36">
        <v>2074.0</v>
      </c>
      <c r="M242" s="36">
        <v>348671.0</v>
      </c>
      <c r="N242" s="36">
        <v>379678.0</v>
      </c>
      <c r="O242" s="36">
        <v>17.0</v>
      </c>
      <c r="P242" s="38">
        <v>3145.0</v>
      </c>
      <c r="Q242" s="38">
        <v>11.0</v>
      </c>
      <c r="R242" s="38">
        <v>2587.0</v>
      </c>
      <c r="S242" s="38">
        <v>0.0</v>
      </c>
      <c r="T242" s="38">
        <v>389.0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191.0</v>
      </c>
      <c r="J243" s="36">
        <v>327.0</v>
      </c>
      <c r="K243" s="36">
        <v>31198.0</v>
      </c>
      <c r="L243" s="36">
        <v>1335.0</v>
      </c>
      <c r="M243" s="36">
        <v>350006.0</v>
      </c>
      <c r="N243" s="36">
        <v>381204.0</v>
      </c>
      <c r="O243" s="36">
        <v>16.0</v>
      </c>
      <c r="P243" s="38">
        <v>3161.0</v>
      </c>
      <c r="Q243" s="38">
        <v>15.0</v>
      </c>
      <c r="R243" s="38">
        <v>2602.0</v>
      </c>
      <c r="S243" s="38">
        <v>1.0</v>
      </c>
      <c r="T243" s="38">
        <v>390.0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384.0</v>
      </c>
      <c r="J244" s="36">
        <v>303.0</v>
      </c>
      <c r="K244" s="36">
        <v>31582.0</v>
      </c>
      <c r="L244" s="36">
        <v>2744.0</v>
      </c>
      <c r="M244" s="36">
        <v>352750.0</v>
      </c>
      <c r="N244" s="36">
        <v>384332.0</v>
      </c>
      <c r="O244" s="36">
        <v>28.0</v>
      </c>
      <c r="P244" s="38">
        <v>3189.0</v>
      </c>
      <c r="Q244" s="38">
        <v>15.0</v>
      </c>
      <c r="R244" s="38">
        <v>2617.0</v>
      </c>
      <c r="S244" s="38">
        <v>2.0</v>
      </c>
      <c r="T244" s="38">
        <v>392.0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474.0</v>
      </c>
      <c r="J245" s="36">
        <v>350.0</v>
      </c>
      <c r="K245" s="36">
        <v>32056.0</v>
      </c>
      <c r="L245" s="36">
        <v>2216.0</v>
      </c>
      <c r="M245" s="36">
        <v>354966.0</v>
      </c>
      <c r="N245" s="36">
        <v>387022.0</v>
      </c>
      <c r="O245" s="36">
        <v>28.0</v>
      </c>
      <c r="P245" s="38">
        <v>3217.0</v>
      </c>
      <c r="Q245" s="38">
        <v>14.0</v>
      </c>
      <c r="R245" s="38">
        <v>2631.0</v>
      </c>
      <c r="S245" s="38">
        <v>2.0</v>
      </c>
      <c r="T245" s="38">
        <v>394.0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423.0</v>
      </c>
      <c r="J246" s="36">
        <v>427.0</v>
      </c>
      <c r="K246" s="36">
        <v>32479.0</v>
      </c>
      <c r="L246" s="36">
        <v>2486.0</v>
      </c>
      <c r="M246" s="36">
        <v>357452.0</v>
      </c>
      <c r="N246" s="36">
        <v>389931.0</v>
      </c>
      <c r="O246" s="36">
        <v>24.0</v>
      </c>
      <c r="P246" s="38">
        <v>3241.0</v>
      </c>
      <c r="Q246" s="38">
        <v>25.0</v>
      </c>
      <c r="R246" s="38">
        <v>2656.0</v>
      </c>
      <c r="S246" s="38">
        <v>1.0</v>
      </c>
      <c r="T246" s="38">
        <v>395.0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511.0</v>
      </c>
      <c r="J247" s="36">
        <v>469.0</v>
      </c>
      <c r="K247" s="36">
        <v>32990.0</v>
      </c>
      <c r="L247" s="36">
        <v>2912.0</v>
      </c>
      <c r="M247" s="36">
        <v>360364.0</v>
      </c>
      <c r="N247" s="36">
        <v>393354.0</v>
      </c>
      <c r="O247" s="36">
        <v>20.0</v>
      </c>
      <c r="P247" s="38">
        <v>3261.0</v>
      </c>
      <c r="Q247" s="38">
        <v>22.0</v>
      </c>
      <c r="R247" s="38">
        <v>2678.0</v>
      </c>
      <c r="S247" s="38">
        <v>3.0</v>
      </c>
      <c r="T247" s="38">
        <v>398.0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481.0</v>
      </c>
      <c r="J248" s="36">
        <v>472.0</v>
      </c>
      <c r="K248" s="36">
        <v>33471.0</v>
      </c>
      <c r="L248" s="36">
        <v>2727.0</v>
      </c>
      <c r="M248" s="36">
        <v>363091.0</v>
      </c>
      <c r="N248" s="36">
        <v>396562.0</v>
      </c>
      <c r="O248" s="36">
        <v>22.0</v>
      </c>
      <c r="P248" s="38">
        <v>3283.0</v>
      </c>
      <c r="Q248" s="38">
        <v>21.0</v>
      </c>
      <c r="R248" s="38">
        <v>2699.0</v>
      </c>
      <c r="S248" s="38">
        <v>5.0</v>
      </c>
      <c r="T248" s="38">
        <v>403.0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481.0</v>
      </c>
      <c r="J249" s="36">
        <v>491.0</v>
      </c>
      <c r="K249" s="36">
        <v>33952.0</v>
      </c>
      <c r="L249" s="36">
        <v>2243.0</v>
      </c>
      <c r="M249" s="36">
        <v>365334.0</v>
      </c>
      <c r="N249" s="36">
        <v>399286.0</v>
      </c>
      <c r="O249" s="36">
        <v>32.0</v>
      </c>
      <c r="P249" s="38">
        <v>3315.0</v>
      </c>
      <c r="Q249" s="38">
        <v>13.0</v>
      </c>
      <c r="R249" s="38">
        <v>2712.0</v>
      </c>
      <c r="S249" s="38">
        <v>1.0</v>
      </c>
      <c r="T249" s="38">
        <v>404.0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279.0</v>
      </c>
      <c r="J250" s="36">
        <v>414.0</v>
      </c>
      <c r="K250" s="36">
        <v>34231.0</v>
      </c>
      <c r="L250" s="36">
        <v>1158.0</v>
      </c>
      <c r="M250" s="36">
        <v>366492.0</v>
      </c>
      <c r="N250" s="36">
        <v>400723.0</v>
      </c>
      <c r="O250" s="36">
        <v>21.0</v>
      </c>
      <c r="P250" s="38">
        <v>3336.0</v>
      </c>
      <c r="Q250" s="38">
        <v>15.0</v>
      </c>
      <c r="R250" s="38">
        <v>2727.0</v>
      </c>
      <c r="S250" s="38">
        <v>1.0</v>
      </c>
      <c r="T250" s="38">
        <v>405.0</v>
      </c>
      <c r="U250" s="38">
        <v>204.0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432.0</v>
      </c>
      <c r="J251" s="36">
        <v>397.0</v>
      </c>
      <c r="K251" s="36">
        <v>34663.0</v>
      </c>
      <c r="L251" s="36">
        <v>2729.0</v>
      </c>
      <c r="M251" s="36">
        <v>369221.0</v>
      </c>
      <c r="N251" s="36">
        <v>403884.0</v>
      </c>
      <c r="O251" s="36">
        <v>38.0</v>
      </c>
      <c r="P251" s="38">
        <v>3374.0</v>
      </c>
      <c r="Q251" s="38">
        <v>26.0</v>
      </c>
      <c r="R251" s="38">
        <v>2753.0</v>
      </c>
      <c r="S251" s="38">
        <v>3.0</v>
      </c>
      <c r="T251" s="38">
        <v>408.0</v>
      </c>
      <c r="U251" s="38">
        <v>213.0</v>
      </c>
      <c r="V251" s="38">
        <v>205.0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559.0</v>
      </c>
      <c r="J252" s="36">
        <v>423.0</v>
      </c>
      <c r="K252" s="36">
        <v>35222.0</v>
      </c>
      <c r="L252" s="36">
        <v>2310.0</v>
      </c>
      <c r="M252" s="36">
        <v>371531.0</v>
      </c>
      <c r="N252" s="36">
        <v>406753.0</v>
      </c>
      <c r="O252" s="36">
        <v>33.0</v>
      </c>
      <c r="P252" s="38">
        <v>3407.0</v>
      </c>
      <c r="Q252" s="38">
        <v>25.0</v>
      </c>
      <c r="R252" s="38">
        <v>2778.0</v>
      </c>
      <c r="S252" s="38">
        <v>1.0</v>
      </c>
      <c r="T252" s="38">
        <v>409.0</v>
      </c>
      <c r="U252" s="38">
        <v>220.0</v>
      </c>
      <c r="V252" s="38">
        <v>212.0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635.0</v>
      </c>
      <c r="J253" s="36">
        <v>542.0</v>
      </c>
      <c r="K253" s="36">
        <v>35857.0</v>
      </c>
      <c r="L253" s="36">
        <v>2708.0</v>
      </c>
      <c r="M253" s="36">
        <v>374239.0</v>
      </c>
      <c r="N253" s="36">
        <v>410096.0</v>
      </c>
      <c r="O253" s="36">
        <v>32.0</v>
      </c>
      <c r="P253" s="38">
        <v>3439.0</v>
      </c>
      <c r="Q253" s="38">
        <v>25.0</v>
      </c>
      <c r="R253" s="38">
        <v>2803.0</v>
      </c>
      <c r="S253" s="38">
        <v>2.0</v>
      </c>
      <c r="T253" s="38">
        <v>411.0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681.0</v>
      </c>
      <c r="J254" s="36">
        <v>625.0</v>
      </c>
      <c r="K254" s="36">
        <v>36538.0</v>
      </c>
      <c r="L254" s="36">
        <v>2633.0</v>
      </c>
      <c r="M254" s="36">
        <v>376872.0</v>
      </c>
      <c r="N254" s="36">
        <v>413410.0</v>
      </c>
      <c r="O254" s="36">
        <v>46.0</v>
      </c>
      <c r="P254" s="38">
        <v>3485.0</v>
      </c>
      <c r="Q254" s="38">
        <v>35.0</v>
      </c>
      <c r="R254" s="38">
        <v>2838.0</v>
      </c>
      <c r="S254" s="38">
        <v>1.0</v>
      </c>
      <c r="T254" s="38">
        <v>412.0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702.0</v>
      </c>
      <c r="J255" s="36">
        <v>673.0</v>
      </c>
      <c r="K255" s="36">
        <v>37240.0</v>
      </c>
      <c r="L255" s="36">
        <v>2813.0</v>
      </c>
      <c r="M255" s="36">
        <v>379685.0</v>
      </c>
      <c r="N255" s="36">
        <v>416925.0</v>
      </c>
      <c r="O255" s="36">
        <v>43.0</v>
      </c>
      <c r="P255" s="38">
        <v>3528.0</v>
      </c>
      <c r="Q255" s="38">
        <v>31.0</v>
      </c>
      <c r="R255" s="38">
        <v>2869.0</v>
      </c>
      <c r="S255" s="38">
        <v>1.0</v>
      </c>
      <c r="T255" s="38">
        <v>413.0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584.0</v>
      </c>
      <c r="J256" s="36">
        <v>656.0</v>
      </c>
      <c r="K256" s="36">
        <v>37824.0</v>
      </c>
      <c r="L256" s="36">
        <v>2278.0</v>
      </c>
      <c r="M256" s="36">
        <v>381963.0</v>
      </c>
      <c r="N256" s="36">
        <v>419787.0</v>
      </c>
      <c r="O256" s="36">
        <v>34.0</v>
      </c>
      <c r="P256" s="38">
        <v>3562.0</v>
      </c>
      <c r="Q256" s="38">
        <v>25.0</v>
      </c>
      <c r="R256" s="38">
        <v>2894.0</v>
      </c>
      <c r="S256" s="38">
        <v>1.0</v>
      </c>
      <c r="T256" s="38">
        <v>414.0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295.0</v>
      </c>
      <c r="J257" s="36">
        <v>527.0</v>
      </c>
      <c r="K257" s="36">
        <v>38119.0</v>
      </c>
      <c r="L257" s="36">
        <v>1194.0</v>
      </c>
      <c r="M257" s="36">
        <v>383157.0</v>
      </c>
      <c r="N257" s="36">
        <v>421276.0</v>
      </c>
      <c r="O257" s="36">
        <v>33.0</v>
      </c>
      <c r="P257" s="38">
        <v>3595.0</v>
      </c>
      <c r="Q257" s="38">
        <v>26.0</v>
      </c>
      <c r="R257" s="38">
        <v>2920.0</v>
      </c>
      <c r="S257" s="38">
        <v>1.0</v>
      </c>
      <c r="T257" s="38">
        <v>415.0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766.0</v>
      </c>
      <c r="J258" s="36">
        <v>548.0</v>
      </c>
      <c r="K258" s="36">
        <v>38885.0</v>
      </c>
      <c r="L258" s="36">
        <v>2148.0</v>
      </c>
      <c r="M258" s="36">
        <v>385305.0</v>
      </c>
      <c r="N258" s="36">
        <v>424190.0</v>
      </c>
      <c r="O258" s="36">
        <v>39.0</v>
      </c>
      <c r="P258" s="38">
        <v>3634.0</v>
      </c>
      <c r="Q258" s="38">
        <v>33.0</v>
      </c>
      <c r="R258" s="38">
        <v>2953.0</v>
      </c>
      <c r="S258" s="38">
        <v>2.0</v>
      </c>
      <c r="T258" s="38">
        <v>417.0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995.0</v>
      </c>
      <c r="J259" s="36">
        <v>685.0</v>
      </c>
      <c r="K259" s="36">
        <v>39880.0</v>
      </c>
      <c r="L259" s="36">
        <v>2657.0</v>
      </c>
      <c r="M259" s="36">
        <v>387962.0</v>
      </c>
      <c r="N259" s="36">
        <v>427842.0</v>
      </c>
      <c r="O259" s="36">
        <v>44.0</v>
      </c>
      <c r="P259" s="38">
        <v>3678.0</v>
      </c>
      <c r="Q259" s="38">
        <v>35.0</v>
      </c>
      <c r="R259" s="38">
        <v>2988.0</v>
      </c>
      <c r="S259" s="38">
        <v>0.0</v>
      </c>
      <c r="T259" s="38">
        <v>417.0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1037.0</v>
      </c>
      <c r="J260" s="36">
        <v>933.0</v>
      </c>
      <c r="K260" s="36">
        <v>40917.0</v>
      </c>
      <c r="L260" s="36">
        <v>2470.0</v>
      </c>
      <c r="M260" s="36">
        <v>390432.0</v>
      </c>
      <c r="N260" s="36">
        <v>431349.0</v>
      </c>
      <c r="O260" s="36">
        <v>41.0</v>
      </c>
      <c r="P260" s="38">
        <v>3719.0</v>
      </c>
      <c r="Q260" s="38">
        <v>24.0</v>
      </c>
      <c r="R260" s="38">
        <v>3012.0</v>
      </c>
      <c r="S260" s="38">
        <v>5.0</v>
      </c>
      <c r="T260" s="38">
        <v>422.0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792.0</v>
      </c>
      <c r="J261" s="36">
        <v>941.0</v>
      </c>
      <c r="K261" s="36">
        <v>41709.0</v>
      </c>
      <c r="L261" s="36">
        <v>2048.0</v>
      </c>
      <c r="M261" s="36">
        <v>392480.0</v>
      </c>
      <c r="N261" s="36">
        <v>434189.0</v>
      </c>
      <c r="O261" s="36">
        <v>39.0</v>
      </c>
      <c r="P261" s="38">
        <v>3758.0</v>
      </c>
      <c r="Q261" s="38">
        <v>31.0</v>
      </c>
      <c r="R261" s="38">
        <v>3043.0</v>
      </c>
      <c r="S261" s="38">
        <v>3.0</v>
      </c>
      <c r="T261" s="38">
        <v>425.0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1084.0</v>
      </c>
      <c r="J262" s="36">
        <v>971.0</v>
      </c>
      <c r="K262" s="36">
        <v>42793.0</v>
      </c>
      <c r="L262" s="36">
        <v>2863.0</v>
      </c>
      <c r="M262" s="36">
        <v>395343.0</v>
      </c>
      <c r="N262" s="36">
        <v>438136.0</v>
      </c>
      <c r="O262" s="36">
        <v>41.0</v>
      </c>
      <c r="P262" s="38">
        <v>3799.0</v>
      </c>
      <c r="Q262" s="38">
        <v>31.0</v>
      </c>
      <c r="R262" s="38">
        <v>3074.0</v>
      </c>
      <c r="S262" s="38">
        <v>0.0</v>
      </c>
      <c r="T262" s="38">
        <v>425.0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765.0</v>
      </c>
      <c r="J263" s="36">
        <v>880.0</v>
      </c>
      <c r="K263" s="36">
        <v>43558.0</v>
      </c>
      <c r="L263" s="36">
        <v>2299.0</v>
      </c>
      <c r="M263" s="36">
        <v>397642.0</v>
      </c>
      <c r="N263" s="36">
        <v>441200.0</v>
      </c>
      <c r="O263" s="36">
        <v>41.0</v>
      </c>
      <c r="P263" s="38">
        <v>3840.0</v>
      </c>
      <c r="Q263" s="38">
        <v>25.0</v>
      </c>
      <c r="R263" s="38">
        <v>3099.0</v>
      </c>
      <c r="S263" s="38">
        <v>5.0</v>
      </c>
      <c r="T263" s="38">
        <v>430.0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506.0</v>
      </c>
      <c r="J264" s="36">
        <v>785.0</v>
      </c>
      <c r="K264" s="36">
        <v>44064.0</v>
      </c>
      <c r="L264" s="36">
        <v>1330.0</v>
      </c>
      <c r="M264" s="36">
        <v>398972.0</v>
      </c>
      <c r="N264" s="36">
        <v>443036.0</v>
      </c>
      <c r="O264" s="36">
        <v>47.0</v>
      </c>
      <c r="P264" s="38">
        <v>3887.0</v>
      </c>
      <c r="Q264" s="38">
        <v>20.0</v>
      </c>
      <c r="R264" s="38">
        <v>3119.0</v>
      </c>
      <c r="S264" s="38">
        <v>5.0</v>
      </c>
      <c r="T264" s="38">
        <v>435.0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670.0</v>
      </c>
      <c r="J265" s="36">
        <v>647.0</v>
      </c>
      <c r="K265" s="36">
        <v>44734.0</v>
      </c>
      <c r="L265" s="36">
        <v>2466.0</v>
      </c>
      <c r="M265" s="36">
        <v>401438.0</v>
      </c>
      <c r="N265" s="36">
        <v>446172.0</v>
      </c>
      <c r="O265" s="36">
        <v>56.0</v>
      </c>
      <c r="P265" s="38">
        <v>3943.0</v>
      </c>
      <c r="Q265" s="38">
        <v>39.0</v>
      </c>
      <c r="R265" s="38">
        <v>3158.0</v>
      </c>
      <c r="S265" s="38">
        <v>3.0</v>
      </c>
      <c r="T265" s="38">
        <v>438.0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18180.0</v>
      </c>
      <c r="F266" s="37">
        <v>1325692.0</v>
      </c>
      <c r="G266" s="37">
        <v>19749.0</v>
      </c>
      <c r="H266" s="37">
        <v>1384226.0</v>
      </c>
      <c r="I266" s="36">
        <v>1405.0</v>
      </c>
      <c r="J266" s="36">
        <v>860.0</v>
      </c>
      <c r="K266" s="36">
        <v>46139.0</v>
      </c>
      <c r="L266" s="36">
        <v>3848.0</v>
      </c>
      <c r="M266" s="36">
        <v>405286.0</v>
      </c>
      <c r="N266" s="36">
        <v>451425.0</v>
      </c>
      <c r="O266" s="36">
        <v>58.0</v>
      </c>
      <c r="P266" s="38">
        <v>4001.0</v>
      </c>
      <c r="Q266" s="38">
        <v>44.0</v>
      </c>
      <c r="R266" s="38">
        <v>3202.0</v>
      </c>
      <c r="S266" s="38">
        <v>2.0</v>
      </c>
      <c r="T266" s="38">
        <v>440.0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1341771.0</v>
      </c>
      <c r="G267" s="37">
        <v>17225.0</v>
      </c>
      <c r="H267" s="37">
        <v>1401451.0</v>
      </c>
      <c r="I267" s="36">
        <v>1014.0</v>
      </c>
      <c r="J267" s="36">
        <v>1030.0</v>
      </c>
      <c r="K267" s="36">
        <v>47153.0</v>
      </c>
      <c r="L267" s="36">
        <v>2991.0</v>
      </c>
      <c r="M267" s="36">
        <v>408277.0</v>
      </c>
      <c r="N267" s="36">
        <v>455430.0</v>
      </c>
      <c r="O267" s="36">
        <v>39.0</v>
      </c>
      <c r="P267" s="38">
        <v>4040.0</v>
      </c>
      <c r="Q267" s="38">
        <v>38.0</v>
      </c>
      <c r="R267" s="38">
        <v>3240.0</v>
      </c>
      <c r="S267" s="38">
        <v>5.0</v>
      </c>
      <c r="T267" s="38">
        <v>445.0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1354957.0</v>
      </c>
      <c r="G268" s="37">
        <v>14325.0</v>
      </c>
      <c r="H268" s="37">
        <v>1415776.0</v>
      </c>
      <c r="I268" s="36">
        <v>1035.0</v>
      </c>
      <c r="J268" s="36">
        <v>1151.0</v>
      </c>
      <c r="K268" s="36">
        <v>48188.0</v>
      </c>
      <c r="L268" s="36">
        <v>3152.0</v>
      </c>
      <c r="M268" s="36">
        <v>411429.0</v>
      </c>
      <c r="N268" s="36">
        <v>459617.0</v>
      </c>
      <c r="O268" s="36">
        <v>47.0</v>
      </c>
      <c r="P268" s="38">
        <v>4087.0</v>
      </c>
      <c r="Q268" s="38">
        <v>42.0</v>
      </c>
      <c r="R268" s="38">
        <v>3282.0</v>
      </c>
      <c r="S268" s="38">
        <v>4.0</v>
      </c>
      <c r="T268" s="38">
        <v>449.0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1377185.0</v>
      </c>
      <c r="G269" s="37">
        <v>23691.0</v>
      </c>
      <c r="H269" s="37">
        <v>1439467.0</v>
      </c>
      <c r="I269" s="36">
        <v>1288.0</v>
      </c>
      <c r="J269" s="36">
        <v>1112.0</v>
      </c>
      <c r="K269" s="36">
        <v>49476.0</v>
      </c>
      <c r="L269" s="36">
        <v>4056.0</v>
      </c>
      <c r="M269" s="36">
        <v>415485.0</v>
      </c>
      <c r="N269" s="36">
        <v>464961.0</v>
      </c>
      <c r="O269" s="36">
        <v>48.0</v>
      </c>
      <c r="P269" s="38">
        <v>4135.0</v>
      </c>
      <c r="Q269" s="38">
        <v>47.0</v>
      </c>
      <c r="R269" s="38">
        <v>3329.0</v>
      </c>
      <c r="S269" s="38">
        <v>3.0</v>
      </c>
      <c r="T269" s="38">
        <v>452.0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1394566.0</v>
      </c>
      <c r="G270" s="37">
        <v>18234.0</v>
      </c>
      <c r="H270" s="37">
        <v>1457701.0</v>
      </c>
      <c r="I270" s="36">
        <v>743.0</v>
      </c>
      <c r="J270" s="36">
        <v>1022.0</v>
      </c>
      <c r="K270" s="36">
        <v>50219.0</v>
      </c>
      <c r="L270" s="36">
        <v>2942.0</v>
      </c>
      <c r="M270" s="36">
        <v>418427.0</v>
      </c>
      <c r="N270" s="36">
        <v>468646.0</v>
      </c>
      <c r="O270" s="36">
        <v>42.0</v>
      </c>
      <c r="P270" s="38">
        <v>4177.0</v>
      </c>
      <c r="Q270" s="38">
        <v>33.0</v>
      </c>
      <c r="R270" s="38">
        <v>3362.0</v>
      </c>
      <c r="S270" s="38">
        <v>5.0</v>
      </c>
      <c r="T270" s="38">
        <v>457.0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1402091.0</v>
      </c>
      <c r="G271" s="37">
        <v>8098.0</v>
      </c>
      <c r="H271" s="37">
        <v>1465799.0</v>
      </c>
      <c r="I271" s="36">
        <v>457.0</v>
      </c>
      <c r="J271" s="36">
        <v>829.0</v>
      </c>
      <c r="K271" s="36">
        <v>50676.0</v>
      </c>
      <c r="L271" s="36">
        <v>1677.0</v>
      </c>
      <c r="M271" s="36">
        <v>420104.0</v>
      </c>
      <c r="N271" s="36">
        <v>470780.0</v>
      </c>
      <c r="O271" s="36">
        <v>64.0</v>
      </c>
      <c r="P271" s="38">
        <v>4241.0</v>
      </c>
      <c r="Q271" s="38">
        <v>27.0</v>
      </c>
      <c r="R271" s="38">
        <v>3389.0</v>
      </c>
      <c r="S271" s="38">
        <v>4.0</v>
      </c>
      <c r="T271" s="38">
        <v>461.0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1413127.0</v>
      </c>
      <c r="G272" s="37">
        <v>12034.0</v>
      </c>
      <c r="H272" s="37">
        <v>1477833.0</v>
      </c>
      <c r="I272" s="36">
        <v>906.0</v>
      </c>
      <c r="J272" s="36">
        <v>702.0</v>
      </c>
      <c r="K272" s="36">
        <v>51582.0</v>
      </c>
      <c r="L272" s="36">
        <v>3181.0</v>
      </c>
      <c r="M272" s="36">
        <v>423285.0</v>
      </c>
      <c r="N272" s="36">
        <v>474867.0</v>
      </c>
      <c r="O272" s="36">
        <v>74.0</v>
      </c>
      <c r="P272" s="38">
        <v>4315.0</v>
      </c>
      <c r="Q272" s="38">
        <v>39.0</v>
      </c>
      <c r="R272" s="38">
        <v>3428.0</v>
      </c>
      <c r="S272" s="38">
        <v>0.0</v>
      </c>
      <c r="T272" s="38">
        <v>461.0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14581.0</v>
      </c>
      <c r="F273" s="37">
        <v>1427708.0</v>
      </c>
      <c r="G273" s="37">
        <v>15635.0</v>
      </c>
      <c r="H273" s="37">
        <v>1493468.0</v>
      </c>
      <c r="I273" s="36">
        <v>950.0</v>
      </c>
      <c r="J273" s="36">
        <v>771.0</v>
      </c>
      <c r="K273" s="36">
        <v>52532.0</v>
      </c>
      <c r="L273" s="36">
        <v>2571.0</v>
      </c>
      <c r="M273" s="36">
        <v>425856.0</v>
      </c>
      <c r="N273" s="36">
        <v>478388.0</v>
      </c>
      <c r="O273" s="36">
        <v>45.0</v>
      </c>
      <c r="P273" s="38">
        <v>4360.0</v>
      </c>
      <c r="Q273" s="38">
        <v>59.0</v>
      </c>
      <c r="R273" s="38">
        <v>3487.0</v>
      </c>
      <c r="S273" s="38">
        <v>6.0</v>
      </c>
      <c r="T273" s="38">
        <v>467.0</v>
      </c>
      <c r="U273" s="38">
        <v>406.0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18807.0</v>
      </c>
      <c r="F274" s="37">
        <v>1446515.0</v>
      </c>
      <c r="G274" s="37">
        <v>20076.0</v>
      </c>
      <c r="H274" s="37">
        <v>1513544.0</v>
      </c>
      <c r="I274" s="36">
        <v>1210.0</v>
      </c>
      <c r="J274" s="36">
        <v>1022.0</v>
      </c>
      <c r="K274" s="36">
        <v>53742.0</v>
      </c>
      <c r="L274" s="36">
        <v>3223.0</v>
      </c>
      <c r="M274" s="36">
        <v>429079.0</v>
      </c>
      <c r="N274" s="36">
        <v>482821.0</v>
      </c>
      <c r="O274" s="36">
        <v>59.0</v>
      </c>
      <c r="P274" s="38">
        <v>4419.0</v>
      </c>
      <c r="Q274" s="38">
        <v>59.0</v>
      </c>
      <c r="R274" s="38">
        <v>3546.0</v>
      </c>
      <c r="S274" s="38">
        <v>4.0</v>
      </c>
      <c r="T274" s="38">
        <v>471.0</v>
      </c>
      <c r="U274" s="38">
        <v>402.0</v>
      </c>
      <c r="V274" s="38">
        <v>411.0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1453004.0</v>
      </c>
      <c r="G275" s="37">
        <v>7042.0</v>
      </c>
      <c r="H275" s="37">
        <v>1520586.0</v>
      </c>
      <c r="I275" s="36">
        <v>415.0</v>
      </c>
      <c r="J275" s="36">
        <v>858.0</v>
      </c>
      <c r="K275" s="36">
        <v>54157.0</v>
      </c>
      <c r="L275" s="36">
        <v>1427.0</v>
      </c>
      <c r="M275" s="36">
        <v>430506.0</v>
      </c>
      <c r="N275" s="36">
        <v>484663.0</v>
      </c>
      <c r="O275" s="36">
        <v>50.0</v>
      </c>
      <c r="P275" s="38">
        <v>4469.0</v>
      </c>
      <c r="Q275" s="38">
        <v>34.0</v>
      </c>
      <c r="R275" s="38">
        <v>3580.0</v>
      </c>
      <c r="S275" s="38">
        <v>4.0</v>
      </c>
      <c r="T275" s="38">
        <v>475.0</v>
      </c>
      <c r="U275" s="38">
        <v>414.0</v>
      </c>
      <c r="V275" s="38">
        <v>407.0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9727.0</v>
      </c>
      <c r="F276" s="37">
        <v>1462731.0</v>
      </c>
      <c r="G276" s="37">
        <v>10771.0</v>
      </c>
      <c r="H276" s="37">
        <v>1531357.0</v>
      </c>
      <c r="I276" s="36">
        <v>981.0</v>
      </c>
      <c r="J276" s="36">
        <v>869.0</v>
      </c>
      <c r="K276" s="36">
        <v>55138.0</v>
      </c>
      <c r="L276" s="36">
        <v>2371.0</v>
      </c>
      <c r="M276" s="36">
        <v>432877.0</v>
      </c>
      <c r="N276" s="36">
        <v>488015.0</v>
      </c>
      <c r="O276" s="36">
        <v>52.0</v>
      </c>
      <c r="P276" s="38">
        <v>4521.0</v>
      </c>
      <c r="Q276" s="38">
        <v>47.0</v>
      </c>
      <c r="R276" s="38">
        <v>3627.0</v>
      </c>
      <c r="S276" s="38">
        <v>7.0</v>
      </c>
      <c r="T276" s="38">
        <v>482.0</v>
      </c>
      <c r="U276" s="38">
        <v>412.0</v>
      </c>
      <c r="V276" s="38">
        <v>409.0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1474694.0</v>
      </c>
      <c r="G277" s="37">
        <v>13155.0</v>
      </c>
      <c r="H277" s="37">
        <v>1544512.0</v>
      </c>
      <c r="I277" s="36">
        <v>1083.0</v>
      </c>
      <c r="J277" s="36">
        <v>826.0</v>
      </c>
      <c r="K277" s="36">
        <v>56221.0</v>
      </c>
      <c r="L277" s="36">
        <v>2655.0</v>
      </c>
      <c r="M277" s="36">
        <v>435532.0</v>
      </c>
      <c r="N277" s="36">
        <v>491753.0</v>
      </c>
      <c r="O277" s="36">
        <v>64.0</v>
      </c>
      <c r="P277" s="38">
        <v>4585.0</v>
      </c>
      <c r="Q277" s="38">
        <v>38.0</v>
      </c>
      <c r="R277" s="38">
        <v>3665.0</v>
      </c>
      <c r="S277" s="38">
        <v>0.0</v>
      </c>
      <c r="T277" s="38">
        <v>482.0</v>
      </c>
      <c r="U277" s="38">
        <v>438.0</v>
      </c>
      <c r="V277" s="38">
        <v>421.0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1481629.0</v>
      </c>
      <c r="G278" s="37">
        <v>7763.0</v>
      </c>
      <c r="H278" s="37">
        <v>1552275.0</v>
      </c>
      <c r="I278" s="36">
        <v>759.0</v>
      </c>
      <c r="J278" s="36">
        <v>941.0</v>
      </c>
      <c r="K278" s="36">
        <v>56980.0</v>
      </c>
      <c r="L278" s="36">
        <v>2192.0</v>
      </c>
      <c r="M278" s="36">
        <v>437724.0</v>
      </c>
      <c r="N278" s="36">
        <v>494704.0</v>
      </c>
      <c r="O278" s="36">
        <v>62.0</v>
      </c>
      <c r="P278" s="38">
        <v>4647.0</v>
      </c>
      <c r="Q278" s="38">
        <v>35.0</v>
      </c>
      <c r="R278" s="38">
        <v>3700.0</v>
      </c>
      <c r="S278" s="38">
        <v>3.0</v>
      </c>
      <c r="T278" s="38">
        <v>485.0</v>
      </c>
      <c r="U278" s="38">
        <v>462.0</v>
      </c>
      <c r="V278" s="38">
        <v>437.0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1491563.0</v>
      </c>
      <c r="G279" s="37">
        <v>11228.0</v>
      </c>
      <c r="H279" s="37">
        <v>1563503.0</v>
      </c>
      <c r="I279" s="36">
        <v>1184.0</v>
      </c>
      <c r="J279" s="36">
        <v>1009.0</v>
      </c>
      <c r="K279" s="36">
        <v>58164.0</v>
      </c>
      <c r="L279" s="36">
        <v>2625.0</v>
      </c>
      <c r="M279" s="36">
        <v>440349.0</v>
      </c>
      <c r="N279" s="36">
        <v>498513.0</v>
      </c>
      <c r="O279" s="36">
        <v>66.0</v>
      </c>
      <c r="P279" s="38">
        <v>4713.0</v>
      </c>
      <c r="Q279" s="38">
        <v>58.0</v>
      </c>
      <c r="R279" s="38">
        <v>3758.0</v>
      </c>
      <c r="S279" s="38">
        <v>2.0</v>
      </c>
      <c r="T279" s="38">
        <v>487.0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1505586.0</v>
      </c>
      <c r="G280" s="37">
        <v>15590.0</v>
      </c>
      <c r="H280" s="37">
        <v>1579093.0</v>
      </c>
      <c r="I280" s="36">
        <v>1447.0</v>
      </c>
      <c r="J280" s="36">
        <v>1130.0</v>
      </c>
      <c r="K280" s="36">
        <v>59611.0</v>
      </c>
      <c r="L280" s="36">
        <v>3209.0</v>
      </c>
      <c r="M280" s="36">
        <v>443558.0</v>
      </c>
      <c r="N280" s="36">
        <v>503169.0</v>
      </c>
      <c r="O280" s="36">
        <v>62.0</v>
      </c>
      <c r="P280" s="38">
        <v>4775.0</v>
      </c>
      <c r="Q280" s="38">
        <v>55.0</v>
      </c>
      <c r="R280" s="38">
        <v>3813.0</v>
      </c>
      <c r="S280" s="38">
        <v>4.0</v>
      </c>
      <c r="T280" s="38">
        <v>491.0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1521108.0</v>
      </c>
      <c r="G281" s="37">
        <v>17094.0</v>
      </c>
      <c r="H281" s="37">
        <v>1596187.0</v>
      </c>
      <c r="I281" s="36">
        <v>1471.0</v>
      </c>
      <c r="J281" s="36">
        <v>1367.0</v>
      </c>
      <c r="K281" s="36">
        <v>61082.0</v>
      </c>
      <c r="L281" s="36">
        <v>3042.0</v>
      </c>
      <c r="M281" s="36">
        <v>446600.0</v>
      </c>
      <c r="N281" s="36">
        <v>507682.0</v>
      </c>
      <c r="O281" s="36">
        <v>55.0</v>
      </c>
      <c r="P281" s="38">
        <v>4830.0</v>
      </c>
      <c r="Q281" s="38">
        <v>51.0</v>
      </c>
      <c r="R281" s="38">
        <v>3864.0</v>
      </c>
      <c r="S281" s="38">
        <v>7.0</v>
      </c>
      <c r="T281" s="38">
        <v>498.0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14627.0</v>
      </c>
      <c r="F282" s="37">
        <v>1535735.0</v>
      </c>
      <c r="G282" s="37">
        <v>16403.0</v>
      </c>
      <c r="H282" s="37">
        <v>1612590.0</v>
      </c>
      <c r="I282" s="36">
        <v>1608.0</v>
      </c>
      <c r="J282" s="36">
        <v>1509.0</v>
      </c>
      <c r="K282" s="36">
        <v>62690.0</v>
      </c>
      <c r="L282" s="36">
        <v>3115.0</v>
      </c>
      <c r="M282" s="36">
        <v>449715.0</v>
      </c>
      <c r="N282" s="36">
        <v>512405.0</v>
      </c>
      <c r="O282" s="36">
        <v>64.0</v>
      </c>
      <c r="P282" s="38">
        <v>4894.0</v>
      </c>
      <c r="Q282" s="38">
        <v>76.0</v>
      </c>
      <c r="R282" s="38">
        <v>3940.0</v>
      </c>
      <c r="S282" s="38">
        <v>5.0</v>
      </c>
      <c r="T282" s="38">
        <v>503.0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1552245.0</v>
      </c>
      <c r="G283" s="37">
        <v>18166.0</v>
      </c>
      <c r="H283" s="37">
        <v>1630756.0</v>
      </c>
      <c r="I283" s="36">
        <v>1501.0</v>
      </c>
      <c r="J283" s="36">
        <v>1527.0</v>
      </c>
      <c r="K283" s="36">
        <v>64191.0</v>
      </c>
      <c r="L283" s="36">
        <v>3557.0</v>
      </c>
      <c r="M283" s="36">
        <v>453272.0</v>
      </c>
      <c r="N283" s="36">
        <v>517463.0</v>
      </c>
      <c r="O283" s="36">
        <v>70.0</v>
      </c>
      <c r="P283" s="38">
        <v>4964.0</v>
      </c>
      <c r="Q283" s="38">
        <v>48.0</v>
      </c>
      <c r="R283" s="38">
        <v>3988.0</v>
      </c>
      <c r="S283" s="38">
        <v>7.0</v>
      </c>
      <c r="T283" s="38">
        <v>510.0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1564858.0</v>
      </c>
      <c r="G284" s="37">
        <v>13813.0</v>
      </c>
      <c r="H284" s="37">
        <v>1644569.0</v>
      </c>
      <c r="I284" s="36">
        <v>1098.0</v>
      </c>
      <c r="J284" s="36">
        <v>1402.0</v>
      </c>
      <c r="K284" s="36">
        <v>65289.0</v>
      </c>
      <c r="L284" s="36">
        <v>2721.0</v>
      </c>
      <c r="M284" s="36">
        <v>455993.0</v>
      </c>
      <c r="N284" s="36">
        <v>521282.0</v>
      </c>
      <c r="O284" s="36">
        <v>67.0</v>
      </c>
      <c r="P284" s="38">
        <v>5031.0</v>
      </c>
      <c r="Q284" s="38">
        <v>39.0</v>
      </c>
      <c r="R284" s="38">
        <v>4027.0</v>
      </c>
      <c r="S284" s="38">
        <v>4.0</v>
      </c>
      <c r="T284" s="38">
        <v>514.0</v>
      </c>
      <c r="U284" s="38">
        <v>490.0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1572707.0</v>
      </c>
      <c r="G285" s="37">
        <v>8976.0</v>
      </c>
      <c r="H285" s="37">
        <v>1653545.0</v>
      </c>
      <c r="I285" s="36">
        <v>963.0</v>
      </c>
      <c r="J285" s="36">
        <v>1187.0</v>
      </c>
      <c r="K285" s="36">
        <v>66252.0</v>
      </c>
      <c r="L285" s="36">
        <v>2309.0</v>
      </c>
      <c r="M285" s="36">
        <v>458302.0</v>
      </c>
      <c r="N285" s="36">
        <v>524554.0</v>
      </c>
      <c r="O285" s="36">
        <v>59.0</v>
      </c>
      <c r="P285" s="38">
        <v>5090.0</v>
      </c>
      <c r="Q285" s="38">
        <v>45.0</v>
      </c>
      <c r="R285" s="38">
        <v>4072.0</v>
      </c>
      <c r="S285" s="38">
        <v>10.0</v>
      </c>
      <c r="T285" s="38">
        <v>524.0</v>
      </c>
      <c r="U285" s="38">
        <v>494.0</v>
      </c>
      <c r="V285" s="38">
        <v>483.0</v>
      </c>
      <c r="W285" s="38">
        <v>48.0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1583411.0</v>
      </c>
      <c r="G286" s="37">
        <v>12101.0</v>
      </c>
      <c r="H286" s="37">
        <v>1665646.0</v>
      </c>
      <c r="I286" s="36">
        <v>1269.0</v>
      </c>
      <c r="J286" s="36">
        <v>1110.0</v>
      </c>
      <c r="K286" s="36">
        <v>67521.0</v>
      </c>
      <c r="L286" s="36">
        <v>3155.0</v>
      </c>
      <c r="M286" s="36">
        <v>461457.0</v>
      </c>
      <c r="N286" s="36">
        <v>528978.0</v>
      </c>
      <c r="O286" s="36">
        <v>71.0</v>
      </c>
      <c r="P286" s="38">
        <v>5161.0</v>
      </c>
      <c r="Q286" s="38">
        <v>54.0</v>
      </c>
      <c r="R286" s="38">
        <v>4126.0</v>
      </c>
      <c r="S286" s="38">
        <v>5.0</v>
      </c>
      <c r="T286" s="38">
        <v>529.0</v>
      </c>
      <c r="U286" s="38">
        <v>506.0</v>
      </c>
      <c r="V286" s="38">
        <v>497.0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1598735.0</v>
      </c>
      <c r="G287" s="37">
        <v>16790.0</v>
      </c>
      <c r="H287" s="37">
        <v>1682436.0</v>
      </c>
      <c r="I287" s="36">
        <v>1360.0</v>
      </c>
      <c r="J287" s="36">
        <v>1197.0</v>
      </c>
      <c r="K287" s="36">
        <v>68881.0</v>
      </c>
      <c r="L287" s="36">
        <v>3372.0</v>
      </c>
      <c r="M287" s="36">
        <v>464829.0</v>
      </c>
      <c r="N287" s="36">
        <v>533710.0</v>
      </c>
      <c r="O287" s="36">
        <v>61.0</v>
      </c>
      <c r="P287" s="38">
        <v>5222.0</v>
      </c>
      <c r="Q287" s="38">
        <v>59.0</v>
      </c>
      <c r="R287" s="38">
        <v>4185.0</v>
      </c>
      <c r="S287" s="38">
        <v>5.0</v>
      </c>
      <c r="T287" s="38">
        <v>534.0</v>
      </c>
      <c r="U287" s="38">
        <v>503.0</v>
      </c>
      <c r="V287" s="38">
        <v>501.0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1615092.0</v>
      </c>
      <c r="G288" s="37">
        <v>17857.0</v>
      </c>
      <c r="H288" s="37">
        <v>1700293.0</v>
      </c>
      <c r="I288" s="36">
        <v>1398.0</v>
      </c>
      <c r="J288" s="36">
        <v>1342.0</v>
      </c>
      <c r="K288" s="36">
        <v>70279.0</v>
      </c>
      <c r="L288" s="36">
        <v>3035.0</v>
      </c>
      <c r="M288" s="36">
        <v>467864.0</v>
      </c>
      <c r="N288" s="36">
        <v>538143.0</v>
      </c>
      <c r="O288" s="36">
        <v>56.0</v>
      </c>
      <c r="P288" s="38">
        <v>5278.0</v>
      </c>
      <c r="Q288" s="38">
        <v>62.0</v>
      </c>
      <c r="R288" s="38">
        <v>4247.0</v>
      </c>
      <c r="S288" s="38">
        <v>9.0</v>
      </c>
      <c r="T288" s="38">
        <v>543.0</v>
      </c>
      <c r="U288" s="38">
        <v>488.0</v>
      </c>
      <c r="V288" s="38">
        <v>499.0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1632374.0</v>
      </c>
      <c r="G289" s="37">
        <v>18757.0</v>
      </c>
      <c r="H289" s="37">
        <v>1719050.0</v>
      </c>
      <c r="I289" s="36">
        <v>1201.0</v>
      </c>
      <c r="J289" s="36">
        <v>1320.0</v>
      </c>
      <c r="K289" s="36">
        <v>71480.0</v>
      </c>
      <c r="L289" s="36">
        <v>3858.0</v>
      </c>
      <c r="M289" s="36">
        <v>471722.0</v>
      </c>
      <c r="N289" s="36">
        <v>543202.0</v>
      </c>
      <c r="O289" s="36">
        <v>62.0</v>
      </c>
      <c r="P289" s="38">
        <v>5340.0</v>
      </c>
      <c r="Q289" s="38">
        <v>57.0</v>
      </c>
      <c r="R289" s="38">
        <v>4304.0</v>
      </c>
      <c r="S289" s="38">
        <v>7.0</v>
      </c>
      <c r="T289" s="38">
        <v>550.0</v>
      </c>
      <c r="U289" s="38">
        <v>486.0</v>
      </c>
      <c r="V289" s="38">
        <v>492.0</v>
      </c>
      <c r="W289" s="38">
        <v>55.0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1491.0</v>
      </c>
      <c r="C290" s="35">
        <v>1489.0</v>
      </c>
      <c r="D290" s="35">
        <v>88167.0</v>
      </c>
      <c r="E290" s="36">
        <v>17393.0</v>
      </c>
      <c r="F290" s="37">
        <v>1649767.0</v>
      </c>
      <c r="G290" s="37">
        <v>18884.0</v>
      </c>
      <c r="H290" s="37">
        <v>1737934.0</v>
      </c>
      <c r="I290" s="36">
        <v>1261.0</v>
      </c>
      <c r="J290" s="36">
        <v>1287.0</v>
      </c>
      <c r="K290" s="36">
        <v>72741.0</v>
      </c>
      <c r="L290" s="36">
        <v>3418.0</v>
      </c>
      <c r="M290" s="36">
        <v>475140.0</v>
      </c>
      <c r="N290" s="36">
        <v>547881.0</v>
      </c>
      <c r="O290" s="36">
        <v>68.0</v>
      </c>
      <c r="P290" s="38">
        <v>5408.0</v>
      </c>
      <c r="Q290" s="38">
        <v>81.0</v>
      </c>
      <c r="R290" s="38">
        <v>4385.0</v>
      </c>
      <c r="S290" s="38">
        <v>7.0</v>
      </c>
      <c r="T290" s="38">
        <v>557.0</v>
      </c>
      <c r="U290" s="38">
        <v>466.0</v>
      </c>
      <c r="V290" s="38">
        <v>480.0</v>
      </c>
      <c r="W290" s="38">
        <v>61.0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89290.0</v>
      </c>
      <c r="E291" s="36">
        <v>13074.0</v>
      </c>
      <c r="F291" s="37">
        <v>1662841.0</v>
      </c>
      <c r="G291" s="37">
        <v>14197.0</v>
      </c>
      <c r="H291" s="37">
        <v>1752131.0</v>
      </c>
      <c r="I291" s="36">
        <v>946.0</v>
      </c>
      <c r="J291" s="36">
        <v>1136.0</v>
      </c>
      <c r="K291" s="36">
        <v>73687.0</v>
      </c>
      <c r="L291" s="36">
        <v>2916.0</v>
      </c>
      <c r="M291" s="36">
        <v>478056.0</v>
      </c>
      <c r="N291" s="36">
        <v>551743.0</v>
      </c>
      <c r="O291" s="36">
        <v>65.0</v>
      </c>
      <c r="P291" s="38">
        <v>5473.0</v>
      </c>
      <c r="Q291" s="38">
        <v>54.0</v>
      </c>
      <c r="R291" s="38">
        <v>4439.0</v>
      </c>
      <c r="S291" s="38">
        <v>9.0</v>
      </c>
      <c r="T291" s="38">
        <v>566.0</v>
      </c>
      <c r="U291" s="38">
        <v>468.0</v>
      </c>
      <c r="V291" s="38">
        <v>473.0</v>
      </c>
      <c r="W291" s="38">
        <v>54.0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1096.0</v>
      </c>
      <c r="D292" s="35">
        <v>89963.0</v>
      </c>
      <c r="E292" s="36">
        <v>7159.0</v>
      </c>
      <c r="F292" s="37">
        <v>1670000.0</v>
      </c>
      <c r="G292" s="37">
        <v>7832.0</v>
      </c>
      <c r="H292" s="37">
        <v>1759963.0</v>
      </c>
      <c r="I292" s="36">
        <v>527.0</v>
      </c>
      <c r="J292" s="36">
        <v>911.0</v>
      </c>
      <c r="K292" s="36">
        <v>74214.0</v>
      </c>
      <c r="L292" s="36">
        <v>1900.0</v>
      </c>
      <c r="M292" s="36">
        <v>479956.0</v>
      </c>
      <c r="N292" s="36">
        <v>554170.0</v>
      </c>
      <c r="O292" s="36">
        <v>74.0</v>
      </c>
      <c r="P292" s="38">
        <v>5547.0</v>
      </c>
      <c r="Q292" s="38">
        <v>39.0</v>
      </c>
      <c r="R292" s="38">
        <v>4478.0</v>
      </c>
      <c r="S292" s="38">
        <v>13.0</v>
      </c>
      <c r="T292" s="38">
        <v>579.0</v>
      </c>
      <c r="U292" s="38">
        <v>490.0</v>
      </c>
      <c r="V292" s="38">
        <v>475.0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91281.0</v>
      </c>
      <c r="E293" s="36">
        <v>11247.0</v>
      </c>
      <c r="F293" s="37">
        <v>1681247.0</v>
      </c>
      <c r="G293" s="37">
        <v>12565.0</v>
      </c>
      <c r="H293" s="37">
        <v>1772528.0</v>
      </c>
      <c r="I293" s="36">
        <v>1132.0</v>
      </c>
      <c r="J293" s="36">
        <v>868.0</v>
      </c>
      <c r="K293" s="36">
        <v>75346.0</v>
      </c>
      <c r="L293" s="36">
        <v>3231.0</v>
      </c>
      <c r="M293" s="36">
        <v>483187.0</v>
      </c>
      <c r="N293" s="36">
        <v>558533.0</v>
      </c>
      <c r="O293" s="36">
        <v>84.0</v>
      </c>
      <c r="P293" s="38">
        <v>5631.0</v>
      </c>
      <c r="Q293" s="38">
        <v>63.0</v>
      </c>
      <c r="R293" s="38">
        <v>4541.0</v>
      </c>
      <c r="S293" s="38">
        <v>10.0</v>
      </c>
      <c r="T293" s="38">
        <v>589.0</v>
      </c>
      <c r="U293" s="38">
        <v>501.0</v>
      </c>
      <c r="V293" s="38">
        <v>486.0</v>
      </c>
      <c r="W293" s="38">
        <v>66.0</v>
      </c>
      <c r="X293" s="38">
        <v>32.0</v>
      </c>
      <c r="Y293" s="38">
        <v>15.0</v>
      </c>
      <c r="Z293" s="35">
        <v>1668.0</v>
      </c>
      <c r="AA293" s="29">
        <v>114.0</v>
      </c>
      <c r="AB293" s="29">
        <v>0.0</v>
      </c>
      <c r="AC293" s="29">
        <v>114.0</v>
      </c>
      <c r="AD293" s="29">
        <v>114.0</v>
      </c>
      <c r="AE293" s="29">
        <v>114.0</v>
      </c>
      <c r="AF293" s="29">
        <v>114.0</v>
      </c>
      <c r="AG293" s="29">
        <v>0.0</v>
      </c>
      <c r="AH293" s="29">
        <v>0.0</v>
      </c>
    </row>
    <row r="294" ht="14.25" customHeight="1">
      <c r="A294" s="34">
        <v>44180.0</v>
      </c>
      <c r="B294" s="35">
        <v>1268.0</v>
      </c>
      <c r="C294" s="35">
        <v>1086.0</v>
      </c>
      <c r="D294" s="35">
        <v>92549.0</v>
      </c>
      <c r="E294" s="36">
        <v>15133.0</v>
      </c>
      <c r="F294" s="37">
        <v>1696380.0</v>
      </c>
      <c r="G294" s="37">
        <v>16401.0</v>
      </c>
      <c r="H294" s="37">
        <v>1788929.0</v>
      </c>
      <c r="I294" s="36">
        <v>1043.0</v>
      </c>
      <c r="J294" s="36">
        <v>901.0</v>
      </c>
      <c r="K294" s="36">
        <v>76389.0</v>
      </c>
      <c r="L294" s="36">
        <v>2931.0</v>
      </c>
      <c r="M294" s="36">
        <v>486118.0</v>
      </c>
      <c r="N294" s="36">
        <v>562507.0</v>
      </c>
      <c r="O294" s="36">
        <v>72.0</v>
      </c>
      <c r="P294" s="38">
        <v>5703.0</v>
      </c>
      <c r="Q294" s="38">
        <v>54.0</v>
      </c>
      <c r="R294" s="38">
        <v>4595.0</v>
      </c>
      <c r="S294" s="38">
        <v>5.0</v>
      </c>
      <c r="T294" s="38">
        <v>594.0</v>
      </c>
      <c r="U294" s="38">
        <v>514.0</v>
      </c>
      <c r="V294" s="38">
        <v>502.0</v>
      </c>
      <c r="W294" s="38">
        <v>63.0</v>
      </c>
      <c r="X294" s="38">
        <v>32.0</v>
      </c>
      <c r="Y294" s="38">
        <v>16.0</v>
      </c>
      <c r="Z294" s="35">
        <v>1684.0</v>
      </c>
      <c r="AA294" s="29">
        <v>426.0</v>
      </c>
      <c r="AB294" s="29">
        <v>0.0</v>
      </c>
      <c r="AC294" s="29">
        <v>426.0</v>
      </c>
      <c r="AD294" s="29">
        <v>540.0</v>
      </c>
      <c r="AE294" s="29">
        <v>426.0</v>
      </c>
      <c r="AF294" s="29">
        <v>540.0</v>
      </c>
      <c r="AG294" s="29">
        <v>0.0</v>
      </c>
      <c r="AH294" s="29">
        <v>0.0</v>
      </c>
    </row>
    <row r="295" ht="14.25" customHeight="1">
      <c r="A295" s="34">
        <v>44181.0</v>
      </c>
      <c r="B295" s="35">
        <v>1281.0</v>
      </c>
      <c r="C295" s="35">
        <v>1289.0</v>
      </c>
      <c r="D295" s="35">
        <v>93830.0</v>
      </c>
      <c r="E295" s="36">
        <v>19138.0</v>
      </c>
      <c r="F295" s="37">
        <v>1715518.0</v>
      </c>
      <c r="G295" s="37">
        <v>20419.0</v>
      </c>
      <c r="H295" s="37">
        <v>1809348.0</v>
      </c>
      <c r="I295" s="36">
        <v>1140.0</v>
      </c>
      <c r="J295" s="36">
        <v>1105.0</v>
      </c>
      <c r="K295" s="36">
        <v>77529.0</v>
      </c>
      <c r="L295" s="36">
        <v>3531.0</v>
      </c>
      <c r="M295" s="36">
        <v>489649.0</v>
      </c>
      <c r="N295" s="36">
        <v>567178.0</v>
      </c>
      <c r="O295" s="36">
        <v>57.0</v>
      </c>
      <c r="P295" s="38">
        <v>5760.0</v>
      </c>
      <c r="Q295" s="38">
        <v>72.0</v>
      </c>
      <c r="R295" s="38">
        <v>4667.0</v>
      </c>
      <c r="S295" s="38">
        <v>11.0</v>
      </c>
      <c r="T295" s="38">
        <v>605.0</v>
      </c>
      <c r="U295" s="38">
        <v>488.0</v>
      </c>
      <c r="V295" s="38">
        <v>501.0</v>
      </c>
      <c r="W295" s="38">
        <v>62.0</v>
      </c>
      <c r="X295" s="38">
        <v>34.0</v>
      </c>
      <c r="Y295" s="38">
        <v>19.0</v>
      </c>
      <c r="Z295" s="35">
        <v>1703.0</v>
      </c>
      <c r="AA295" s="29">
        <v>419.0</v>
      </c>
      <c r="AB295" s="29">
        <v>0.0</v>
      </c>
      <c r="AC295" s="29">
        <v>419.0</v>
      </c>
      <c r="AD295" s="29">
        <v>959.0</v>
      </c>
      <c r="AE295" s="29">
        <v>419.0</v>
      </c>
      <c r="AF295" s="29">
        <v>959.0</v>
      </c>
      <c r="AG295" s="29">
        <v>0.0</v>
      </c>
      <c r="AH295" s="29">
        <v>0.0</v>
      </c>
    </row>
    <row r="296" ht="14.25" customHeight="1">
      <c r="A296" s="34">
        <v>44182.0</v>
      </c>
      <c r="B296" s="35">
        <v>483.0</v>
      </c>
      <c r="C296" s="35">
        <v>1011.0</v>
      </c>
      <c r="D296" s="35">
        <v>94313.0</v>
      </c>
      <c r="E296" s="36">
        <v>8774.0</v>
      </c>
      <c r="F296" s="37">
        <v>1724292.0</v>
      </c>
      <c r="G296" s="37">
        <v>9257.0</v>
      </c>
      <c r="H296" s="37">
        <v>1818605.0</v>
      </c>
      <c r="I296" s="36">
        <v>396.0</v>
      </c>
      <c r="J296" s="36">
        <v>860.0</v>
      </c>
      <c r="K296" s="36">
        <v>77925.0</v>
      </c>
      <c r="L296" s="36">
        <v>1199.0</v>
      </c>
      <c r="M296" s="36">
        <v>490848.0</v>
      </c>
      <c r="N296" s="36">
        <v>568773.0</v>
      </c>
      <c r="O296" s="36">
        <v>46.0</v>
      </c>
      <c r="P296" s="38">
        <v>5806.0</v>
      </c>
      <c r="Q296" s="38">
        <v>54.0</v>
      </c>
      <c r="R296" s="38">
        <v>4721.0</v>
      </c>
      <c r="S296" s="38">
        <v>8.0</v>
      </c>
      <c r="T296" s="38">
        <v>613.0</v>
      </c>
      <c r="U296" s="38">
        <v>472.0</v>
      </c>
      <c r="V296" s="38">
        <v>491.0</v>
      </c>
      <c r="W296" s="38">
        <v>61.0</v>
      </c>
      <c r="X296" s="38">
        <v>34.0</v>
      </c>
      <c r="Y296" s="38">
        <v>17.0</v>
      </c>
      <c r="Z296" s="35">
        <v>1720.0</v>
      </c>
      <c r="AA296" s="29">
        <v>352.0</v>
      </c>
      <c r="AB296" s="29">
        <v>0.0</v>
      </c>
      <c r="AC296" s="29">
        <v>352.0</v>
      </c>
      <c r="AD296" s="29">
        <v>1311.0</v>
      </c>
      <c r="AE296" s="29">
        <v>352.0</v>
      </c>
      <c r="AF296" s="29">
        <v>1311.0</v>
      </c>
      <c r="AG296" s="29">
        <v>0.0</v>
      </c>
      <c r="AH296" s="29">
        <v>0.0</v>
      </c>
    </row>
    <row r="297" ht="14.25" customHeight="1">
      <c r="A297" s="34">
        <v>44183.0</v>
      </c>
      <c r="B297" s="35">
        <v>1113.0</v>
      </c>
      <c r="C297" s="35">
        <v>959.0</v>
      </c>
      <c r="D297" s="35">
        <v>95426.0</v>
      </c>
      <c r="E297" s="36">
        <v>13649.0</v>
      </c>
      <c r="F297" s="37">
        <v>1737941.0</v>
      </c>
      <c r="G297" s="37">
        <v>14762.0</v>
      </c>
      <c r="H297" s="37">
        <v>1833367.0</v>
      </c>
      <c r="I297" s="36">
        <v>927.0</v>
      </c>
      <c r="J297" s="36">
        <v>821.0</v>
      </c>
      <c r="K297" s="36">
        <v>78852.0</v>
      </c>
      <c r="L297" s="36">
        <v>2687.0</v>
      </c>
      <c r="M297" s="36">
        <v>493535.0</v>
      </c>
      <c r="N297" s="36">
        <v>572387.0</v>
      </c>
      <c r="O297" s="36">
        <v>56.0</v>
      </c>
      <c r="P297" s="38">
        <v>5862.0</v>
      </c>
      <c r="Q297" s="38">
        <v>66.0</v>
      </c>
      <c r="R297" s="38">
        <v>4787.0</v>
      </c>
      <c r="S297" s="38">
        <v>11.0</v>
      </c>
      <c r="T297" s="38">
        <v>624.0</v>
      </c>
      <c r="U297" s="38">
        <v>451.0</v>
      </c>
      <c r="V297" s="38">
        <v>470.0</v>
      </c>
      <c r="W297" s="38">
        <v>61.0</v>
      </c>
      <c r="X297" s="38">
        <v>35.0</v>
      </c>
      <c r="Y297" s="38">
        <v>15.0</v>
      </c>
      <c r="Z297" s="35">
        <v>1735.0</v>
      </c>
      <c r="AA297" s="29">
        <v>1672.0</v>
      </c>
      <c r="AB297" s="29">
        <v>0.0</v>
      </c>
      <c r="AC297" s="29">
        <v>1672.0</v>
      </c>
      <c r="AD297" s="29">
        <v>2983.0</v>
      </c>
      <c r="AE297" s="29">
        <v>1672.0</v>
      </c>
      <c r="AF297" s="29">
        <v>2983.0</v>
      </c>
      <c r="AG297" s="29">
        <v>0.0</v>
      </c>
      <c r="AH297" s="29">
        <v>0.0</v>
      </c>
    </row>
    <row r="298" ht="14.25" customHeight="1">
      <c r="A298" s="34">
        <v>44184.0</v>
      </c>
      <c r="B298" s="35">
        <v>1317.0</v>
      </c>
      <c r="C298" s="35">
        <v>971.0</v>
      </c>
      <c r="D298" s="35">
        <v>96743.0</v>
      </c>
      <c r="E298" s="36">
        <v>16377.0</v>
      </c>
      <c r="F298" s="37">
        <v>1754318.0</v>
      </c>
      <c r="G298" s="37">
        <v>17694.0</v>
      </c>
      <c r="H298" s="37">
        <v>1851061.0</v>
      </c>
      <c r="I298" s="36">
        <v>1080.0</v>
      </c>
      <c r="J298" s="36">
        <v>801.0</v>
      </c>
      <c r="K298" s="36">
        <v>79932.0</v>
      </c>
      <c r="L298" s="36">
        <v>2972.0</v>
      </c>
      <c r="M298" s="36">
        <v>496507.0</v>
      </c>
      <c r="N298" s="36">
        <v>576439.0</v>
      </c>
      <c r="O298" s="36">
        <v>59.0</v>
      </c>
      <c r="P298" s="38">
        <v>5921.0</v>
      </c>
      <c r="Q298" s="38">
        <v>41.0</v>
      </c>
      <c r="R298" s="38">
        <v>4828.0</v>
      </c>
      <c r="S298" s="38">
        <v>9.0</v>
      </c>
      <c r="T298" s="38">
        <v>633.0</v>
      </c>
      <c r="U298" s="38">
        <v>460.0</v>
      </c>
      <c r="V298" s="38">
        <v>461.0</v>
      </c>
      <c r="W298" s="38">
        <v>62.0</v>
      </c>
      <c r="X298" s="38">
        <v>40.0</v>
      </c>
      <c r="Y298" s="38">
        <v>20.0</v>
      </c>
      <c r="Z298" s="35">
        <v>1755.0</v>
      </c>
      <c r="AA298" s="29">
        <v>1178.0</v>
      </c>
      <c r="AB298" s="29">
        <v>0.0</v>
      </c>
      <c r="AC298" s="29">
        <v>1178.0</v>
      </c>
      <c r="AD298" s="29">
        <v>4161.0</v>
      </c>
      <c r="AE298" s="29">
        <v>1178.0</v>
      </c>
      <c r="AF298" s="29">
        <v>4161.0</v>
      </c>
      <c r="AG298" s="29">
        <v>0.0</v>
      </c>
      <c r="AH298" s="29">
        <v>0.0</v>
      </c>
    </row>
    <row r="299" ht="14.25" customHeight="1">
      <c r="A299" s="34">
        <v>44185.0</v>
      </c>
      <c r="B299" s="35">
        <v>537.0</v>
      </c>
      <c r="C299" s="35">
        <v>989.0</v>
      </c>
      <c r="D299" s="35">
        <v>97280.0</v>
      </c>
      <c r="E299" s="36">
        <v>6826.0</v>
      </c>
      <c r="F299" s="37">
        <v>1761144.0</v>
      </c>
      <c r="G299" s="37">
        <v>7363.0</v>
      </c>
      <c r="H299" s="37">
        <v>1858424.0</v>
      </c>
      <c r="I299" s="36">
        <v>438.0</v>
      </c>
      <c r="J299" s="36">
        <v>815.0</v>
      </c>
      <c r="K299" s="36">
        <v>80370.0</v>
      </c>
      <c r="L299" s="36">
        <v>1599.0</v>
      </c>
      <c r="M299" s="36">
        <v>498106.0</v>
      </c>
      <c r="N299" s="36">
        <v>578476.0</v>
      </c>
      <c r="O299" s="36">
        <v>59.0</v>
      </c>
      <c r="P299" s="38">
        <v>5980.0</v>
      </c>
      <c r="Q299" s="38">
        <v>41.0</v>
      </c>
      <c r="R299" s="38">
        <v>4869.0</v>
      </c>
      <c r="S299" s="38">
        <v>8.0</v>
      </c>
      <c r="T299" s="38">
        <v>641.0</v>
      </c>
      <c r="U299" s="38">
        <v>470.0</v>
      </c>
      <c r="V299" s="38">
        <v>460.0</v>
      </c>
      <c r="W299" s="38">
        <v>64.0</v>
      </c>
      <c r="X299" s="38">
        <v>43.0</v>
      </c>
      <c r="Y299" s="38">
        <v>14.0</v>
      </c>
      <c r="Z299" s="35">
        <v>1769.0</v>
      </c>
      <c r="AA299" s="29">
        <v>808.0</v>
      </c>
      <c r="AB299" s="29">
        <v>0.0</v>
      </c>
      <c r="AC299" s="29">
        <v>808.0</v>
      </c>
      <c r="AD299" s="29">
        <v>4969.0</v>
      </c>
      <c r="AE299" s="29">
        <v>808.0</v>
      </c>
      <c r="AF299" s="29">
        <v>4969.0</v>
      </c>
      <c r="AG299" s="29">
        <v>0.0</v>
      </c>
      <c r="AH299" s="29">
        <v>0.0</v>
      </c>
    </row>
    <row r="300" ht="14.25" customHeight="1">
      <c r="A300" s="34">
        <v>44186.0</v>
      </c>
      <c r="B300" s="35">
        <v>1108.0</v>
      </c>
      <c r="C300" s="35">
        <v>987.0</v>
      </c>
      <c r="D300" s="35">
        <v>98388.0</v>
      </c>
      <c r="E300" s="36">
        <v>12163.0</v>
      </c>
      <c r="F300" s="37">
        <v>1773307.0</v>
      </c>
      <c r="G300" s="37">
        <v>13271.0</v>
      </c>
      <c r="H300" s="37">
        <v>1871695.0</v>
      </c>
      <c r="I300" s="36">
        <v>941.0</v>
      </c>
      <c r="J300" s="36">
        <v>820.0</v>
      </c>
      <c r="K300" s="36">
        <v>81311.0</v>
      </c>
      <c r="L300" s="36">
        <v>3440.0</v>
      </c>
      <c r="M300" s="36">
        <v>501546.0</v>
      </c>
      <c r="N300" s="36">
        <v>582857.0</v>
      </c>
      <c r="O300" s="36">
        <v>73.0</v>
      </c>
      <c r="P300" s="38">
        <v>6053.0</v>
      </c>
      <c r="Q300" s="38">
        <v>51.0</v>
      </c>
      <c r="R300" s="38">
        <v>4920.0</v>
      </c>
      <c r="S300" s="38">
        <v>7.0</v>
      </c>
      <c r="T300" s="38">
        <v>648.0</v>
      </c>
      <c r="U300" s="38">
        <v>485.0</v>
      </c>
      <c r="V300" s="38">
        <v>472.0</v>
      </c>
      <c r="W300" s="38">
        <v>58.0</v>
      </c>
      <c r="X300" s="38">
        <v>40.0</v>
      </c>
      <c r="Y300" s="38">
        <v>11.0</v>
      </c>
      <c r="Z300" s="35">
        <v>1780.0</v>
      </c>
      <c r="AA300" s="29">
        <v>1772.0</v>
      </c>
      <c r="AB300" s="29">
        <v>0.0</v>
      </c>
      <c r="AC300" s="29">
        <v>1772.0</v>
      </c>
      <c r="AD300" s="29">
        <v>6741.0</v>
      </c>
      <c r="AE300" s="29">
        <v>1772.0</v>
      </c>
      <c r="AF300" s="29">
        <v>6741.0</v>
      </c>
      <c r="AG300" s="29">
        <v>0.0</v>
      </c>
      <c r="AH300" s="29">
        <v>0.0</v>
      </c>
    </row>
    <row r="301" ht="14.25" customHeight="1">
      <c r="A301" s="34">
        <v>44187.0</v>
      </c>
      <c r="B301" s="35">
        <v>1079.0</v>
      </c>
      <c r="C301" s="35">
        <v>908.0</v>
      </c>
      <c r="D301" s="35">
        <v>99467.0</v>
      </c>
      <c r="E301" s="36">
        <v>16605.0</v>
      </c>
      <c r="F301" s="37">
        <v>1789912.0</v>
      </c>
      <c r="G301" s="37">
        <v>17684.0</v>
      </c>
      <c r="H301" s="37">
        <v>1889379.0</v>
      </c>
      <c r="I301" s="36">
        <v>911.0</v>
      </c>
      <c r="J301" s="36">
        <v>763.0</v>
      </c>
      <c r="K301" s="36">
        <v>82222.0</v>
      </c>
      <c r="L301" s="36">
        <v>3292.0</v>
      </c>
      <c r="M301" s="36">
        <v>504838.0</v>
      </c>
      <c r="N301" s="36">
        <v>587060.0</v>
      </c>
      <c r="O301" s="36">
        <v>51.0</v>
      </c>
      <c r="P301" s="38">
        <v>6104.0</v>
      </c>
      <c r="Q301" s="38">
        <v>77.0</v>
      </c>
      <c r="R301" s="38">
        <v>4997.0</v>
      </c>
      <c r="S301" s="38">
        <v>10.0</v>
      </c>
      <c r="T301" s="38">
        <v>658.0</v>
      </c>
      <c r="U301" s="38">
        <v>449.0</v>
      </c>
      <c r="V301" s="38">
        <v>468.0</v>
      </c>
      <c r="W301" s="38">
        <v>58.0</v>
      </c>
      <c r="X301" s="38">
        <v>40.0</v>
      </c>
      <c r="Y301" s="38">
        <v>18.0</v>
      </c>
      <c r="Z301" s="35">
        <v>1798.0</v>
      </c>
      <c r="AA301" s="29">
        <v>1532.0</v>
      </c>
      <c r="AB301" s="29">
        <v>0.0</v>
      </c>
      <c r="AC301" s="29">
        <v>1532.0</v>
      </c>
      <c r="AD301" s="29">
        <v>8273.0</v>
      </c>
      <c r="AE301" s="29">
        <v>1532.0</v>
      </c>
      <c r="AF301" s="29">
        <v>8273.0</v>
      </c>
      <c r="AG301" s="29">
        <v>0.0</v>
      </c>
      <c r="AH301" s="29">
        <v>0.0</v>
      </c>
    </row>
    <row r="302" ht="14.25" customHeight="1">
      <c r="A302" s="34">
        <v>44188.0</v>
      </c>
      <c r="B302" s="35">
        <v>1092.0</v>
      </c>
      <c r="C302" s="35">
        <v>1093.0</v>
      </c>
      <c r="D302" s="35">
        <v>100559.0</v>
      </c>
      <c r="E302" s="36">
        <v>19917.0</v>
      </c>
      <c r="F302" s="37">
        <v>1809829.0</v>
      </c>
      <c r="G302" s="37">
        <v>21009.0</v>
      </c>
      <c r="H302" s="37">
        <v>1910388.0</v>
      </c>
      <c r="I302" s="36">
        <v>934.0</v>
      </c>
      <c r="J302" s="36">
        <v>929.0</v>
      </c>
      <c r="K302" s="36">
        <v>83156.0</v>
      </c>
      <c r="L302" s="36">
        <v>3668.0</v>
      </c>
      <c r="M302" s="36">
        <v>508506.0</v>
      </c>
      <c r="N302" s="36">
        <v>591662.0</v>
      </c>
      <c r="O302" s="36">
        <v>60.0</v>
      </c>
      <c r="P302" s="38">
        <v>6164.0</v>
      </c>
      <c r="Q302" s="38">
        <v>63.0</v>
      </c>
      <c r="R302" s="38">
        <v>5060.0</v>
      </c>
      <c r="S302" s="38">
        <v>5.0</v>
      </c>
      <c r="T302" s="38">
        <v>663.0</v>
      </c>
      <c r="U302" s="38">
        <v>441.0</v>
      </c>
      <c r="V302" s="38">
        <v>458.0</v>
      </c>
      <c r="W302" s="38">
        <v>64.0</v>
      </c>
      <c r="X302" s="38">
        <v>41.0</v>
      </c>
      <c r="Y302" s="38">
        <v>10.0</v>
      </c>
      <c r="Z302" s="35">
        <v>1808.0</v>
      </c>
      <c r="AA302" s="29">
        <v>1590.0</v>
      </c>
      <c r="AB302" s="29">
        <v>0.0</v>
      </c>
      <c r="AC302" s="29">
        <v>1590.0</v>
      </c>
      <c r="AD302" s="29">
        <v>9863.0</v>
      </c>
      <c r="AE302" s="29">
        <v>1590.0</v>
      </c>
      <c r="AF302" s="29">
        <v>9863.0</v>
      </c>
      <c r="AG302" s="29">
        <v>0.0</v>
      </c>
      <c r="AH302" s="29">
        <v>0.0</v>
      </c>
    </row>
    <row r="303" ht="14.25" customHeight="1">
      <c r="A303" s="34">
        <v>44189.0</v>
      </c>
      <c r="B303" s="35">
        <v>1076.0</v>
      </c>
      <c r="C303" s="35">
        <v>1082.0</v>
      </c>
      <c r="D303" s="35">
        <v>101635.0</v>
      </c>
      <c r="E303" s="36">
        <v>17039.0</v>
      </c>
      <c r="F303" s="37">
        <v>1826868.0</v>
      </c>
      <c r="G303" s="37">
        <v>18115.0</v>
      </c>
      <c r="H303" s="37">
        <v>1928503.0</v>
      </c>
      <c r="I303" s="36">
        <v>891.0</v>
      </c>
      <c r="J303" s="36">
        <v>912.0</v>
      </c>
      <c r="K303" s="36">
        <v>84047.0</v>
      </c>
      <c r="L303" s="36">
        <v>3336.0</v>
      </c>
      <c r="M303" s="36">
        <v>511842.0</v>
      </c>
      <c r="N303" s="36">
        <v>595889.0</v>
      </c>
      <c r="O303" s="36">
        <v>52.0</v>
      </c>
      <c r="P303" s="38">
        <v>6216.0</v>
      </c>
      <c r="Q303" s="38">
        <v>54.0</v>
      </c>
      <c r="R303" s="38">
        <v>5114.0</v>
      </c>
      <c r="S303" s="38">
        <v>6.0</v>
      </c>
      <c r="T303" s="38">
        <v>669.0</v>
      </c>
      <c r="U303" s="38">
        <v>433.0</v>
      </c>
      <c r="V303" s="38">
        <v>441.0</v>
      </c>
      <c r="W303" s="38">
        <v>67.0</v>
      </c>
      <c r="X303" s="38">
        <v>44.0</v>
      </c>
      <c r="Y303" s="38">
        <v>17.0</v>
      </c>
      <c r="Z303" s="35">
        <v>1825.0</v>
      </c>
      <c r="AA303" s="29">
        <v>639.0</v>
      </c>
      <c r="AB303" s="29">
        <v>0.0</v>
      </c>
      <c r="AC303" s="29">
        <v>639.0</v>
      </c>
      <c r="AD303" s="29">
        <v>10502.0</v>
      </c>
      <c r="AE303" s="29">
        <v>639.0</v>
      </c>
      <c r="AF303" s="29">
        <v>10502.0</v>
      </c>
      <c r="AG303" s="29">
        <v>0.0</v>
      </c>
      <c r="AH303" s="29">
        <v>0.0</v>
      </c>
    </row>
    <row r="304" ht="14.25" customHeight="1">
      <c r="A304" s="34">
        <v>44190.0</v>
      </c>
      <c r="B304" s="35">
        <v>306.0</v>
      </c>
      <c r="C304" s="35">
        <v>825.0</v>
      </c>
      <c r="D304" s="35">
        <v>101941.0</v>
      </c>
      <c r="E304" s="36">
        <v>3396.0</v>
      </c>
      <c r="F304" s="37">
        <v>1830264.0</v>
      </c>
      <c r="G304" s="37">
        <v>3702.0</v>
      </c>
      <c r="H304" s="37">
        <v>1932205.0</v>
      </c>
      <c r="I304" s="36">
        <v>253.0</v>
      </c>
      <c r="J304" s="36">
        <v>693.0</v>
      </c>
      <c r="K304" s="36">
        <v>84300.0</v>
      </c>
      <c r="L304" s="36">
        <v>624.0</v>
      </c>
      <c r="M304" s="36">
        <v>512466.0</v>
      </c>
      <c r="N304" s="36">
        <v>596766.0</v>
      </c>
      <c r="O304" s="36">
        <v>51.0</v>
      </c>
      <c r="P304" s="38">
        <v>6267.0</v>
      </c>
      <c r="Q304" s="38">
        <v>26.0</v>
      </c>
      <c r="R304" s="38">
        <v>5140.0</v>
      </c>
      <c r="S304" s="38">
        <v>13.0</v>
      </c>
      <c r="T304" s="38">
        <v>682.0</v>
      </c>
      <c r="U304" s="38">
        <v>445.0</v>
      </c>
      <c r="V304" s="38">
        <v>440.0</v>
      </c>
      <c r="W304" s="38">
        <v>64.0</v>
      </c>
      <c r="X304" s="38">
        <v>45.0</v>
      </c>
      <c r="Y304" s="38">
        <v>21.0</v>
      </c>
      <c r="Z304" s="35">
        <v>1846.0</v>
      </c>
      <c r="AA304" s="29">
        <v>1.0</v>
      </c>
      <c r="AB304" s="29">
        <v>0.0</v>
      </c>
      <c r="AC304" s="29">
        <v>1.0</v>
      </c>
      <c r="AD304" s="29">
        <v>10503.0</v>
      </c>
      <c r="AE304" s="29">
        <v>1.0</v>
      </c>
      <c r="AF304" s="29">
        <v>10503.0</v>
      </c>
      <c r="AG304" s="29">
        <v>0.0</v>
      </c>
      <c r="AH304" s="29">
        <v>0.0</v>
      </c>
    </row>
    <row r="305" ht="14.25" customHeight="1">
      <c r="A305" s="34">
        <v>44191.0</v>
      </c>
      <c r="B305" s="35">
        <v>945.0</v>
      </c>
      <c r="C305" s="35">
        <v>776.0</v>
      </c>
      <c r="D305" s="35">
        <v>102886.0</v>
      </c>
      <c r="E305" s="36">
        <v>10663.0</v>
      </c>
      <c r="F305" s="37">
        <v>1840927.0</v>
      </c>
      <c r="G305" s="37">
        <v>11608.0</v>
      </c>
      <c r="H305" s="37">
        <v>1943813.0</v>
      </c>
      <c r="I305" s="36">
        <v>792.0</v>
      </c>
      <c r="J305" s="36">
        <v>645.0</v>
      </c>
      <c r="K305" s="36">
        <v>85092.0</v>
      </c>
      <c r="L305" s="36">
        <v>2153.0</v>
      </c>
      <c r="M305" s="36">
        <v>514619.0</v>
      </c>
      <c r="N305" s="36">
        <v>599711.0</v>
      </c>
      <c r="O305" s="36">
        <v>56.0</v>
      </c>
      <c r="P305" s="38">
        <v>6323.0</v>
      </c>
      <c r="Q305" s="38">
        <v>39.0</v>
      </c>
      <c r="R305" s="38">
        <v>5179.0</v>
      </c>
      <c r="S305" s="38">
        <v>5.0</v>
      </c>
      <c r="T305" s="38">
        <v>687.0</v>
      </c>
      <c r="U305" s="38">
        <v>457.0</v>
      </c>
      <c r="V305" s="38">
        <v>445.0</v>
      </c>
      <c r="W305" s="38">
        <v>67.0</v>
      </c>
      <c r="X305" s="38">
        <v>54.0</v>
      </c>
      <c r="Y305" s="38">
        <v>11.0</v>
      </c>
      <c r="Z305" s="35">
        <v>1857.0</v>
      </c>
      <c r="AA305" s="29">
        <v>975.0</v>
      </c>
      <c r="AB305" s="29">
        <v>0.0</v>
      </c>
      <c r="AC305" s="29">
        <v>975.0</v>
      </c>
      <c r="AD305" s="29">
        <v>11478.0</v>
      </c>
      <c r="AE305" s="29">
        <v>975.0</v>
      </c>
      <c r="AF305" s="29">
        <v>11478.0</v>
      </c>
      <c r="AG305" s="29">
        <v>0.0</v>
      </c>
      <c r="AH305" s="29">
        <v>0.0</v>
      </c>
    </row>
    <row r="306" ht="14.25" customHeight="1">
      <c r="A306" s="34">
        <v>44192.0</v>
      </c>
      <c r="B306" s="35">
        <v>791.0</v>
      </c>
      <c r="C306" s="35">
        <v>681.0</v>
      </c>
      <c r="D306" s="35">
        <v>103677.0</v>
      </c>
      <c r="E306" s="36">
        <v>7566.0</v>
      </c>
      <c r="F306" s="37">
        <v>1848493.0</v>
      </c>
      <c r="G306" s="37">
        <v>8357.0</v>
      </c>
      <c r="H306" s="37">
        <v>1952170.0</v>
      </c>
      <c r="I306" s="36">
        <v>716.0</v>
      </c>
      <c r="J306" s="36">
        <v>587.0</v>
      </c>
      <c r="K306" s="36">
        <v>85808.0</v>
      </c>
      <c r="L306" s="36">
        <v>1894.0</v>
      </c>
      <c r="M306" s="36">
        <v>516513.0</v>
      </c>
      <c r="N306" s="36">
        <v>602321.0</v>
      </c>
      <c r="O306" s="36">
        <v>45.0</v>
      </c>
      <c r="P306" s="38">
        <v>6368.0</v>
      </c>
      <c r="Q306" s="38">
        <v>22.0</v>
      </c>
      <c r="R306" s="38">
        <v>5201.0</v>
      </c>
      <c r="S306" s="38">
        <v>8.0</v>
      </c>
      <c r="T306" s="38">
        <v>695.0</v>
      </c>
      <c r="U306" s="38">
        <v>472.0</v>
      </c>
      <c r="V306" s="38">
        <v>458.0</v>
      </c>
      <c r="W306" s="38">
        <v>68.0</v>
      </c>
      <c r="X306" s="38">
        <v>51.0</v>
      </c>
      <c r="Y306" s="38">
        <v>13.0</v>
      </c>
      <c r="Z306" s="35">
        <v>1870.0</v>
      </c>
      <c r="AA306" s="29">
        <v>836.0</v>
      </c>
      <c r="AB306" s="29">
        <v>0.0</v>
      </c>
      <c r="AC306" s="29">
        <v>836.0</v>
      </c>
      <c r="AD306" s="29">
        <v>12314.0</v>
      </c>
      <c r="AE306" s="29">
        <v>836.0</v>
      </c>
      <c r="AF306" s="29">
        <v>12314.0</v>
      </c>
      <c r="AG306" s="29">
        <v>0.0</v>
      </c>
      <c r="AH306" s="29">
        <v>0.0</v>
      </c>
    </row>
    <row r="307" ht="14.25" customHeight="1">
      <c r="A307" s="34">
        <v>44193.0</v>
      </c>
      <c r="B307" s="35">
        <v>1500.0</v>
      </c>
      <c r="C307" s="35">
        <v>1079.0</v>
      </c>
      <c r="D307" s="35">
        <v>105177.0</v>
      </c>
      <c r="E307" s="36">
        <v>12164.0</v>
      </c>
      <c r="F307" s="37">
        <v>1860657.0</v>
      </c>
      <c r="G307" s="37">
        <v>13664.0</v>
      </c>
      <c r="H307" s="37">
        <v>1965834.0</v>
      </c>
      <c r="I307" s="36">
        <v>1288.0</v>
      </c>
      <c r="J307" s="36">
        <v>932.0</v>
      </c>
      <c r="K307" s="36">
        <v>87096.0</v>
      </c>
      <c r="L307" s="36">
        <v>3202.0</v>
      </c>
      <c r="M307" s="36">
        <v>519715.0</v>
      </c>
      <c r="N307" s="36">
        <v>606811.0</v>
      </c>
      <c r="O307" s="36">
        <v>56.0</v>
      </c>
      <c r="P307" s="38">
        <v>6424.0</v>
      </c>
      <c r="Q307" s="38">
        <v>44.0</v>
      </c>
      <c r="R307" s="38">
        <v>5245.0</v>
      </c>
      <c r="S307" s="38">
        <v>5.0</v>
      </c>
      <c r="T307" s="38">
        <v>700.0</v>
      </c>
      <c r="U307" s="38">
        <v>479.0</v>
      </c>
      <c r="V307" s="38">
        <v>469.0</v>
      </c>
      <c r="W307" s="38">
        <v>72.0</v>
      </c>
      <c r="X307" s="38">
        <v>50.0</v>
      </c>
      <c r="Y307" s="38">
        <v>14.0</v>
      </c>
      <c r="Z307" s="35">
        <v>1884.0</v>
      </c>
      <c r="AA307" s="29">
        <v>3567.0</v>
      </c>
      <c r="AB307" s="29">
        <v>0.0</v>
      </c>
      <c r="AC307" s="29">
        <v>3567.0</v>
      </c>
      <c r="AD307" s="29">
        <v>15881.0</v>
      </c>
      <c r="AE307" s="29">
        <v>3567.0</v>
      </c>
      <c r="AF307" s="29">
        <v>15881.0</v>
      </c>
      <c r="AG307" s="29">
        <v>0.0</v>
      </c>
      <c r="AH307" s="29">
        <v>0.0</v>
      </c>
    </row>
    <row r="308" ht="14.25" customHeight="1">
      <c r="A308" s="34">
        <v>44194.0</v>
      </c>
      <c r="B308" s="35">
        <v>1357.0</v>
      </c>
      <c r="C308" s="35">
        <v>1216.0</v>
      </c>
      <c r="D308" s="35">
        <v>106534.0</v>
      </c>
      <c r="E308" s="36">
        <v>13787.0</v>
      </c>
      <c r="F308" s="37">
        <v>1874444.0</v>
      </c>
      <c r="G308" s="37">
        <v>15144.0</v>
      </c>
      <c r="H308" s="37">
        <v>1980978.0</v>
      </c>
      <c r="I308" s="36">
        <v>1204.0</v>
      </c>
      <c r="J308" s="36">
        <v>1069.0</v>
      </c>
      <c r="K308" s="36">
        <v>88300.0</v>
      </c>
      <c r="L308" s="36">
        <v>2745.0</v>
      </c>
      <c r="M308" s="36">
        <v>522460.0</v>
      </c>
      <c r="N308" s="36">
        <v>610760.0</v>
      </c>
      <c r="O308" s="36">
        <v>59.0</v>
      </c>
      <c r="P308" s="38">
        <v>6483.0</v>
      </c>
      <c r="Q308" s="38">
        <v>56.0</v>
      </c>
      <c r="R308" s="38">
        <v>5301.0</v>
      </c>
      <c r="S308" s="38">
        <v>6.0</v>
      </c>
      <c r="T308" s="38">
        <v>706.0</v>
      </c>
      <c r="U308" s="38">
        <v>476.0</v>
      </c>
      <c r="V308" s="38">
        <v>476.0</v>
      </c>
      <c r="W308" s="38">
        <v>70.0</v>
      </c>
      <c r="X308" s="38">
        <v>53.0</v>
      </c>
      <c r="Y308" s="38">
        <v>17.0</v>
      </c>
      <c r="Z308" s="35">
        <v>1901.0</v>
      </c>
      <c r="AA308" s="29">
        <v>3084.0</v>
      </c>
      <c r="AB308" s="29">
        <v>0.0</v>
      </c>
      <c r="AC308" s="29">
        <v>3084.0</v>
      </c>
      <c r="AD308" s="29">
        <v>18965.0</v>
      </c>
      <c r="AE308" s="29">
        <v>3084.0</v>
      </c>
      <c r="AF308" s="29">
        <v>18965.0</v>
      </c>
      <c r="AG308" s="29">
        <v>0.0</v>
      </c>
      <c r="AH308" s="29">
        <v>0.0</v>
      </c>
    </row>
    <row r="309" ht="14.25" customHeight="1">
      <c r="A309" s="34">
        <v>44195.0</v>
      </c>
      <c r="B309" s="35">
        <v>1539.0</v>
      </c>
      <c r="C309" s="35">
        <v>1465.0</v>
      </c>
      <c r="D309" s="35">
        <v>108073.0</v>
      </c>
      <c r="E309" s="36">
        <v>20035.0</v>
      </c>
      <c r="F309" s="37">
        <v>1894479.0</v>
      </c>
      <c r="G309" s="37">
        <v>21574.0</v>
      </c>
      <c r="H309" s="37">
        <v>2002552.0</v>
      </c>
      <c r="I309" s="36">
        <v>1377.0</v>
      </c>
      <c r="J309" s="36">
        <v>1290.0</v>
      </c>
      <c r="K309" s="36">
        <v>89677.0</v>
      </c>
      <c r="L309" s="36">
        <v>3450.0</v>
      </c>
      <c r="M309" s="36">
        <v>525910.0</v>
      </c>
      <c r="N309" s="36">
        <v>615587.0</v>
      </c>
      <c r="O309" s="36">
        <v>60.0</v>
      </c>
      <c r="P309" s="38">
        <v>6543.0</v>
      </c>
      <c r="Q309" s="38">
        <v>57.0</v>
      </c>
      <c r="R309" s="38">
        <v>5358.0</v>
      </c>
      <c r="S309" s="38">
        <v>5.0</v>
      </c>
      <c r="T309" s="38">
        <v>711.0</v>
      </c>
      <c r="U309" s="38">
        <v>474.0</v>
      </c>
      <c r="V309" s="38">
        <v>476.0</v>
      </c>
      <c r="W309" s="38">
        <v>66.0</v>
      </c>
      <c r="X309" s="38">
        <v>49.0</v>
      </c>
      <c r="Y309" s="38">
        <v>11.0</v>
      </c>
      <c r="Z309" s="35">
        <v>1912.0</v>
      </c>
      <c r="AA309" s="29">
        <v>3225.0</v>
      </c>
      <c r="AB309" s="29">
        <v>0.0</v>
      </c>
      <c r="AC309" s="29">
        <v>3225.0</v>
      </c>
      <c r="AD309" s="29">
        <v>22190.0</v>
      </c>
      <c r="AE309" s="29">
        <v>3225.0</v>
      </c>
      <c r="AF309" s="29">
        <v>22190.0</v>
      </c>
      <c r="AG309" s="29">
        <v>0.0</v>
      </c>
      <c r="AH309" s="29">
        <v>0.0</v>
      </c>
    </row>
    <row r="310" ht="14.25" customHeight="1">
      <c r="A310" s="34">
        <v>44196.0</v>
      </c>
      <c r="B310" s="35">
        <v>1008.0</v>
      </c>
      <c r="C310" s="35">
        <v>1301.0</v>
      </c>
      <c r="D310" s="35">
        <v>109081.0</v>
      </c>
      <c r="E310" s="36">
        <v>13998.0</v>
      </c>
      <c r="F310" s="37">
        <v>1908477.0</v>
      </c>
      <c r="G310" s="37">
        <v>15006.0</v>
      </c>
      <c r="H310" s="37">
        <v>2017558.0</v>
      </c>
      <c r="I310" s="36">
        <v>884.0</v>
      </c>
      <c r="J310" s="36">
        <v>1155.0</v>
      </c>
      <c r="K310" s="36">
        <v>90561.0</v>
      </c>
      <c r="L310" s="36">
        <v>2906.0</v>
      </c>
      <c r="M310" s="36">
        <v>528816.0</v>
      </c>
      <c r="N310" s="36">
        <v>619377.0</v>
      </c>
      <c r="O310" s="36">
        <v>57.0</v>
      </c>
      <c r="P310" s="38">
        <v>6600.0</v>
      </c>
      <c r="Q310" s="38">
        <v>60.0</v>
      </c>
      <c r="R310" s="38">
        <v>5418.0</v>
      </c>
      <c r="S310" s="38">
        <v>14.0</v>
      </c>
      <c r="T310" s="38">
        <v>725.0</v>
      </c>
      <c r="U310" s="38">
        <v>457.0</v>
      </c>
      <c r="V310" s="38">
        <v>469.0</v>
      </c>
      <c r="W310" s="38">
        <v>60.0</v>
      </c>
      <c r="X310" s="38">
        <v>44.0</v>
      </c>
      <c r="Y310" s="38">
        <v>19.0</v>
      </c>
      <c r="Z310" s="35">
        <v>1931.0</v>
      </c>
      <c r="AA310" s="29">
        <v>777.0</v>
      </c>
      <c r="AB310" s="29">
        <v>0.0</v>
      </c>
      <c r="AC310" s="29">
        <v>777.0</v>
      </c>
      <c r="AD310" s="29">
        <v>22967.0</v>
      </c>
      <c r="AE310" s="29">
        <v>777.0</v>
      </c>
      <c r="AF310" s="29">
        <v>22967.0</v>
      </c>
      <c r="AG310" s="29">
        <v>0.0</v>
      </c>
      <c r="AH310" s="29">
        <v>0.0</v>
      </c>
    </row>
    <row r="311" ht="14.25" customHeight="1">
      <c r="A311" s="34">
        <v>44197.0</v>
      </c>
      <c r="B311" s="35">
        <v>928.0</v>
      </c>
      <c r="C311" s="35">
        <v>1158.0</v>
      </c>
      <c r="D311" s="35">
        <v>110009.0</v>
      </c>
      <c r="E311" s="36">
        <v>10823.0</v>
      </c>
      <c r="F311" s="37">
        <v>1919300.0</v>
      </c>
      <c r="G311" s="37">
        <v>11751.0</v>
      </c>
      <c r="H311" s="37">
        <v>2029309.0</v>
      </c>
      <c r="I311" s="36">
        <v>778.0</v>
      </c>
      <c r="J311" s="36">
        <v>1013.0</v>
      </c>
      <c r="K311" s="36">
        <v>91339.0</v>
      </c>
      <c r="L311" s="36">
        <v>1916.0</v>
      </c>
      <c r="M311" s="36">
        <v>530732.0</v>
      </c>
      <c r="N311" s="36">
        <v>622071.0</v>
      </c>
      <c r="O311" s="36">
        <v>52.0</v>
      </c>
      <c r="P311" s="38">
        <v>6652.0</v>
      </c>
      <c r="Q311" s="38">
        <v>46.0</v>
      </c>
      <c r="R311" s="38">
        <v>5464.0</v>
      </c>
      <c r="S311" s="38">
        <v>9.0</v>
      </c>
      <c r="T311" s="38">
        <v>734.0</v>
      </c>
      <c r="U311" s="38">
        <v>454.0</v>
      </c>
      <c r="V311" s="38">
        <v>462.0</v>
      </c>
      <c r="W311" s="38">
        <v>60.0</v>
      </c>
      <c r="X311" s="38">
        <v>46.0</v>
      </c>
      <c r="Y311" s="38">
        <v>14.0</v>
      </c>
      <c r="Z311" s="35">
        <v>1945.0</v>
      </c>
      <c r="AA311" s="29">
        <v>66.0</v>
      </c>
      <c r="AB311" s="29">
        <v>0.0</v>
      </c>
      <c r="AC311" s="29">
        <v>66.0</v>
      </c>
      <c r="AD311" s="29">
        <v>23033.0</v>
      </c>
      <c r="AE311" s="29">
        <v>66.0</v>
      </c>
      <c r="AF311" s="29">
        <v>23033.0</v>
      </c>
      <c r="AG311" s="29">
        <v>0.0</v>
      </c>
      <c r="AH311" s="29">
        <v>0.0</v>
      </c>
    </row>
    <row r="312" ht="14.25" customHeight="1">
      <c r="A312" s="34">
        <v>44198.0</v>
      </c>
      <c r="B312" s="35">
        <v>1027.0</v>
      </c>
      <c r="C312" s="35">
        <v>988.0</v>
      </c>
      <c r="D312" s="35">
        <v>111036.0</v>
      </c>
      <c r="E312" s="36">
        <v>9835.0</v>
      </c>
      <c r="F312" s="37">
        <v>1929135.0</v>
      </c>
      <c r="G312" s="37">
        <v>10862.0</v>
      </c>
      <c r="H312" s="37">
        <v>2040171.0</v>
      </c>
      <c r="I312" s="36">
        <v>872.0</v>
      </c>
      <c r="J312" s="36">
        <v>845.0</v>
      </c>
      <c r="K312" s="36">
        <v>92211.0</v>
      </c>
      <c r="L312" s="36">
        <v>2156.0</v>
      </c>
      <c r="M312" s="36">
        <v>532888.0</v>
      </c>
      <c r="N312" s="36">
        <v>625099.0</v>
      </c>
      <c r="O312" s="36">
        <v>51.0</v>
      </c>
      <c r="P312" s="38">
        <v>6703.0</v>
      </c>
      <c r="Q312" s="38">
        <v>33.0</v>
      </c>
      <c r="R312" s="38">
        <v>5497.0</v>
      </c>
      <c r="S312" s="38">
        <v>5.0</v>
      </c>
      <c r="T312" s="38">
        <v>739.0</v>
      </c>
      <c r="U312" s="38">
        <v>467.0</v>
      </c>
      <c r="V312" s="38">
        <v>459.0</v>
      </c>
      <c r="W312" s="38">
        <v>59.0</v>
      </c>
      <c r="X312" s="38">
        <v>42.0</v>
      </c>
      <c r="Y312" s="38">
        <v>14.0</v>
      </c>
      <c r="Z312" s="35">
        <v>1959.0</v>
      </c>
      <c r="AA312" s="29">
        <v>1753.0</v>
      </c>
      <c r="AB312" s="29">
        <v>20.0</v>
      </c>
      <c r="AC312" s="29">
        <v>1773.0</v>
      </c>
      <c r="AD312" s="29">
        <v>24806.0</v>
      </c>
      <c r="AE312" s="29">
        <v>1753.0</v>
      </c>
      <c r="AF312" s="29">
        <v>24786.0</v>
      </c>
      <c r="AG312" s="29">
        <v>20.0</v>
      </c>
      <c r="AH312" s="29">
        <v>20.0</v>
      </c>
    </row>
    <row r="313" ht="14.25" customHeight="1">
      <c r="A313" s="34">
        <v>44199.0</v>
      </c>
      <c r="B313" s="35">
        <v>760.0</v>
      </c>
      <c r="C313" s="35">
        <v>905.0</v>
      </c>
      <c r="D313" s="35">
        <v>111796.0</v>
      </c>
      <c r="E313" s="36">
        <v>8247.0</v>
      </c>
      <c r="F313" s="37">
        <v>1937382.0</v>
      </c>
      <c r="G313" s="37">
        <v>9007.0</v>
      </c>
      <c r="H313" s="37">
        <v>2049178.0</v>
      </c>
      <c r="I313" s="36">
        <v>650.0</v>
      </c>
      <c r="J313" s="36">
        <v>767.0</v>
      </c>
      <c r="K313" s="36">
        <v>92861.0</v>
      </c>
      <c r="L313" s="36">
        <v>2111.0</v>
      </c>
      <c r="M313" s="36">
        <v>534999.0</v>
      </c>
      <c r="N313" s="36">
        <v>627860.0</v>
      </c>
      <c r="O313" s="36">
        <v>39.0</v>
      </c>
      <c r="P313" s="38">
        <v>6742.0</v>
      </c>
      <c r="Q313" s="38">
        <v>40.0</v>
      </c>
      <c r="R313" s="38">
        <v>5537.0</v>
      </c>
      <c r="S313" s="38">
        <v>9.0</v>
      </c>
      <c r="T313" s="38">
        <v>748.0</v>
      </c>
      <c r="U313" s="38">
        <v>457.0</v>
      </c>
      <c r="V313" s="38">
        <v>459.0</v>
      </c>
      <c r="W313" s="38">
        <v>61.0</v>
      </c>
      <c r="X313" s="38">
        <v>42.0</v>
      </c>
      <c r="Y313" s="38">
        <v>17.0</v>
      </c>
      <c r="Z313" s="35">
        <v>1976.0</v>
      </c>
      <c r="AA313" s="29">
        <v>1729.0</v>
      </c>
      <c r="AB313" s="29">
        <v>102.0</v>
      </c>
      <c r="AC313" s="29">
        <v>1831.0</v>
      </c>
      <c r="AD313" s="29">
        <v>26637.0</v>
      </c>
      <c r="AE313" s="29">
        <v>1729.0</v>
      </c>
      <c r="AF313" s="29">
        <v>26515.0</v>
      </c>
      <c r="AG313" s="29">
        <v>102.0</v>
      </c>
      <c r="AH313" s="29">
        <v>122.0</v>
      </c>
    </row>
    <row r="314" ht="14.25" customHeight="1">
      <c r="A314" s="34">
        <v>44200.0</v>
      </c>
      <c r="B314" s="35">
        <v>1264.0</v>
      </c>
      <c r="C314" s="35">
        <v>1017.0</v>
      </c>
      <c r="D314" s="35">
        <v>113060.0</v>
      </c>
      <c r="E314" s="36">
        <v>11850.0</v>
      </c>
      <c r="F314" s="37">
        <v>1949232.0</v>
      </c>
      <c r="G314" s="37">
        <v>13114.0</v>
      </c>
      <c r="H314" s="37">
        <v>2062292.0</v>
      </c>
      <c r="I314" s="36">
        <v>1153.0</v>
      </c>
      <c r="J314" s="36">
        <v>892.0</v>
      </c>
      <c r="K314" s="36">
        <v>94014.0</v>
      </c>
      <c r="L314" s="36">
        <v>2938.0</v>
      </c>
      <c r="M314" s="36">
        <v>537937.0</v>
      </c>
      <c r="N314" s="36">
        <v>631951.0</v>
      </c>
      <c r="O314" s="36">
        <v>67.0</v>
      </c>
      <c r="P314" s="38">
        <v>6809.0</v>
      </c>
      <c r="Q314" s="38">
        <v>60.0</v>
      </c>
      <c r="R314" s="38">
        <v>5597.0</v>
      </c>
      <c r="S314" s="38">
        <v>12.0</v>
      </c>
      <c r="T314" s="38">
        <v>760.0</v>
      </c>
      <c r="U314" s="38">
        <v>452.0</v>
      </c>
      <c r="V314" s="38">
        <v>459.0</v>
      </c>
      <c r="W314" s="38">
        <v>64.0</v>
      </c>
      <c r="X314" s="38">
        <v>42.0</v>
      </c>
      <c r="Y314" s="38">
        <v>19.0</v>
      </c>
      <c r="Z314" s="35">
        <v>1995.0</v>
      </c>
      <c r="AA314" s="29">
        <v>2344.0</v>
      </c>
      <c r="AB314" s="29">
        <v>282.0</v>
      </c>
      <c r="AC314" s="29">
        <v>2626.0</v>
      </c>
      <c r="AD314" s="29">
        <v>29263.0</v>
      </c>
      <c r="AE314" s="29">
        <v>2344.0</v>
      </c>
      <c r="AF314" s="29">
        <v>28859.0</v>
      </c>
      <c r="AG314" s="29">
        <v>282.0</v>
      </c>
      <c r="AH314" s="29">
        <v>404.0</v>
      </c>
    </row>
    <row r="315" ht="14.25" customHeight="1">
      <c r="A315" s="34">
        <v>44201.0</v>
      </c>
      <c r="B315" s="35">
        <v>1882.0</v>
      </c>
      <c r="C315" s="35">
        <v>1302.0</v>
      </c>
      <c r="D315" s="35">
        <v>114942.0</v>
      </c>
      <c r="E315" s="36">
        <v>19205.0</v>
      </c>
      <c r="F315" s="37">
        <v>1968437.0</v>
      </c>
      <c r="G315" s="37">
        <v>21087.0</v>
      </c>
      <c r="H315" s="37">
        <v>2083379.0</v>
      </c>
      <c r="I315" s="36">
        <v>1581.0</v>
      </c>
      <c r="J315" s="36">
        <v>1128.0</v>
      </c>
      <c r="K315" s="36">
        <v>95595.0</v>
      </c>
      <c r="L315" s="36">
        <v>3836.0</v>
      </c>
      <c r="M315" s="36">
        <v>541773.0</v>
      </c>
      <c r="N315" s="36">
        <v>637368.0</v>
      </c>
      <c r="O315" s="36">
        <v>56.0</v>
      </c>
      <c r="P315" s="38">
        <v>6865.0</v>
      </c>
      <c r="Q315" s="38">
        <v>55.0</v>
      </c>
      <c r="R315" s="38">
        <v>5652.0</v>
      </c>
      <c r="S315" s="38">
        <v>7.0</v>
      </c>
      <c r="T315" s="38">
        <v>767.0</v>
      </c>
      <c r="U315" s="38">
        <v>446.0</v>
      </c>
      <c r="V315" s="38">
        <v>452.0</v>
      </c>
      <c r="W315" s="38">
        <v>63.0</v>
      </c>
      <c r="X315" s="38">
        <v>41.0</v>
      </c>
      <c r="Y315" s="38">
        <v>13.0</v>
      </c>
      <c r="Z315" s="35">
        <v>2008.0</v>
      </c>
      <c r="AA315" s="29">
        <v>2519.0</v>
      </c>
      <c r="AB315" s="29">
        <v>240.0</v>
      </c>
      <c r="AC315" s="29">
        <v>2759.0</v>
      </c>
      <c r="AD315" s="29">
        <v>32022.0</v>
      </c>
      <c r="AE315" s="29">
        <v>2519.0</v>
      </c>
      <c r="AF315" s="29">
        <v>31378.0</v>
      </c>
      <c r="AG315" s="29">
        <v>240.0</v>
      </c>
      <c r="AH315" s="29">
        <v>644.0</v>
      </c>
    </row>
    <row r="316" ht="14.25" customHeight="1">
      <c r="A316" s="34">
        <v>44202.0</v>
      </c>
      <c r="B316" s="35">
        <v>1372.0</v>
      </c>
      <c r="C316" s="35">
        <v>1506.0</v>
      </c>
      <c r="D316" s="35">
        <v>116314.0</v>
      </c>
      <c r="E316" s="36">
        <v>18324.0</v>
      </c>
      <c r="F316" s="37">
        <v>1986761.0</v>
      </c>
      <c r="G316" s="37">
        <v>19696.0</v>
      </c>
      <c r="H316" s="37">
        <v>2103075.0</v>
      </c>
      <c r="I316" s="36">
        <v>1215.0</v>
      </c>
      <c r="J316" s="36">
        <v>1316.0</v>
      </c>
      <c r="K316" s="36">
        <v>96810.0</v>
      </c>
      <c r="L316" s="36">
        <v>3047.0</v>
      </c>
      <c r="M316" s="36">
        <v>544820.0</v>
      </c>
      <c r="N316" s="36">
        <v>641630.0</v>
      </c>
      <c r="O316" s="36">
        <v>59.0</v>
      </c>
      <c r="P316" s="38">
        <v>6924.0</v>
      </c>
      <c r="Q316" s="38">
        <v>60.0</v>
      </c>
      <c r="R316" s="38">
        <v>5712.0</v>
      </c>
      <c r="S316" s="38">
        <v>12.0</v>
      </c>
      <c r="T316" s="38">
        <v>779.0</v>
      </c>
      <c r="U316" s="38">
        <v>433.0</v>
      </c>
      <c r="V316" s="38">
        <v>444.0</v>
      </c>
      <c r="W316" s="38">
        <v>58.0</v>
      </c>
      <c r="X316" s="38">
        <v>39.0</v>
      </c>
      <c r="Y316" s="38">
        <v>19.0</v>
      </c>
      <c r="Z316" s="35">
        <v>2027.0</v>
      </c>
      <c r="AA316" s="29">
        <v>1637.0</v>
      </c>
      <c r="AB316" s="29">
        <v>470.0</v>
      </c>
      <c r="AC316" s="29">
        <v>2107.0</v>
      </c>
      <c r="AD316" s="29">
        <v>34129.0</v>
      </c>
      <c r="AE316" s="29">
        <v>1637.0</v>
      </c>
      <c r="AF316" s="29">
        <v>33015.0</v>
      </c>
      <c r="AG316" s="29">
        <v>470.0</v>
      </c>
      <c r="AH316" s="29">
        <v>1114.0</v>
      </c>
    </row>
    <row r="317" ht="14.25" customHeight="1">
      <c r="A317" s="34">
        <v>44203.0</v>
      </c>
      <c r="B317" s="35">
        <v>1262.0</v>
      </c>
      <c r="C317" s="35">
        <v>1505.0</v>
      </c>
      <c r="D317" s="35">
        <v>117576.0</v>
      </c>
      <c r="E317" s="36">
        <v>17441.0</v>
      </c>
      <c r="F317" s="37">
        <v>2004202.0</v>
      </c>
      <c r="G317" s="37">
        <v>18703.0</v>
      </c>
      <c r="H317" s="37">
        <v>2121778.0</v>
      </c>
      <c r="I317" s="36">
        <v>1181.0</v>
      </c>
      <c r="J317" s="36">
        <v>1326.0</v>
      </c>
      <c r="K317" s="36">
        <v>97991.0</v>
      </c>
      <c r="L317" s="36">
        <v>3246.0</v>
      </c>
      <c r="M317" s="36">
        <v>548066.0</v>
      </c>
      <c r="N317" s="36">
        <v>646057.0</v>
      </c>
      <c r="O317" s="36">
        <v>51.0</v>
      </c>
      <c r="P317" s="38">
        <v>6975.0</v>
      </c>
      <c r="Q317" s="38">
        <v>55.0</v>
      </c>
      <c r="R317" s="38">
        <v>5767.0</v>
      </c>
      <c r="S317" s="38">
        <v>4.0</v>
      </c>
      <c r="T317" s="38">
        <v>783.0</v>
      </c>
      <c r="U317" s="38">
        <v>425.0</v>
      </c>
      <c r="V317" s="38">
        <v>435.0</v>
      </c>
      <c r="W317" s="38">
        <v>57.0</v>
      </c>
      <c r="X317" s="38">
        <v>36.0</v>
      </c>
      <c r="Y317" s="38">
        <v>11.0</v>
      </c>
      <c r="Z317" s="35">
        <v>2038.0</v>
      </c>
      <c r="AA317" s="29">
        <v>1751.0</v>
      </c>
      <c r="AB317" s="29">
        <v>706.0</v>
      </c>
      <c r="AC317" s="29">
        <v>2457.0</v>
      </c>
      <c r="AD317" s="29">
        <v>36586.0</v>
      </c>
      <c r="AE317" s="29">
        <v>1751.0</v>
      </c>
      <c r="AF317" s="29">
        <v>34766.0</v>
      </c>
      <c r="AG317" s="29">
        <v>706.0</v>
      </c>
      <c r="AH317" s="29">
        <v>1820.0</v>
      </c>
    </row>
    <row r="318" ht="14.25" customHeight="1">
      <c r="A318" s="34">
        <v>44204.0</v>
      </c>
      <c r="B318" s="35">
        <v>1421.0</v>
      </c>
      <c r="C318" s="35">
        <v>1352.0</v>
      </c>
      <c r="D318" s="35">
        <v>118997.0</v>
      </c>
      <c r="E318" s="36">
        <v>20468.0</v>
      </c>
      <c r="F318" s="37">
        <v>2024670.0</v>
      </c>
      <c r="G318" s="37">
        <v>21889.0</v>
      </c>
      <c r="H318" s="37">
        <v>2143667.0</v>
      </c>
      <c r="I318" s="36">
        <v>1183.0</v>
      </c>
      <c r="J318" s="36">
        <v>1193.0</v>
      </c>
      <c r="K318" s="36">
        <v>99174.0</v>
      </c>
      <c r="L318" s="36">
        <v>3857.0</v>
      </c>
      <c r="M318" s="36">
        <v>551923.0</v>
      </c>
      <c r="N318" s="36">
        <v>651097.0</v>
      </c>
      <c r="O318" s="36">
        <v>56.0</v>
      </c>
      <c r="P318" s="38">
        <v>7031.0</v>
      </c>
      <c r="Q318" s="38">
        <v>51.0</v>
      </c>
      <c r="R318" s="38">
        <v>5818.0</v>
      </c>
      <c r="S318" s="38">
        <v>6.0</v>
      </c>
      <c r="T318" s="38">
        <v>789.0</v>
      </c>
      <c r="U318" s="38">
        <v>424.0</v>
      </c>
      <c r="V318" s="38">
        <v>427.0</v>
      </c>
      <c r="W318" s="38">
        <v>54.0</v>
      </c>
      <c r="X318" s="38">
        <v>35.0</v>
      </c>
      <c r="Y318" s="38">
        <v>13.0</v>
      </c>
      <c r="Z318" s="35">
        <v>2051.0</v>
      </c>
      <c r="AA318" s="29">
        <v>1795.0</v>
      </c>
      <c r="AB318" s="29">
        <v>1556.0</v>
      </c>
      <c r="AC318" s="29">
        <v>3351.0</v>
      </c>
      <c r="AD318" s="29">
        <v>39937.0</v>
      </c>
      <c r="AE318" s="29">
        <v>1795.0</v>
      </c>
      <c r="AF318" s="29">
        <v>36561.0</v>
      </c>
      <c r="AG318" s="29">
        <v>1556.0</v>
      </c>
      <c r="AH318" s="29">
        <v>3376.0</v>
      </c>
    </row>
    <row r="319" ht="14.25" customHeight="1">
      <c r="A319" s="34">
        <v>44205.0</v>
      </c>
      <c r="B319" s="35">
        <v>1287.0</v>
      </c>
      <c r="C319" s="35">
        <v>1323.0</v>
      </c>
      <c r="D319" s="35">
        <v>120284.0</v>
      </c>
      <c r="E319" s="36">
        <v>17329.0</v>
      </c>
      <c r="F319" s="37">
        <v>2041999.0</v>
      </c>
      <c r="G319" s="37">
        <v>18616.0</v>
      </c>
      <c r="H319" s="37">
        <v>2162283.0</v>
      </c>
      <c r="I319" s="36">
        <v>1095.0</v>
      </c>
      <c r="J319" s="36">
        <v>1153.0</v>
      </c>
      <c r="K319" s="36">
        <v>100269.0</v>
      </c>
      <c r="L319" s="36">
        <v>3379.0</v>
      </c>
      <c r="M319" s="36">
        <v>555302.0</v>
      </c>
      <c r="N319" s="36">
        <v>655571.0</v>
      </c>
      <c r="O319" s="36">
        <v>65.0</v>
      </c>
      <c r="P319" s="38">
        <v>7096.0</v>
      </c>
      <c r="Q319" s="38">
        <v>38.0</v>
      </c>
      <c r="R319" s="38">
        <v>5856.0</v>
      </c>
      <c r="S319" s="38">
        <v>6.0</v>
      </c>
      <c r="T319" s="38">
        <v>795.0</v>
      </c>
      <c r="U319" s="38">
        <v>445.0</v>
      </c>
      <c r="V319" s="38">
        <v>431.0</v>
      </c>
      <c r="W319" s="38">
        <v>52.0</v>
      </c>
      <c r="X319" s="38">
        <v>33.0</v>
      </c>
      <c r="Y319" s="38">
        <v>15.0</v>
      </c>
      <c r="Z319" s="35">
        <v>2066.0</v>
      </c>
      <c r="AA319" s="29">
        <v>1479.0</v>
      </c>
      <c r="AB319" s="29">
        <v>697.0</v>
      </c>
      <c r="AC319" s="29">
        <v>2176.0</v>
      </c>
      <c r="AD319" s="29">
        <v>42113.0</v>
      </c>
      <c r="AE319" s="29">
        <v>1479.0</v>
      </c>
      <c r="AF319" s="29">
        <v>38040.0</v>
      </c>
      <c r="AG319" s="29">
        <v>697.0</v>
      </c>
      <c r="AH319" s="29">
        <v>4073.0</v>
      </c>
    </row>
    <row r="320" ht="14.25" customHeight="1">
      <c r="A320" s="34">
        <v>44206.0</v>
      </c>
      <c r="B320" s="35">
        <v>739.0</v>
      </c>
      <c r="C320" s="35">
        <v>1149.0</v>
      </c>
      <c r="D320" s="35">
        <v>121023.0</v>
      </c>
      <c r="E320" s="36">
        <v>8781.0</v>
      </c>
      <c r="F320" s="37">
        <v>2050780.0</v>
      </c>
      <c r="G320" s="37">
        <v>9520.0</v>
      </c>
      <c r="H320" s="37">
        <v>2171803.0</v>
      </c>
      <c r="I320" s="36">
        <v>656.0</v>
      </c>
      <c r="J320" s="36">
        <v>978.0</v>
      </c>
      <c r="K320" s="36">
        <v>100925.0</v>
      </c>
      <c r="L320" s="36">
        <v>2056.0</v>
      </c>
      <c r="M320" s="36">
        <v>557358.0</v>
      </c>
      <c r="N320" s="36">
        <v>658283.0</v>
      </c>
      <c r="O320" s="36">
        <v>45.0</v>
      </c>
      <c r="P320" s="38">
        <v>7141.0</v>
      </c>
      <c r="Q320" s="38">
        <v>40.0</v>
      </c>
      <c r="R320" s="38">
        <v>5896.0</v>
      </c>
      <c r="S320" s="38">
        <v>5.0</v>
      </c>
      <c r="T320" s="38">
        <v>800.0</v>
      </c>
      <c r="U320" s="38">
        <v>445.0</v>
      </c>
      <c r="V320" s="38">
        <v>438.0</v>
      </c>
      <c r="W320" s="38">
        <v>55.0</v>
      </c>
      <c r="X320" s="38">
        <v>34.0</v>
      </c>
      <c r="Y320" s="38">
        <v>15.0</v>
      </c>
      <c r="Z320" s="35">
        <v>2081.0</v>
      </c>
      <c r="AA320" s="29">
        <v>339.0</v>
      </c>
      <c r="AB320" s="29">
        <v>764.0</v>
      </c>
      <c r="AC320" s="29">
        <v>1103.0</v>
      </c>
      <c r="AD320" s="29">
        <v>43216.0</v>
      </c>
      <c r="AE320" s="29">
        <v>339.0</v>
      </c>
      <c r="AF320" s="29">
        <v>38379.0</v>
      </c>
      <c r="AG320" s="29">
        <v>764.0</v>
      </c>
      <c r="AH320" s="29">
        <v>4837.0</v>
      </c>
    </row>
    <row r="321" ht="14.25" customHeight="1">
      <c r="A321" s="34">
        <v>44207.0</v>
      </c>
      <c r="B321" s="35">
        <v>1016.0</v>
      </c>
      <c r="C321" s="35">
        <v>1014.0</v>
      </c>
      <c r="D321" s="35">
        <v>122039.0</v>
      </c>
      <c r="E321" s="36">
        <v>13399.0</v>
      </c>
      <c r="F321" s="37">
        <v>2064179.0</v>
      </c>
      <c r="G321" s="37">
        <v>14415.0</v>
      </c>
      <c r="H321" s="37">
        <v>2186218.0</v>
      </c>
      <c r="I321" s="36">
        <v>931.0</v>
      </c>
      <c r="J321" s="36">
        <v>894.0</v>
      </c>
      <c r="K321" s="36">
        <v>101856.0</v>
      </c>
      <c r="L321" s="36">
        <v>3347.0</v>
      </c>
      <c r="M321" s="36">
        <v>560705.0</v>
      </c>
      <c r="N321" s="36">
        <v>662561.0</v>
      </c>
      <c r="O321" s="36">
        <v>63.0</v>
      </c>
      <c r="P321" s="38">
        <v>7204.0</v>
      </c>
      <c r="Q321" s="38">
        <v>50.0</v>
      </c>
      <c r="R321" s="38">
        <v>5946.0</v>
      </c>
      <c r="S321" s="38">
        <v>9.0</v>
      </c>
      <c r="T321" s="38">
        <v>809.0</v>
      </c>
      <c r="U321" s="38">
        <v>449.0</v>
      </c>
      <c r="V321" s="38">
        <v>446.0</v>
      </c>
      <c r="W321" s="38">
        <v>54.0</v>
      </c>
      <c r="X321" s="38">
        <v>36.0</v>
      </c>
      <c r="Y321" s="38">
        <v>22.0</v>
      </c>
      <c r="Z321" s="35">
        <v>2103.0</v>
      </c>
      <c r="AA321" s="29">
        <v>1320.0</v>
      </c>
      <c r="AB321" s="29">
        <v>1517.0</v>
      </c>
      <c r="AC321" s="29">
        <v>2837.0</v>
      </c>
      <c r="AD321" s="29">
        <v>46053.0</v>
      </c>
      <c r="AE321" s="29">
        <v>1320.0</v>
      </c>
      <c r="AF321" s="29">
        <v>39699.0</v>
      </c>
      <c r="AG321" s="29">
        <v>1517.0</v>
      </c>
      <c r="AH321" s="29">
        <v>6354.0</v>
      </c>
    </row>
    <row r="322" ht="14.25" customHeight="1">
      <c r="A322" s="34">
        <v>44208.0</v>
      </c>
      <c r="B322" s="35">
        <v>1116.0</v>
      </c>
      <c r="C322" s="35">
        <v>957.0</v>
      </c>
      <c r="D322" s="35">
        <v>123155.0</v>
      </c>
      <c r="E322" s="36">
        <v>18313.0</v>
      </c>
      <c r="F322" s="37">
        <v>2082492.0</v>
      </c>
      <c r="G322" s="37">
        <v>19429.0</v>
      </c>
      <c r="H322" s="37">
        <v>2205647.0</v>
      </c>
      <c r="I322" s="36">
        <v>981.0</v>
      </c>
      <c r="J322" s="36">
        <v>856.0</v>
      </c>
      <c r="K322" s="36">
        <v>102837.0</v>
      </c>
      <c r="L322" s="36">
        <v>3684.0</v>
      </c>
      <c r="M322" s="36">
        <v>564389.0</v>
      </c>
      <c r="N322" s="36">
        <v>667226.0</v>
      </c>
      <c r="O322" s="36">
        <v>61.0</v>
      </c>
      <c r="P322" s="38">
        <v>7265.0</v>
      </c>
      <c r="Q322" s="38">
        <v>76.0</v>
      </c>
      <c r="R322" s="38">
        <v>6022.0</v>
      </c>
      <c r="S322" s="38">
        <v>8.0</v>
      </c>
      <c r="T322" s="38">
        <v>817.0</v>
      </c>
      <c r="U322" s="38">
        <v>426.0</v>
      </c>
      <c r="V322" s="38">
        <v>440.0</v>
      </c>
      <c r="W322" s="38">
        <v>56.0</v>
      </c>
      <c r="X322" s="38">
        <v>37.0</v>
      </c>
      <c r="Y322" s="38">
        <v>15.0</v>
      </c>
      <c r="Z322" s="35">
        <v>2118.0</v>
      </c>
      <c r="AA322" s="29">
        <v>1917.0</v>
      </c>
      <c r="AB322" s="29">
        <v>1292.0</v>
      </c>
      <c r="AC322" s="29">
        <v>3209.0</v>
      </c>
      <c r="AD322" s="29">
        <v>49262.0</v>
      </c>
      <c r="AE322" s="29">
        <v>1917.0</v>
      </c>
      <c r="AF322" s="29">
        <v>41616.0</v>
      </c>
      <c r="AG322" s="29">
        <v>1292.0</v>
      </c>
      <c r="AH322" s="29">
        <v>7646.0</v>
      </c>
    </row>
    <row r="323" ht="14.25" customHeight="1">
      <c r="A323" s="34">
        <v>44209.0</v>
      </c>
      <c r="B323" s="35">
        <v>1034.0</v>
      </c>
      <c r="C323" s="35">
        <v>1055.0</v>
      </c>
      <c r="D323" s="35">
        <v>124189.0</v>
      </c>
      <c r="E323" s="36">
        <v>19973.0</v>
      </c>
      <c r="F323" s="37">
        <v>2102465.0</v>
      </c>
      <c r="G323" s="37">
        <v>21007.0</v>
      </c>
      <c r="H323" s="37">
        <v>2226654.0</v>
      </c>
      <c r="I323" s="36">
        <v>855.0</v>
      </c>
      <c r="J323" s="36">
        <v>922.0</v>
      </c>
      <c r="K323" s="36">
        <v>103692.0</v>
      </c>
      <c r="L323" s="36">
        <v>3885.0</v>
      </c>
      <c r="M323" s="36">
        <v>568274.0</v>
      </c>
      <c r="N323" s="36">
        <v>671966.0</v>
      </c>
      <c r="O323" s="36">
        <v>68.0</v>
      </c>
      <c r="P323" s="38">
        <v>7333.0</v>
      </c>
      <c r="Q323" s="38">
        <v>56.0</v>
      </c>
      <c r="R323" s="38">
        <v>6078.0</v>
      </c>
      <c r="S323" s="38">
        <v>5.0</v>
      </c>
      <c r="T323" s="38">
        <v>822.0</v>
      </c>
      <c r="U323" s="38">
        <v>433.0</v>
      </c>
      <c r="V323" s="38">
        <v>436.0</v>
      </c>
      <c r="W323" s="38">
        <v>56.0</v>
      </c>
      <c r="X323" s="38">
        <v>37.0</v>
      </c>
      <c r="Y323" s="38">
        <v>11.0</v>
      </c>
      <c r="Z323" s="35">
        <v>2129.0</v>
      </c>
      <c r="AA323" s="29">
        <v>1313.0</v>
      </c>
      <c r="AB323" s="29">
        <v>1221.0</v>
      </c>
      <c r="AC323" s="29">
        <v>2534.0</v>
      </c>
      <c r="AD323" s="29">
        <v>51796.0</v>
      </c>
      <c r="AE323" s="29">
        <v>1313.0</v>
      </c>
      <c r="AF323" s="29">
        <v>42929.0</v>
      </c>
      <c r="AG323" s="29">
        <v>1221.0</v>
      </c>
      <c r="AH323" s="29">
        <v>8867.0</v>
      </c>
    </row>
    <row r="324" ht="14.25" customHeight="1">
      <c r="A324" s="34">
        <v>44210.0</v>
      </c>
      <c r="B324" s="35">
        <v>1145.0</v>
      </c>
      <c r="C324" s="35">
        <v>1098.0</v>
      </c>
      <c r="D324" s="35">
        <v>125334.0</v>
      </c>
      <c r="E324" s="36">
        <v>20572.0</v>
      </c>
      <c r="F324" s="37">
        <v>2123037.0</v>
      </c>
      <c r="G324" s="37">
        <v>21717.0</v>
      </c>
      <c r="H324" s="37">
        <v>2248371.0</v>
      </c>
      <c r="I324" s="36">
        <v>1013.0</v>
      </c>
      <c r="J324" s="36">
        <v>950.0</v>
      </c>
      <c r="K324" s="36">
        <v>104705.0</v>
      </c>
      <c r="L324" s="36">
        <v>3948.0</v>
      </c>
      <c r="M324" s="36">
        <v>572222.0</v>
      </c>
      <c r="N324" s="36">
        <v>676927.0</v>
      </c>
      <c r="O324" s="36">
        <v>64.0</v>
      </c>
      <c r="P324" s="38">
        <v>7397.0</v>
      </c>
      <c r="Q324" s="38">
        <v>60.0</v>
      </c>
      <c r="R324" s="38">
        <v>6138.0</v>
      </c>
      <c r="S324" s="38">
        <v>5.0</v>
      </c>
      <c r="T324" s="38">
        <v>827.0</v>
      </c>
      <c r="U324" s="38">
        <v>432.0</v>
      </c>
      <c r="V324" s="38">
        <v>430.0</v>
      </c>
      <c r="W324" s="38">
        <v>58.0</v>
      </c>
      <c r="X324" s="38">
        <v>40.0</v>
      </c>
      <c r="Y324" s="38">
        <v>10.0</v>
      </c>
      <c r="Z324" s="35">
        <v>2139.0</v>
      </c>
      <c r="AA324" s="29">
        <v>2343.0</v>
      </c>
      <c r="AB324" s="29">
        <v>598.0</v>
      </c>
      <c r="AC324" s="29">
        <v>2941.0</v>
      </c>
      <c r="AD324" s="29">
        <v>54737.0</v>
      </c>
      <c r="AE324" s="29">
        <v>2343.0</v>
      </c>
      <c r="AF324" s="29">
        <v>45272.0</v>
      </c>
      <c r="AG324" s="29">
        <v>598.0</v>
      </c>
      <c r="AH324" s="29">
        <v>9465.0</v>
      </c>
    </row>
    <row r="325" ht="14.25" customHeight="1">
      <c r="A325" s="34">
        <v>44211.0</v>
      </c>
      <c r="B325" s="35">
        <v>1101.0</v>
      </c>
      <c r="C325" s="35">
        <v>1093.0</v>
      </c>
      <c r="D325" s="35">
        <v>126435.0</v>
      </c>
      <c r="E325" s="36">
        <v>17565.0</v>
      </c>
      <c r="F325" s="37">
        <v>2140602.0</v>
      </c>
      <c r="G325" s="37">
        <v>18666.0</v>
      </c>
      <c r="H325" s="37">
        <v>2267037.0</v>
      </c>
      <c r="I325" s="36">
        <v>917.0</v>
      </c>
      <c r="J325" s="36">
        <v>928.0</v>
      </c>
      <c r="K325" s="36">
        <v>105622.0</v>
      </c>
      <c r="L325" s="36">
        <v>3265.0</v>
      </c>
      <c r="M325" s="36">
        <v>575487.0</v>
      </c>
      <c r="N325" s="36">
        <v>681109.0</v>
      </c>
      <c r="O325" s="36">
        <v>60.0</v>
      </c>
      <c r="P325" s="38">
        <v>7457.0</v>
      </c>
      <c r="Q325" s="38">
        <v>74.0</v>
      </c>
      <c r="R325" s="38">
        <v>6212.0</v>
      </c>
      <c r="S325" s="38">
        <v>8.0</v>
      </c>
      <c r="T325" s="38">
        <v>835.0</v>
      </c>
      <c r="U325" s="38">
        <v>410.0</v>
      </c>
      <c r="V325" s="38">
        <v>425.0</v>
      </c>
      <c r="W325" s="38">
        <v>57.0</v>
      </c>
      <c r="X325" s="38">
        <v>38.0</v>
      </c>
      <c r="Y325" s="38">
        <v>16.0</v>
      </c>
      <c r="Z325" s="35">
        <v>2155.0</v>
      </c>
      <c r="AA325" s="29">
        <v>1622.0</v>
      </c>
      <c r="AB325" s="29">
        <v>576.0</v>
      </c>
      <c r="AC325" s="29">
        <v>2198.0</v>
      </c>
      <c r="AD325" s="29">
        <v>56935.0</v>
      </c>
      <c r="AE325" s="29">
        <v>1622.0</v>
      </c>
      <c r="AF325" s="29">
        <v>46894.0</v>
      </c>
      <c r="AG325" s="29">
        <v>576.0</v>
      </c>
      <c r="AH325" s="29">
        <v>10041.0</v>
      </c>
    </row>
    <row r="326" ht="14.25" customHeight="1">
      <c r="A326" s="34">
        <v>44212.0</v>
      </c>
      <c r="B326" s="35">
        <v>920.0</v>
      </c>
      <c r="C326" s="35">
        <v>1055.0</v>
      </c>
      <c r="D326" s="35">
        <v>127355.0</v>
      </c>
      <c r="E326" s="36">
        <v>16699.0</v>
      </c>
      <c r="F326" s="37">
        <v>2157301.0</v>
      </c>
      <c r="G326" s="37">
        <v>17619.0</v>
      </c>
      <c r="H326" s="37">
        <v>2284656.0</v>
      </c>
      <c r="I326" s="36">
        <v>757.0</v>
      </c>
      <c r="J326" s="36">
        <v>896.0</v>
      </c>
      <c r="K326" s="36">
        <v>106379.0</v>
      </c>
      <c r="L326" s="36">
        <v>2824.0</v>
      </c>
      <c r="M326" s="36">
        <v>578311.0</v>
      </c>
      <c r="N326" s="36">
        <v>684690.0</v>
      </c>
      <c r="O326" s="36">
        <v>54.0</v>
      </c>
      <c r="P326" s="38">
        <v>7511.0</v>
      </c>
      <c r="Q326" s="38">
        <v>51.0</v>
      </c>
      <c r="R326" s="38">
        <v>6263.0</v>
      </c>
      <c r="S326" s="38">
        <v>3.0</v>
      </c>
      <c r="T326" s="38">
        <v>838.0</v>
      </c>
      <c r="U326" s="38">
        <v>410.0</v>
      </c>
      <c r="V326" s="38">
        <v>417.0</v>
      </c>
      <c r="W326" s="38">
        <v>59.0</v>
      </c>
      <c r="X326" s="38">
        <v>43.0</v>
      </c>
      <c r="Y326" s="38">
        <v>15.0</v>
      </c>
      <c r="Z326" s="35">
        <v>2170.0</v>
      </c>
      <c r="AA326" s="29">
        <v>2265.0</v>
      </c>
      <c r="AB326" s="29">
        <v>595.0</v>
      </c>
      <c r="AC326" s="29">
        <v>2860.0</v>
      </c>
      <c r="AD326" s="29">
        <v>59795.0</v>
      </c>
      <c r="AE326" s="29">
        <v>2265.0</v>
      </c>
      <c r="AF326" s="29">
        <v>49159.0</v>
      </c>
      <c r="AG326" s="29">
        <v>595.0</v>
      </c>
      <c r="AH326" s="29">
        <v>10636.0</v>
      </c>
    </row>
    <row r="327" ht="14.25" customHeight="1">
      <c r="A327" s="34">
        <v>44213.0</v>
      </c>
      <c r="B327" s="35">
        <v>626.0</v>
      </c>
      <c r="C327" s="35">
        <v>882.0</v>
      </c>
      <c r="D327" s="35">
        <v>127981.0</v>
      </c>
      <c r="E327" s="36">
        <v>10063.0</v>
      </c>
      <c r="F327" s="37">
        <v>2167364.0</v>
      </c>
      <c r="G327" s="37">
        <v>10689.0</v>
      </c>
      <c r="H327" s="37">
        <v>2295345.0</v>
      </c>
      <c r="I327" s="36">
        <v>512.0</v>
      </c>
      <c r="J327" s="36">
        <v>729.0</v>
      </c>
      <c r="K327" s="36">
        <v>106891.0</v>
      </c>
      <c r="L327" s="36">
        <v>1775.0</v>
      </c>
      <c r="M327" s="36">
        <v>580086.0</v>
      </c>
      <c r="N327" s="36">
        <v>686977.0</v>
      </c>
      <c r="O327" s="36">
        <v>47.0</v>
      </c>
      <c r="P327" s="38">
        <v>7558.0</v>
      </c>
      <c r="Q327" s="38">
        <v>41.0</v>
      </c>
      <c r="R327" s="38">
        <v>6304.0</v>
      </c>
      <c r="S327" s="38">
        <v>4.0</v>
      </c>
      <c r="T327" s="38">
        <v>842.0</v>
      </c>
      <c r="U327" s="38">
        <v>412.0</v>
      </c>
      <c r="V327" s="38">
        <v>411.0</v>
      </c>
      <c r="W327" s="38">
        <v>57.0</v>
      </c>
      <c r="X327" s="38">
        <v>42.0</v>
      </c>
      <c r="Y327" s="38">
        <v>8.0</v>
      </c>
      <c r="Z327" s="35">
        <v>2178.0</v>
      </c>
      <c r="AA327" s="29">
        <v>337.0</v>
      </c>
      <c r="AB327" s="29">
        <v>208.0</v>
      </c>
      <c r="AC327" s="29">
        <v>545.0</v>
      </c>
      <c r="AD327" s="29">
        <v>60340.0</v>
      </c>
      <c r="AE327" s="29">
        <v>337.0</v>
      </c>
      <c r="AF327" s="29">
        <v>49496.0</v>
      </c>
      <c r="AG327" s="29">
        <v>208.0</v>
      </c>
      <c r="AH327" s="29">
        <v>10844.0</v>
      </c>
    </row>
    <row r="328" ht="14.25" customHeight="1">
      <c r="A328" s="34">
        <v>44214.0</v>
      </c>
      <c r="B328" s="35">
        <v>559.0</v>
      </c>
      <c r="C328" s="35">
        <v>702.0</v>
      </c>
      <c r="D328" s="35">
        <v>128540.0</v>
      </c>
      <c r="E328" s="36">
        <v>8810.0</v>
      </c>
      <c r="F328" s="37">
        <v>2176174.0</v>
      </c>
      <c r="G328" s="37">
        <v>9369.0</v>
      </c>
      <c r="H328" s="37">
        <v>2304714.0</v>
      </c>
      <c r="I328" s="36">
        <v>483.0</v>
      </c>
      <c r="J328" s="36">
        <v>584.0</v>
      </c>
      <c r="K328" s="36">
        <v>107374.0</v>
      </c>
      <c r="L328" s="36">
        <v>1376.0</v>
      </c>
      <c r="M328" s="36">
        <v>581462.0</v>
      </c>
      <c r="N328" s="36">
        <v>688836.0</v>
      </c>
      <c r="O328" s="36">
        <v>60.0</v>
      </c>
      <c r="P328" s="38">
        <v>7618.0</v>
      </c>
      <c r="Q328" s="38">
        <v>42.0</v>
      </c>
      <c r="R328" s="38">
        <v>6346.0</v>
      </c>
      <c r="S328" s="38">
        <v>8.0</v>
      </c>
      <c r="T328" s="38">
        <v>850.0</v>
      </c>
      <c r="U328" s="38">
        <v>422.0</v>
      </c>
      <c r="V328" s="38">
        <v>415.0</v>
      </c>
      <c r="W328" s="38">
        <v>56.0</v>
      </c>
      <c r="X328" s="38">
        <v>40.0</v>
      </c>
      <c r="Y328" s="38">
        <v>19.0</v>
      </c>
      <c r="Z328" s="35">
        <v>2197.0</v>
      </c>
      <c r="AA328" s="29">
        <v>1219.0</v>
      </c>
      <c r="AB328" s="29">
        <v>1065.0</v>
      </c>
      <c r="AC328" s="29">
        <v>2284.0</v>
      </c>
      <c r="AD328" s="29">
        <v>62624.0</v>
      </c>
      <c r="AE328" s="29">
        <v>1219.0</v>
      </c>
      <c r="AF328" s="29">
        <v>50715.0</v>
      </c>
      <c r="AG328" s="29">
        <v>1065.0</v>
      </c>
      <c r="AH328" s="29">
        <v>11909.0</v>
      </c>
    </row>
    <row r="329" ht="14.25" customHeight="1">
      <c r="A329" s="34">
        <v>44215.0</v>
      </c>
      <c r="B329" s="35">
        <v>954.0</v>
      </c>
      <c r="C329" s="35">
        <v>713.0</v>
      </c>
      <c r="D329" s="35">
        <v>129494.0</v>
      </c>
      <c r="E329" s="36">
        <v>18645.0</v>
      </c>
      <c r="F329" s="37">
        <v>2194819.0</v>
      </c>
      <c r="G329" s="37">
        <v>19599.0</v>
      </c>
      <c r="H329" s="37">
        <v>2324313.0</v>
      </c>
      <c r="I329" s="36">
        <v>867.0</v>
      </c>
      <c r="J329" s="36">
        <v>621.0</v>
      </c>
      <c r="K329" s="36">
        <v>108241.0</v>
      </c>
      <c r="L329" s="36">
        <v>3134.0</v>
      </c>
      <c r="M329" s="36">
        <v>584596.0</v>
      </c>
      <c r="N329" s="36">
        <v>692837.0</v>
      </c>
      <c r="O329" s="36">
        <v>67.0</v>
      </c>
      <c r="P329" s="38">
        <v>7685.0</v>
      </c>
      <c r="Q329" s="38">
        <v>60.0</v>
      </c>
      <c r="R329" s="38">
        <v>6406.0</v>
      </c>
      <c r="S329" s="38">
        <v>9.0</v>
      </c>
      <c r="T329" s="38">
        <v>859.0</v>
      </c>
      <c r="U329" s="38">
        <v>420.0</v>
      </c>
      <c r="V329" s="38">
        <v>418.0</v>
      </c>
      <c r="W329" s="38">
        <v>58.0</v>
      </c>
      <c r="X329" s="38">
        <v>40.0</v>
      </c>
      <c r="Y329" s="38">
        <v>13.0</v>
      </c>
      <c r="Z329" s="35">
        <v>2210.0</v>
      </c>
      <c r="AA329" s="29">
        <v>1492.0</v>
      </c>
      <c r="AB329" s="29">
        <v>726.0</v>
      </c>
      <c r="AC329" s="29">
        <v>2218.0</v>
      </c>
      <c r="AD329" s="29">
        <v>64842.0</v>
      </c>
      <c r="AE329" s="29">
        <v>1492.0</v>
      </c>
      <c r="AF329" s="29">
        <v>52207.0</v>
      </c>
      <c r="AG329" s="29">
        <v>726.0</v>
      </c>
      <c r="AH329" s="29">
        <v>12635.0</v>
      </c>
    </row>
    <row r="330" ht="14.25" customHeight="1">
      <c r="A330" s="34">
        <v>44216.0</v>
      </c>
      <c r="B330" s="35">
        <v>967.0</v>
      </c>
      <c r="C330" s="35">
        <v>827.0</v>
      </c>
      <c r="D330" s="35">
        <v>130461.0</v>
      </c>
      <c r="E330" s="36">
        <v>22632.0</v>
      </c>
      <c r="F330" s="37">
        <v>2217451.0</v>
      </c>
      <c r="G330" s="37">
        <v>23599.0</v>
      </c>
      <c r="H330" s="37">
        <v>2347912.0</v>
      </c>
      <c r="I330" s="36">
        <v>894.0</v>
      </c>
      <c r="J330" s="36">
        <v>748.0</v>
      </c>
      <c r="K330" s="36">
        <v>109135.0</v>
      </c>
      <c r="L330" s="36">
        <v>3356.0</v>
      </c>
      <c r="M330" s="36">
        <v>587952.0</v>
      </c>
      <c r="N330" s="36">
        <v>697087.0</v>
      </c>
      <c r="O330" s="36">
        <v>46.0</v>
      </c>
      <c r="P330" s="38">
        <v>7731.0</v>
      </c>
      <c r="Q330" s="38">
        <v>66.0</v>
      </c>
      <c r="R330" s="38">
        <v>6472.0</v>
      </c>
      <c r="S330" s="38">
        <v>11.0</v>
      </c>
      <c r="T330" s="38">
        <v>870.0</v>
      </c>
      <c r="U330" s="38">
        <v>389.0</v>
      </c>
      <c r="V330" s="38">
        <v>410.0</v>
      </c>
      <c r="W330" s="38">
        <v>52.0</v>
      </c>
      <c r="X330" s="38">
        <v>34.0</v>
      </c>
      <c r="Y330" s="38">
        <v>25.0</v>
      </c>
      <c r="Z330" s="35">
        <v>2235.0</v>
      </c>
      <c r="AA330" s="29">
        <v>1960.0</v>
      </c>
      <c r="AB330" s="29">
        <v>801.0</v>
      </c>
      <c r="AC330" s="29">
        <v>2761.0</v>
      </c>
      <c r="AD330" s="29">
        <v>67603.0</v>
      </c>
      <c r="AE330" s="29">
        <v>1960.0</v>
      </c>
      <c r="AF330" s="29">
        <v>54167.0</v>
      </c>
      <c r="AG330" s="29">
        <v>801.0</v>
      </c>
      <c r="AH330" s="29">
        <v>13436.0</v>
      </c>
    </row>
    <row r="331" ht="14.25" customHeight="1">
      <c r="A331" s="34">
        <v>44217.0</v>
      </c>
      <c r="B331" s="35">
        <v>1183.0</v>
      </c>
      <c r="C331" s="35">
        <v>1035.0</v>
      </c>
      <c r="D331" s="35">
        <v>131644.0</v>
      </c>
      <c r="E331" s="36">
        <v>24195.0</v>
      </c>
      <c r="F331" s="37">
        <v>2241646.0</v>
      </c>
      <c r="G331" s="37">
        <v>25378.0</v>
      </c>
      <c r="H331" s="37">
        <v>2373290.0</v>
      </c>
      <c r="I331" s="36">
        <v>1007.0</v>
      </c>
      <c r="J331" s="36">
        <v>923.0</v>
      </c>
      <c r="K331" s="36">
        <v>110142.0</v>
      </c>
      <c r="L331" s="36">
        <v>3891.0</v>
      </c>
      <c r="M331" s="36">
        <v>591843.0</v>
      </c>
      <c r="N331" s="36">
        <v>701985.0</v>
      </c>
      <c r="O331" s="36">
        <v>55.0</v>
      </c>
      <c r="P331" s="38">
        <v>7786.0</v>
      </c>
      <c r="Q331" s="38">
        <v>57.0</v>
      </c>
      <c r="R331" s="38">
        <v>6529.0</v>
      </c>
      <c r="S331" s="38">
        <v>4.0</v>
      </c>
      <c r="T331" s="38">
        <v>874.0</v>
      </c>
      <c r="U331" s="38">
        <v>383.0</v>
      </c>
      <c r="V331" s="38">
        <v>397.0</v>
      </c>
      <c r="W331" s="38">
        <v>52.0</v>
      </c>
      <c r="X331" s="38">
        <v>32.0</v>
      </c>
      <c r="Y331" s="38">
        <v>10.0</v>
      </c>
      <c r="Z331" s="35">
        <v>2245.0</v>
      </c>
      <c r="AA331" s="29">
        <v>2395.0</v>
      </c>
      <c r="AB331" s="29">
        <v>348.0</v>
      </c>
      <c r="AC331" s="29">
        <v>2743.0</v>
      </c>
      <c r="AD331" s="29">
        <v>70346.0</v>
      </c>
      <c r="AE331" s="29">
        <v>2395.0</v>
      </c>
      <c r="AF331" s="29">
        <v>56562.0</v>
      </c>
      <c r="AG331" s="29">
        <v>348.0</v>
      </c>
      <c r="AH331" s="29">
        <v>13784.0</v>
      </c>
    </row>
    <row r="332" ht="14.25" customHeight="1">
      <c r="A332" s="34">
        <v>44218.0</v>
      </c>
      <c r="B332" s="35">
        <v>872.0</v>
      </c>
      <c r="C332" s="35">
        <v>1007.0</v>
      </c>
      <c r="D332" s="35">
        <v>132516.0</v>
      </c>
      <c r="E332" s="36">
        <v>19821.0</v>
      </c>
      <c r="F332" s="37">
        <v>2261467.0</v>
      </c>
      <c r="G332" s="37">
        <v>20693.0</v>
      </c>
      <c r="H332" s="37">
        <v>2393983.0</v>
      </c>
      <c r="I332" s="36">
        <v>742.0</v>
      </c>
      <c r="J332" s="36">
        <v>881.0</v>
      </c>
      <c r="K332" s="36">
        <v>110884.0</v>
      </c>
      <c r="L332" s="36">
        <v>3028.0</v>
      </c>
      <c r="M332" s="36">
        <v>594871.0</v>
      </c>
      <c r="N332" s="36">
        <v>705755.0</v>
      </c>
      <c r="O332" s="36">
        <v>53.0</v>
      </c>
      <c r="P332" s="38">
        <v>7839.0</v>
      </c>
      <c r="Q332" s="38">
        <v>58.0</v>
      </c>
      <c r="R332" s="38">
        <v>6587.0</v>
      </c>
      <c r="S332" s="38">
        <v>10.0</v>
      </c>
      <c r="T332" s="38">
        <v>884.0</v>
      </c>
      <c r="U332" s="38">
        <v>368.0</v>
      </c>
      <c r="V332" s="38">
        <v>380.0</v>
      </c>
      <c r="W332" s="38">
        <v>55.0</v>
      </c>
      <c r="X332" s="38">
        <v>34.0</v>
      </c>
      <c r="Y332" s="38">
        <v>16.0</v>
      </c>
      <c r="Z332" s="35">
        <v>2261.0</v>
      </c>
      <c r="AA332" s="29">
        <v>2507.0</v>
      </c>
      <c r="AB332" s="29">
        <v>314.0</v>
      </c>
      <c r="AC332" s="29">
        <v>2821.0</v>
      </c>
      <c r="AD332" s="29">
        <v>73167.0</v>
      </c>
      <c r="AE332" s="29">
        <v>2507.0</v>
      </c>
      <c r="AF332" s="29">
        <v>59069.0</v>
      </c>
      <c r="AG332" s="29">
        <v>314.0</v>
      </c>
      <c r="AH332" s="29">
        <v>14098.0</v>
      </c>
    </row>
    <row r="333" ht="14.25" customHeight="1">
      <c r="A333" s="34">
        <v>44219.0</v>
      </c>
      <c r="B333" s="35">
        <v>909.0</v>
      </c>
      <c r="C333" s="35">
        <v>988.0</v>
      </c>
      <c r="D333" s="35">
        <v>133425.0</v>
      </c>
      <c r="E333" s="36">
        <v>19073.0</v>
      </c>
      <c r="F333" s="37">
        <v>2280540.0</v>
      </c>
      <c r="G333" s="37">
        <v>19982.0</v>
      </c>
      <c r="H333" s="37">
        <v>2413965.0</v>
      </c>
      <c r="I333" s="36">
        <v>712.0</v>
      </c>
      <c r="J333" s="36">
        <v>820.0</v>
      </c>
      <c r="K333" s="36">
        <v>111596.0</v>
      </c>
      <c r="L333" s="36">
        <v>3053.0</v>
      </c>
      <c r="M333" s="36">
        <v>597924.0</v>
      </c>
      <c r="N333" s="36">
        <v>709520.0</v>
      </c>
      <c r="O333" s="36">
        <v>57.0</v>
      </c>
      <c r="P333" s="38">
        <v>7896.0</v>
      </c>
      <c r="Q333" s="38">
        <v>32.0</v>
      </c>
      <c r="R333" s="38">
        <v>6619.0</v>
      </c>
      <c r="S333" s="38">
        <v>3.0</v>
      </c>
      <c r="T333" s="38">
        <v>887.0</v>
      </c>
      <c r="U333" s="38">
        <v>390.0</v>
      </c>
      <c r="V333" s="38">
        <v>380.0</v>
      </c>
      <c r="W333" s="38">
        <v>60.0</v>
      </c>
      <c r="X333" s="38">
        <v>35.0</v>
      </c>
      <c r="Y333" s="38">
        <v>8.0</v>
      </c>
      <c r="Z333" s="35">
        <v>2269.0</v>
      </c>
      <c r="AA333" s="29">
        <v>2505.0</v>
      </c>
      <c r="AB333" s="29">
        <v>602.0</v>
      </c>
      <c r="AC333" s="29">
        <v>3107.0</v>
      </c>
      <c r="AD333" s="29">
        <v>76274.0</v>
      </c>
      <c r="AE333" s="29">
        <v>2505.0</v>
      </c>
      <c r="AF333" s="29">
        <v>61574.0</v>
      </c>
      <c r="AG333" s="29">
        <v>602.0</v>
      </c>
      <c r="AH333" s="29">
        <v>14700.0</v>
      </c>
    </row>
    <row r="334" ht="14.25" customHeight="1">
      <c r="A334" s="34">
        <v>44220.0</v>
      </c>
      <c r="B334" s="35">
        <v>405.0</v>
      </c>
      <c r="C334" s="35">
        <v>729.0</v>
      </c>
      <c r="D334" s="35">
        <v>133830.0</v>
      </c>
      <c r="E334" s="36">
        <v>8969.0</v>
      </c>
      <c r="F334" s="37">
        <v>2289509.0</v>
      </c>
      <c r="G334" s="37">
        <v>9374.0</v>
      </c>
      <c r="H334" s="37">
        <v>2423339.0</v>
      </c>
      <c r="I334" s="36">
        <v>330.0</v>
      </c>
      <c r="J334" s="36">
        <v>595.0</v>
      </c>
      <c r="K334" s="36">
        <v>111926.0</v>
      </c>
      <c r="L334" s="36">
        <v>1195.0</v>
      </c>
      <c r="M334" s="36">
        <v>599119.0</v>
      </c>
      <c r="N334" s="36">
        <v>711045.0</v>
      </c>
      <c r="O334" s="36">
        <v>43.0</v>
      </c>
      <c r="P334" s="38">
        <v>7939.0</v>
      </c>
      <c r="Q334" s="38">
        <v>43.0</v>
      </c>
      <c r="R334" s="38">
        <v>6662.0</v>
      </c>
      <c r="S334" s="38">
        <v>9.0</v>
      </c>
      <c r="T334" s="38">
        <v>896.0</v>
      </c>
      <c r="U334" s="38">
        <v>381.0</v>
      </c>
      <c r="V334" s="38">
        <v>380.0</v>
      </c>
      <c r="W334" s="38">
        <v>60.0</v>
      </c>
      <c r="X334" s="38">
        <v>38.0</v>
      </c>
      <c r="Y334" s="38">
        <v>16.0</v>
      </c>
      <c r="Z334" s="35">
        <v>2285.0</v>
      </c>
      <c r="AA334" s="29">
        <v>745.0</v>
      </c>
      <c r="AB334" s="29">
        <v>1050.0</v>
      </c>
      <c r="AC334" s="29">
        <v>1795.0</v>
      </c>
      <c r="AD334" s="29">
        <v>78069.0</v>
      </c>
      <c r="AE334" s="29">
        <v>745.0</v>
      </c>
      <c r="AF334" s="29">
        <v>62319.0</v>
      </c>
      <c r="AG334" s="29">
        <v>1050.0</v>
      </c>
      <c r="AH334" s="29">
        <v>15750.0</v>
      </c>
    </row>
    <row r="335" ht="14.25" customHeight="1">
      <c r="A335" s="34">
        <v>44221.0</v>
      </c>
      <c r="B335" s="35">
        <v>806.0</v>
      </c>
      <c r="C335" s="35">
        <v>707.0</v>
      </c>
      <c r="D335" s="35">
        <v>134636.0</v>
      </c>
      <c r="E335" s="36">
        <v>13387.0</v>
      </c>
      <c r="F335" s="37">
        <v>2302896.0</v>
      </c>
      <c r="G335" s="37">
        <v>14193.0</v>
      </c>
      <c r="H335" s="37">
        <v>2437532.0</v>
      </c>
      <c r="I335" s="36">
        <v>675.0</v>
      </c>
      <c r="J335" s="36">
        <v>572.0</v>
      </c>
      <c r="K335" s="36">
        <v>112601.0</v>
      </c>
      <c r="L335" s="36">
        <v>2578.0</v>
      </c>
      <c r="M335" s="36">
        <v>601697.0</v>
      </c>
      <c r="N335" s="36">
        <v>714298.0</v>
      </c>
      <c r="O335" s="36">
        <v>48.0</v>
      </c>
      <c r="P335" s="38">
        <v>7987.0</v>
      </c>
      <c r="Q335" s="38">
        <v>55.0</v>
      </c>
      <c r="R335" s="38">
        <v>6717.0</v>
      </c>
      <c r="S335" s="38">
        <v>5.0</v>
      </c>
      <c r="T335" s="38">
        <v>901.0</v>
      </c>
      <c r="U335" s="38">
        <v>369.0</v>
      </c>
      <c r="V335" s="38">
        <v>380.0</v>
      </c>
      <c r="W335" s="38">
        <v>60.0</v>
      </c>
      <c r="X335" s="38">
        <v>39.0</v>
      </c>
      <c r="Y335" s="38">
        <v>14.0</v>
      </c>
      <c r="Z335" s="35">
        <v>2299.0</v>
      </c>
      <c r="AA335" s="29">
        <v>2032.0</v>
      </c>
      <c r="AB335" s="29">
        <v>2789.0</v>
      </c>
      <c r="AC335" s="29">
        <v>4821.0</v>
      </c>
      <c r="AD335" s="29">
        <v>82890.0</v>
      </c>
      <c r="AE335" s="29">
        <v>2032.0</v>
      </c>
      <c r="AF335" s="29">
        <v>64351.0</v>
      </c>
      <c r="AG335" s="29">
        <v>2789.0</v>
      </c>
      <c r="AH335" s="29">
        <v>18539.0</v>
      </c>
    </row>
    <row r="336" ht="14.25" customHeight="1">
      <c r="A336" s="34">
        <v>44222.0</v>
      </c>
      <c r="B336" s="35">
        <v>725.0</v>
      </c>
      <c r="C336" s="35">
        <v>645.0</v>
      </c>
      <c r="D336" s="35">
        <v>135361.0</v>
      </c>
      <c r="E336" s="36">
        <v>20058.0</v>
      </c>
      <c r="F336" s="37">
        <v>2322954.0</v>
      </c>
      <c r="G336" s="37">
        <v>20783.0</v>
      </c>
      <c r="H336" s="37">
        <v>2458315.0</v>
      </c>
      <c r="I336" s="36">
        <v>660.0</v>
      </c>
      <c r="J336" s="36">
        <v>555.0</v>
      </c>
      <c r="K336" s="36">
        <v>113261.0</v>
      </c>
      <c r="L336" s="36">
        <v>3333.0</v>
      </c>
      <c r="M336" s="36">
        <v>605030.0</v>
      </c>
      <c r="N336" s="36">
        <v>718291.0</v>
      </c>
      <c r="O336" s="36">
        <v>48.0</v>
      </c>
      <c r="P336" s="38">
        <v>8035.0</v>
      </c>
      <c r="Q336" s="38">
        <v>47.0</v>
      </c>
      <c r="R336" s="38">
        <v>6764.0</v>
      </c>
      <c r="S336" s="38">
        <v>9.0</v>
      </c>
      <c r="T336" s="38">
        <v>910.0</v>
      </c>
      <c r="U336" s="38">
        <v>361.0</v>
      </c>
      <c r="V336" s="38">
        <v>370.0</v>
      </c>
      <c r="W336" s="38">
        <v>57.0</v>
      </c>
      <c r="X336" s="38">
        <v>36.0</v>
      </c>
      <c r="Y336" s="38">
        <v>12.0</v>
      </c>
      <c r="Z336" s="35">
        <v>2311.0</v>
      </c>
      <c r="AA336" s="29">
        <v>1572.0</v>
      </c>
      <c r="AB336" s="29">
        <v>2620.0</v>
      </c>
      <c r="AC336" s="29">
        <v>4192.0</v>
      </c>
      <c r="AD336" s="29">
        <v>87082.0</v>
      </c>
      <c r="AE336" s="29">
        <v>1572.0</v>
      </c>
      <c r="AF336" s="29">
        <v>65923.0</v>
      </c>
      <c r="AG336" s="29">
        <v>2620.0</v>
      </c>
      <c r="AH336" s="29">
        <v>21159.0</v>
      </c>
    </row>
    <row r="337" ht="14.25" customHeight="1">
      <c r="A337" s="34">
        <v>44223.0</v>
      </c>
      <c r="B337" s="35">
        <v>843.0</v>
      </c>
      <c r="C337" s="35">
        <v>791.0</v>
      </c>
      <c r="D337" s="35">
        <v>136204.0</v>
      </c>
      <c r="E337" s="36">
        <v>21876.0</v>
      </c>
      <c r="F337" s="37">
        <v>2344830.0</v>
      </c>
      <c r="G337" s="37">
        <v>22719.0</v>
      </c>
      <c r="H337" s="37">
        <v>2481034.0</v>
      </c>
      <c r="I337" s="36">
        <v>728.0</v>
      </c>
      <c r="J337" s="36">
        <v>688.0</v>
      </c>
      <c r="K337" s="36">
        <v>113989.0</v>
      </c>
      <c r="L337" s="36">
        <v>3211.0</v>
      </c>
      <c r="M337" s="36">
        <v>608241.0</v>
      </c>
      <c r="N337" s="36">
        <v>722230.0</v>
      </c>
      <c r="O337" s="36">
        <v>50.0</v>
      </c>
      <c r="P337" s="38">
        <v>8085.0</v>
      </c>
      <c r="Q337" s="38">
        <v>59.0</v>
      </c>
      <c r="R337" s="38">
        <v>6823.0</v>
      </c>
      <c r="S337" s="38">
        <v>3.0</v>
      </c>
      <c r="T337" s="38">
        <v>913.0</v>
      </c>
      <c r="U337" s="38">
        <v>349.0</v>
      </c>
      <c r="V337" s="38">
        <v>360.0</v>
      </c>
      <c r="W337" s="38">
        <v>59.0</v>
      </c>
      <c r="X337" s="38">
        <v>33.0</v>
      </c>
      <c r="Y337" s="38">
        <v>7.0</v>
      </c>
      <c r="Z337" s="35">
        <v>2318.0</v>
      </c>
      <c r="AA337" s="29">
        <v>2271.0</v>
      </c>
      <c r="AB337" s="29">
        <v>2802.0</v>
      </c>
      <c r="AC337" s="29">
        <v>5073.0</v>
      </c>
      <c r="AD337" s="29">
        <v>92155.0</v>
      </c>
      <c r="AE337" s="29">
        <v>2271.0</v>
      </c>
      <c r="AF337" s="29">
        <v>68194.0</v>
      </c>
      <c r="AG337" s="29">
        <v>2802.0</v>
      </c>
      <c r="AH337" s="29">
        <v>23961.0</v>
      </c>
    </row>
    <row r="338" ht="14.25" customHeight="1">
      <c r="A338" s="34">
        <v>44224.0</v>
      </c>
      <c r="B338" s="35">
        <v>764.0</v>
      </c>
      <c r="C338" s="35">
        <v>777.0</v>
      </c>
      <c r="D338" s="35">
        <v>136968.0</v>
      </c>
      <c r="E338" s="36">
        <v>22593.0</v>
      </c>
      <c r="F338" s="37">
        <v>2367423.0</v>
      </c>
      <c r="G338" s="37">
        <v>23357.0</v>
      </c>
      <c r="H338" s="37">
        <v>2504391.0</v>
      </c>
      <c r="I338" s="36">
        <v>626.0</v>
      </c>
      <c r="J338" s="36">
        <v>671.0</v>
      </c>
      <c r="K338" s="36">
        <v>114615.0</v>
      </c>
      <c r="L338" s="36">
        <v>3039.0</v>
      </c>
      <c r="M338" s="36">
        <v>611280.0</v>
      </c>
      <c r="N338" s="36">
        <v>725895.0</v>
      </c>
      <c r="O338" s="36">
        <v>34.0</v>
      </c>
      <c r="P338" s="38">
        <v>8119.0</v>
      </c>
      <c r="Q338" s="38">
        <v>35.0</v>
      </c>
      <c r="R338" s="38">
        <v>6858.0</v>
      </c>
      <c r="S338" s="38">
        <v>4.0</v>
      </c>
      <c r="T338" s="38">
        <v>917.0</v>
      </c>
      <c r="U338" s="38">
        <v>344.0</v>
      </c>
      <c r="V338" s="38">
        <v>351.0</v>
      </c>
      <c r="W338" s="38">
        <v>55.0</v>
      </c>
      <c r="X338" s="38">
        <v>31.0</v>
      </c>
      <c r="Y338" s="38">
        <v>15.0</v>
      </c>
      <c r="Z338" s="35">
        <v>2333.0</v>
      </c>
      <c r="AA338" s="29">
        <v>2759.0</v>
      </c>
      <c r="AB338" s="29">
        <v>1101.0</v>
      </c>
      <c r="AC338" s="29">
        <v>3860.0</v>
      </c>
      <c r="AD338" s="29">
        <v>96015.0</v>
      </c>
      <c r="AE338" s="29">
        <v>2759.0</v>
      </c>
      <c r="AF338" s="29">
        <v>70953.0</v>
      </c>
      <c r="AG338" s="29">
        <v>1101.0</v>
      </c>
      <c r="AH338" s="29">
        <v>25062.0</v>
      </c>
    </row>
    <row r="339" ht="14.25" customHeight="1">
      <c r="A339" s="34">
        <v>44225.0</v>
      </c>
      <c r="B339" s="35">
        <v>672.0</v>
      </c>
      <c r="C339" s="35">
        <v>760.0</v>
      </c>
      <c r="D339" s="35">
        <v>137640.0</v>
      </c>
      <c r="E339" s="36">
        <v>20068.0</v>
      </c>
      <c r="F339" s="37">
        <v>2387491.0</v>
      </c>
      <c r="G339" s="37">
        <v>20740.0</v>
      </c>
      <c r="H339" s="37">
        <v>2525131.0</v>
      </c>
      <c r="I339" s="36">
        <v>587.0</v>
      </c>
      <c r="J339" s="36">
        <v>647.0</v>
      </c>
      <c r="K339" s="36">
        <v>115202.0</v>
      </c>
      <c r="L339" s="36">
        <v>2510.0</v>
      </c>
      <c r="M339" s="36">
        <v>613790.0</v>
      </c>
      <c r="N339" s="36">
        <v>728992.0</v>
      </c>
      <c r="O339" s="36">
        <v>41.0</v>
      </c>
      <c r="P339" s="38">
        <v>8160.0</v>
      </c>
      <c r="Q339" s="38">
        <v>52.0</v>
      </c>
      <c r="R339" s="38">
        <v>6910.0</v>
      </c>
      <c r="S339" s="38">
        <v>4.0</v>
      </c>
      <c r="T339" s="38">
        <v>921.0</v>
      </c>
      <c r="U339" s="38">
        <v>329.0</v>
      </c>
      <c r="V339" s="38">
        <v>341.0</v>
      </c>
      <c r="W339" s="38">
        <v>57.0</v>
      </c>
      <c r="X339" s="38">
        <v>34.0</v>
      </c>
      <c r="Y339" s="38">
        <v>7.0</v>
      </c>
      <c r="Z339" s="35">
        <v>2340.0</v>
      </c>
      <c r="AA339" s="29">
        <v>2301.0</v>
      </c>
      <c r="AB339" s="29">
        <v>1199.0</v>
      </c>
      <c r="AC339" s="29">
        <v>3500.0</v>
      </c>
      <c r="AD339" s="29">
        <v>99515.0</v>
      </c>
      <c r="AE339" s="29">
        <v>2301.0</v>
      </c>
      <c r="AF339" s="29">
        <v>73254.0</v>
      </c>
      <c r="AG339" s="29">
        <v>1199.0</v>
      </c>
      <c r="AH339" s="29">
        <v>26261.0</v>
      </c>
    </row>
    <row r="340" ht="14.25" customHeight="1">
      <c r="A340" s="34">
        <v>44226.0</v>
      </c>
      <c r="B340" s="35">
        <v>695.0</v>
      </c>
      <c r="C340" s="35">
        <v>710.0</v>
      </c>
      <c r="D340" s="35">
        <v>138335.0</v>
      </c>
      <c r="E340" s="36">
        <v>16300.0</v>
      </c>
      <c r="F340" s="37">
        <v>2403791.0</v>
      </c>
      <c r="G340" s="37">
        <v>16995.0</v>
      </c>
      <c r="H340" s="37">
        <v>2542126.0</v>
      </c>
      <c r="I340" s="36">
        <v>580.0</v>
      </c>
      <c r="J340" s="36">
        <v>598.0</v>
      </c>
      <c r="K340" s="36">
        <v>115782.0</v>
      </c>
      <c r="L340" s="36">
        <v>2282.0</v>
      </c>
      <c r="M340" s="36">
        <v>616072.0</v>
      </c>
      <c r="N340" s="36">
        <v>731854.0</v>
      </c>
      <c r="O340" s="36">
        <v>39.0</v>
      </c>
      <c r="P340" s="38">
        <v>8199.0</v>
      </c>
      <c r="Q340" s="38">
        <v>30.0</v>
      </c>
      <c r="R340" s="38">
        <v>6940.0</v>
      </c>
      <c r="S340" s="38">
        <v>4.0</v>
      </c>
      <c r="T340" s="38">
        <v>925.0</v>
      </c>
      <c r="U340" s="38">
        <v>334.0</v>
      </c>
      <c r="V340" s="38">
        <v>336.0</v>
      </c>
      <c r="W340" s="38">
        <v>52.0</v>
      </c>
      <c r="X340" s="38">
        <v>31.0</v>
      </c>
      <c r="Y340" s="38">
        <v>9.0</v>
      </c>
      <c r="Z340" s="35">
        <v>2349.0</v>
      </c>
      <c r="AA340" s="29">
        <v>3563.0</v>
      </c>
      <c r="AB340" s="29">
        <v>2166.0</v>
      </c>
      <c r="AC340" s="29">
        <v>5729.0</v>
      </c>
      <c r="AD340" s="29">
        <v>105244.0</v>
      </c>
      <c r="AE340" s="29">
        <v>3563.0</v>
      </c>
      <c r="AF340" s="29">
        <v>76817.0</v>
      </c>
      <c r="AG340" s="29">
        <v>2166.0</v>
      </c>
      <c r="AH340" s="29">
        <v>28427.0</v>
      </c>
    </row>
    <row r="341" ht="14.25" customHeight="1">
      <c r="A341" s="34">
        <v>44227.0</v>
      </c>
      <c r="B341" s="35">
        <v>361.0</v>
      </c>
      <c r="C341" s="35">
        <v>576.0</v>
      </c>
      <c r="D341" s="35">
        <v>138696.0</v>
      </c>
      <c r="E341" s="36">
        <v>8373.0</v>
      </c>
      <c r="F341" s="37">
        <v>2412164.0</v>
      </c>
      <c r="G341" s="37">
        <v>8734.0</v>
      </c>
      <c r="H341" s="37">
        <v>2550860.0</v>
      </c>
      <c r="I341" s="36">
        <v>314.0</v>
      </c>
      <c r="J341" s="36">
        <v>494.0</v>
      </c>
      <c r="K341" s="36">
        <v>116096.0</v>
      </c>
      <c r="L341" s="36">
        <v>1143.0</v>
      </c>
      <c r="M341" s="36">
        <v>617215.0</v>
      </c>
      <c r="N341" s="36">
        <v>733311.0</v>
      </c>
      <c r="O341" s="36">
        <v>36.0</v>
      </c>
      <c r="P341" s="38">
        <v>8235.0</v>
      </c>
      <c r="Q341" s="38">
        <v>36.0</v>
      </c>
      <c r="R341" s="38">
        <v>6976.0</v>
      </c>
      <c r="S341" s="38">
        <v>2.0</v>
      </c>
      <c r="T341" s="38">
        <v>927.0</v>
      </c>
      <c r="U341" s="38">
        <v>332.0</v>
      </c>
      <c r="V341" s="38">
        <v>332.0</v>
      </c>
      <c r="W341" s="38">
        <v>46.0</v>
      </c>
      <c r="X341" s="38">
        <v>26.0</v>
      </c>
      <c r="Y341" s="38">
        <v>8.0</v>
      </c>
      <c r="Z341" s="35">
        <v>2357.0</v>
      </c>
      <c r="AA341" s="29">
        <v>2329.0</v>
      </c>
      <c r="AB341" s="29">
        <v>393.0</v>
      </c>
      <c r="AC341" s="29">
        <v>2722.0</v>
      </c>
      <c r="AD341" s="29">
        <v>107966.0</v>
      </c>
      <c r="AE341" s="29">
        <v>2329.0</v>
      </c>
      <c r="AF341" s="29">
        <v>79146.0</v>
      </c>
      <c r="AG341" s="29">
        <v>393.0</v>
      </c>
      <c r="AH341" s="29">
        <v>28820.0</v>
      </c>
    </row>
    <row r="342" ht="14.25" customHeight="1">
      <c r="A342" s="34">
        <v>44228.0</v>
      </c>
      <c r="B342" s="35">
        <v>238.0</v>
      </c>
      <c r="C342" s="35">
        <v>431.0</v>
      </c>
      <c r="D342" s="35">
        <v>138934.0</v>
      </c>
      <c r="E342" s="36">
        <v>7378.0</v>
      </c>
      <c r="F342" s="37">
        <v>2419542.0</v>
      </c>
      <c r="G342" s="37">
        <v>7616.0</v>
      </c>
      <c r="H342" s="37">
        <v>2558476.0</v>
      </c>
      <c r="I342" s="36">
        <v>197.0</v>
      </c>
      <c r="J342" s="36">
        <v>364.0</v>
      </c>
      <c r="K342" s="36">
        <v>116293.0</v>
      </c>
      <c r="L342" s="36">
        <v>669.0</v>
      </c>
      <c r="M342" s="36">
        <v>617884.0</v>
      </c>
      <c r="N342" s="36">
        <v>734177.0</v>
      </c>
      <c r="O342" s="36">
        <v>35.0</v>
      </c>
      <c r="P342" s="38">
        <v>8270.0</v>
      </c>
      <c r="Q342" s="38">
        <v>38.0</v>
      </c>
      <c r="R342" s="38">
        <v>7014.0</v>
      </c>
      <c r="S342" s="38">
        <v>7.0</v>
      </c>
      <c r="T342" s="38">
        <v>934.0</v>
      </c>
      <c r="U342" s="38">
        <v>322.0</v>
      </c>
      <c r="V342" s="38">
        <v>329.0</v>
      </c>
      <c r="W342" s="38">
        <v>44.0</v>
      </c>
      <c r="X342" s="38">
        <v>23.0</v>
      </c>
      <c r="Y342" s="38">
        <v>11.0</v>
      </c>
      <c r="Z342" s="35">
        <v>2368.0</v>
      </c>
      <c r="AA342" s="29">
        <v>444.0</v>
      </c>
      <c r="AB342" s="29">
        <v>1028.0</v>
      </c>
      <c r="AC342" s="29">
        <v>1472.0</v>
      </c>
      <c r="AD342" s="29">
        <v>109438.0</v>
      </c>
      <c r="AE342" s="29">
        <v>444.0</v>
      </c>
      <c r="AF342" s="29">
        <v>79590.0</v>
      </c>
      <c r="AG342" s="29">
        <v>1028.0</v>
      </c>
      <c r="AH342" s="29">
        <v>29848.0</v>
      </c>
    </row>
    <row r="343" ht="14.25" customHeight="1">
      <c r="A343" s="34">
        <v>44229.0</v>
      </c>
      <c r="B343" s="35">
        <v>603.0</v>
      </c>
      <c r="C343" s="35">
        <v>401.0</v>
      </c>
      <c r="D343" s="35">
        <v>139537.0</v>
      </c>
      <c r="E343" s="36">
        <v>14852.0</v>
      </c>
      <c r="F343" s="37">
        <v>2434394.0</v>
      </c>
      <c r="G343" s="37">
        <v>15455.0</v>
      </c>
      <c r="H343" s="37">
        <v>2573931.0</v>
      </c>
      <c r="I343" s="36">
        <v>527.0</v>
      </c>
      <c r="J343" s="36">
        <v>346.0</v>
      </c>
      <c r="K343" s="36">
        <v>116820.0</v>
      </c>
      <c r="L343" s="36">
        <v>1896.0</v>
      </c>
      <c r="M343" s="36">
        <v>619780.0</v>
      </c>
      <c r="N343" s="36">
        <v>736600.0</v>
      </c>
      <c r="O343" s="36">
        <v>48.0</v>
      </c>
      <c r="P343" s="38">
        <v>8318.0</v>
      </c>
      <c r="Q343" s="38">
        <v>48.0</v>
      </c>
      <c r="R343" s="38">
        <v>7062.0</v>
      </c>
      <c r="S343" s="38">
        <v>4.0</v>
      </c>
      <c r="T343" s="38">
        <v>938.0</v>
      </c>
      <c r="U343" s="38">
        <v>318.0</v>
      </c>
      <c r="V343" s="38">
        <v>324.0</v>
      </c>
      <c r="W343" s="38">
        <v>47.0</v>
      </c>
      <c r="X343" s="38">
        <v>24.0</v>
      </c>
      <c r="Y343" s="38">
        <v>14.0</v>
      </c>
      <c r="Z343" s="35">
        <v>2382.0</v>
      </c>
      <c r="AA343" s="29">
        <v>1721.0</v>
      </c>
      <c r="AB343" s="29">
        <v>1679.0</v>
      </c>
      <c r="AC343" s="29">
        <v>3400.0</v>
      </c>
      <c r="AD343" s="29">
        <v>112838.0</v>
      </c>
      <c r="AE343" s="29">
        <v>1721.0</v>
      </c>
      <c r="AF343" s="29">
        <v>81311.0</v>
      </c>
      <c r="AG343" s="29">
        <v>1679.0</v>
      </c>
      <c r="AH343" s="29">
        <v>31527.0</v>
      </c>
    </row>
    <row r="344" ht="14.25" customHeight="1">
      <c r="A344" s="34">
        <v>44230.0</v>
      </c>
      <c r="B344" s="35">
        <v>750.0</v>
      </c>
      <c r="C344" s="35">
        <v>530.0</v>
      </c>
      <c r="D344" s="35">
        <v>140287.0</v>
      </c>
      <c r="E344" s="36">
        <v>24455.0</v>
      </c>
      <c r="F344" s="37">
        <v>2458849.0</v>
      </c>
      <c r="G344" s="37">
        <v>25205.0</v>
      </c>
      <c r="H344" s="37">
        <v>2599136.0</v>
      </c>
      <c r="I344" s="36">
        <v>668.0</v>
      </c>
      <c r="J344" s="36">
        <v>464.0</v>
      </c>
      <c r="K344" s="36">
        <v>117488.0</v>
      </c>
      <c r="L344" s="36">
        <v>2484.0</v>
      </c>
      <c r="M344" s="36">
        <v>622264.0</v>
      </c>
      <c r="N344" s="36">
        <v>739752.0</v>
      </c>
      <c r="O344" s="36">
        <v>48.0</v>
      </c>
      <c r="P344" s="38">
        <v>8366.0</v>
      </c>
      <c r="Q344" s="38">
        <v>46.0</v>
      </c>
      <c r="R344" s="38">
        <v>7108.0</v>
      </c>
      <c r="S344" s="38">
        <v>5.0</v>
      </c>
      <c r="T344" s="38">
        <v>943.0</v>
      </c>
      <c r="U344" s="38">
        <v>315.0</v>
      </c>
      <c r="V344" s="38">
        <v>318.0</v>
      </c>
      <c r="W344" s="38">
        <v>47.0</v>
      </c>
      <c r="X344" s="38">
        <v>22.0</v>
      </c>
      <c r="Y344" s="38">
        <v>14.0</v>
      </c>
      <c r="Z344" s="35">
        <v>2396.0</v>
      </c>
      <c r="AA344" s="29">
        <v>3918.0</v>
      </c>
      <c r="AB344" s="29">
        <v>1966.0</v>
      </c>
      <c r="AC344" s="29">
        <v>5884.0</v>
      </c>
      <c r="AD344" s="29">
        <v>118722.0</v>
      </c>
      <c r="AE344" s="29">
        <v>3918.0</v>
      </c>
      <c r="AF344" s="29">
        <v>85229.0</v>
      </c>
      <c r="AG344" s="29">
        <v>1966.0</v>
      </c>
      <c r="AH344" s="29">
        <v>33493.0</v>
      </c>
    </row>
    <row r="345" ht="14.25" customHeight="1">
      <c r="A345" s="34">
        <v>44231.0</v>
      </c>
      <c r="B345" s="35">
        <v>708.0</v>
      </c>
      <c r="C345" s="35">
        <v>687.0</v>
      </c>
      <c r="D345" s="35">
        <v>140995.0</v>
      </c>
      <c r="E345" s="36">
        <v>23491.0</v>
      </c>
      <c r="F345" s="37">
        <v>2482340.0</v>
      </c>
      <c r="G345" s="37">
        <v>24199.0</v>
      </c>
      <c r="H345" s="37">
        <v>2623335.0</v>
      </c>
      <c r="I345" s="36">
        <v>607.0</v>
      </c>
      <c r="J345" s="36">
        <v>601.0</v>
      </c>
      <c r="K345" s="36">
        <v>118095.0</v>
      </c>
      <c r="L345" s="36">
        <v>2642.0</v>
      </c>
      <c r="M345" s="36">
        <v>624906.0</v>
      </c>
      <c r="N345" s="36">
        <v>743001.0</v>
      </c>
      <c r="O345" s="36">
        <v>33.0</v>
      </c>
      <c r="P345" s="38">
        <v>8399.0</v>
      </c>
      <c r="Q345" s="38">
        <v>46.0</v>
      </c>
      <c r="R345" s="38">
        <v>7154.0</v>
      </c>
      <c r="S345" s="38">
        <v>0.0</v>
      </c>
      <c r="T345" s="38">
        <v>943.0</v>
      </c>
      <c r="U345" s="38">
        <v>302.0</v>
      </c>
      <c r="V345" s="38">
        <v>312.0</v>
      </c>
      <c r="W345" s="38">
        <v>48.0</v>
      </c>
      <c r="X345" s="38">
        <v>23.0</v>
      </c>
      <c r="Y345" s="38">
        <v>8.0</v>
      </c>
      <c r="Z345" s="35">
        <v>2404.0</v>
      </c>
      <c r="AA345" s="29">
        <v>2929.0</v>
      </c>
      <c r="AB345" s="29">
        <v>2057.0</v>
      </c>
      <c r="AC345" s="29">
        <v>4986.0</v>
      </c>
      <c r="AD345" s="29">
        <v>123708.0</v>
      </c>
      <c r="AE345" s="29">
        <v>2929.0</v>
      </c>
      <c r="AF345" s="29">
        <v>88158.0</v>
      </c>
      <c r="AG345" s="29">
        <v>2057.0</v>
      </c>
      <c r="AH345" s="29">
        <v>35550.0</v>
      </c>
    </row>
    <row r="346" ht="14.25" customHeight="1">
      <c r="A346" s="34">
        <v>44232.0</v>
      </c>
      <c r="B346" s="35">
        <v>613.0</v>
      </c>
      <c r="C346" s="35">
        <v>690.0</v>
      </c>
      <c r="D346" s="35">
        <v>141608.0</v>
      </c>
      <c r="E346" s="36">
        <v>20028.0</v>
      </c>
      <c r="F346" s="37">
        <v>2502368.0</v>
      </c>
      <c r="G346" s="37">
        <v>20641.0</v>
      </c>
      <c r="H346" s="37">
        <v>2643976.0</v>
      </c>
      <c r="I346" s="36">
        <v>505.0</v>
      </c>
      <c r="J346" s="36">
        <v>593.0</v>
      </c>
      <c r="K346" s="36">
        <v>118600.0</v>
      </c>
      <c r="L346" s="36">
        <v>2280.0</v>
      </c>
      <c r="M346" s="36">
        <v>627186.0</v>
      </c>
      <c r="N346" s="36">
        <v>745786.0</v>
      </c>
      <c r="O346" s="36">
        <v>25.0</v>
      </c>
      <c r="P346" s="38">
        <v>8424.0</v>
      </c>
      <c r="Q346" s="38">
        <v>41.0</v>
      </c>
      <c r="R346" s="38">
        <v>7195.0</v>
      </c>
      <c r="S346" s="38">
        <v>3.0</v>
      </c>
      <c r="T346" s="38">
        <v>946.0</v>
      </c>
      <c r="U346" s="38">
        <v>283.0</v>
      </c>
      <c r="V346" s="38">
        <v>300.0</v>
      </c>
      <c r="W346" s="38">
        <v>51.0</v>
      </c>
      <c r="X346" s="38">
        <v>24.0</v>
      </c>
      <c r="Y346" s="38">
        <v>6.0</v>
      </c>
      <c r="Z346" s="35">
        <v>2410.0</v>
      </c>
      <c r="AA346" s="29">
        <v>2963.0</v>
      </c>
      <c r="AB346" s="29">
        <v>1558.0</v>
      </c>
      <c r="AC346" s="29">
        <v>4521.0</v>
      </c>
      <c r="AD346" s="29">
        <v>128229.0</v>
      </c>
      <c r="AE346" s="29">
        <v>2963.0</v>
      </c>
      <c r="AF346" s="29">
        <v>91121.0</v>
      </c>
      <c r="AG346" s="29">
        <v>1558.0</v>
      </c>
      <c r="AH346" s="29">
        <v>37108.0</v>
      </c>
    </row>
    <row r="347" ht="14.25" customHeight="1">
      <c r="A347" s="34">
        <v>44233.0</v>
      </c>
      <c r="B347" s="35">
        <v>413.0</v>
      </c>
      <c r="C347" s="35">
        <v>578.0</v>
      </c>
      <c r="D347" s="35">
        <v>142021.0</v>
      </c>
      <c r="E347" s="36">
        <v>15175.0</v>
      </c>
      <c r="F347" s="37">
        <v>2517543.0</v>
      </c>
      <c r="G347" s="37">
        <v>15588.0</v>
      </c>
      <c r="H347" s="37">
        <v>2659564.0</v>
      </c>
      <c r="I347" s="36">
        <v>346.0</v>
      </c>
      <c r="J347" s="36">
        <v>486.0</v>
      </c>
      <c r="K347" s="36">
        <v>118946.0</v>
      </c>
      <c r="L347" s="36">
        <v>1713.0</v>
      </c>
      <c r="M347" s="36">
        <v>628899.0</v>
      </c>
      <c r="N347" s="36">
        <v>747845.0</v>
      </c>
      <c r="O347" s="36">
        <v>28.0</v>
      </c>
      <c r="P347" s="38">
        <v>8452.0</v>
      </c>
      <c r="Q347" s="38">
        <v>28.0</v>
      </c>
      <c r="R347" s="38">
        <v>7223.0</v>
      </c>
      <c r="S347" s="38">
        <v>3.0</v>
      </c>
      <c r="T347" s="38">
        <v>949.0</v>
      </c>
      <c r="U347" s="38">
        <v>280.0</v>
      </c>
      <c r="V347" s="38">
        <v>288.0</v>
      </c>
      <c r="W347" s="38">
        <v>52.0</v>
      </c>
      <c r="X347" s="38">
        <v>23.0</v>
      </c>
      <c r="Y347" s="38">
        <v>9.0</v>
      </c>
      <c r="Z347" s="35">
        <v>2419.0</v>
      </c>
      <c r="AA347" s="29">
        <v>3238.0</v>
      </c>
      <c r="AB347" s="29">
        <v>1664.0</v>
      </c>
      <c r="AC347" s="29">
        <v>4902.0</v>
      </c>
      <c r="AD347" s="29">
        <v>133131.0</v>
      </c>
      <c r="AE347" s="29">
        <v>3238.0</v>
      </c>
      <c r="AF347" s="29">
        <v>94359.0</v>
      </c>
      <c r="AG347" s="29">
        <v>1664.0</v>
      </c>
      <c r="AH347" s="29">
        <v>38772.0</v>
      </c>
    </row>
    <row r="348" ht="14.25" customHeight="1">
      <c r="A348" s="34">
        <v>44234.0</v>
      </c>
      <c r="B348" s="35">
        <v>240.0</v>
      </c>
      <c r="C348" s="35">
        <v>422.0</v>
      </c>
      <c r="D348" s="35">
        <v>142261.0</v>
      </c>
      <c r="E348" s="36">
        <v>4714.0</v>
      </c>
      <c r="F348" s="37">
        <v>2522257.0</v>
      </c>
      <c r="G348" s="37">
        <v>4954.0</v>
      </c>
      <c r="H348" s="37">
        <v>2664518.0</v>
      </c>
      <c r="I348" s="36">
        <v>181.0</v>
      </c>
      <c r="J348" s="36">
        <v>344.0</v>
      </c>
      <c r="K348" s="36">
        <v>119127.0</v>
      </c>
      <c r="L348" s="36">
        <v>711.0</v>
      </c>
      <c r="M348" s="36">
        <v>629610.0</v>
      </c>
      <c r="N348" s="36">
        <v>748737.0</v>
      </c>
      <c r="O348" s="36">
        <v>23.0</v>
      </c>
      <c r="P348" s="38">
        <v>8475.0</v>
      </c>
      <c r="Q348" s="38">
        <v>22.0</v>
      </c>
      <c r="R348" s="38">
        <v>7245.0</v>
      </c>
      <c r="S348" s="38">
        <v>7.0</v>
      </c>
      <c r="T348" s="38">
        <v>956.0</v>
      </c>
      <c r="U348" s="38">
        <v>274.0</v>
      </c>
      <c r="V348" s="38">
        <v>279.0</v>
      </c>
      <c r="W348" s="38">
        <v>49.0</v>
      </c>
      <c r="X348" s="38">
        <v>24.0</v>
      </c>
      <c r="Y348" s="38">
        <v>14.0</v>
      </c>
      <c r="Z348" s="35">
        <v>2433.0</v>
      </c>
      <c r="AA348" s="29">
        <v>417.0</v>
      </c>
      <c r="AB348" s="29">
        <v>445.0</v>
      </c>
      <c r="AC348" s="29">
        <v>862.0</v>
      </c>
      <c r="AD348" s="29">
        <v>133993.0</v>
      </c>
      <c r="AE348" s="29">
        <v>417.0</v>
      </c>
      <c r="AF348" s="29">
        <v>94776.0</v>
      </c>
      <c r="AG348" s="29">
        <v>445.0</v>
      </c>
      <c r="AH348" s="29">
        <v>39217.0</v>
      </c>
    </row>
    <row r="349" ht="14.25" customHeight="1">
      <c r="A349" s="34">
        <v>44235.0</v>
      </c>
      <c r="B349" s="35">
        <v>387.0</v>
      </c>
      <c r="C349" s="35">
        <v>347.0</v>
      </c>
      <c r="D349" s="35">
        <v>142648.0</v>
      </c>
      <c r="E349" s="36">
        <v>13023.0</v>
      </c>
      <c r="F349" s="37">
        <v>2535280.0</v>
      </c>
      <c r="G349" s="37">
        <v>13410.0</v>
      </c>
      <c r="H349" s="37">
        <v>2677928.0</v>
      </c>
      <c r="I349" s="36">
        <v>360.0</v>
      </c>
      <c r="J349" s="36">
        <v>296.0</v>
      </c>
      <c r="K349" s="36">
        <v>119487.0</v>
      </c>
      <c r="L349" s="36">
        <v>1600.0</v>
      </c>
      <c r="M349" s="36">
        <v>631210.0</v>
      </c>
      <c r="N349" s="36">
        <v>750697.0</v>
      </c>
      <c r="O349" s="36">
        <v>23.0</v>
      </c>
      <c r="P349" s="38">
        <v>8498.0</v>
      </c>
      <c r="Q349" s="38">
        <v>30.0</v>
      </c>
      <c r="R349" s="38">
        <v>7275.0</v>
      </c>
      <c r="S349" s="38">
        <v>1.0</v>
      </c>
      <c r="T349" s="38">
        <v>957.0</v>
      </c>
      <c r="U349" s="38">
        <v>266.0</v>
      </c>
      <c r="V349" s="38">
        <v>273.0</v>
      </c>
      <c r="W349" s="38">
        <v>46.0</v>
      </c>
      <c r="X349" s="38">
        <v>23.0</v>
      </c>
      <c r="Y349" s="38">
        <v>8.0</v>
      </c>
      <c r="Z349" s="35">
        <v>2441.0</v>
      </c>
      <c r="AA349" s="29">
        <v>1720.0</v>
      </c>
      <c r="AB349" s="29">
        <v>1389.0</v>
      </c>
      <c r="AC349" s="29">
        <v>3109.0</v>
      </c>
      <c r="AD349" s="29">
        <v>137102.0</v>
      </c>
      <c r="AE349" s="29">
        <v>1720.0</v>
      </c>
      <c r="AF349" s="29">
        <v>96496.0</v>
      </c>
      <c r="AG349" s="29">
        <v>1389.0</v>
      </c>
      <c r="AH349" s="29">
        <v>40606.0</v>
      </c>
    </row>
    <row r="350" ht="14.25" customHeight="1">
      <c r="A350" s="34">
        <v>44236.0</v>
      </c>
      <c r="B350" s="35">
        <v>563.0</v>
      </c>
      <c r="C350" s="35">
        <v>397.0</v>
      </c>
      <c r="D350" s="35">
        <v>143211.0</v>
      </c>
      <c r="E350" s="36">
        <v>17930.0</v>
      </c>
      <c r="F350" s="37">
        <v>2553210.0</v>
      </c>
      <c r="G350" s="37">
        <v>18493.0</v>
      </c>
      <c r="H350" s="37">
        <v>2696421.0</v>
      </c>
      <c r="I350" s="36">
        <v>494.0</v>
      </c>
      <c r="J350" s="36">
        <v>345.0</v>
      </c>
      <c r="K350" s="36">
        <v>119981.0</v>
      </c>
      <c r="L350" s="36">
        <v>1766.0</v>
      </c>
      <c r="M350" s="36">
        <v>632976.0</v>
      </c>
      <c r="N350" s="36">
        <v>752957.0</v>
      </c>
      <c r="O350" s="36">
        <v>35.0</v>
      </c>
      <c r="P350" s="38">
        <v>8533.0</v>
      </c>
      <c r="Q350" s="38">
        <v>35.0</v>
      </c>
      <c r="R350" s="38">
        <v>7310.0</v>
      </c>
      <c r="S350" s="38">
        <v>4.0</v>
      </c>
      <c r="T350" s="38">
        <v>961.0</v>
      </c>
      <c r="U350" s="38">
        <v>262.0</v>
      </c>
      <c r="V350" s="38">
        <v>267.0</v>
      </c>
      <c r="W350" s="38">
        <v>48.0</v>
      </c>
      <c r="X350" s="38">
        <v>24.0</v>
      </c>
      <c r="Y350" s="38">
        <v>7.0</v>
      </c>
      <c r="Z350" s="35">
        <v>2448.0</v>
      </c>
      <c r="AA350" s="29">
        <v>2711.0</v>
      </c>
      <c r="AB350" s="29">
        <v>1393.0</v>
      </c>
      <c r="AC350" s="29">
        <v>4104.0</v>
      </c>
      <c r="AD350" s="29">
        <v>141206.0</v>
      </c>
      <c r="AE350" s="29">
        <v>2711.0</v>
      </c>
      <c r="AF350" s="29">
        <v>99207.0</v>
      </c>
      <c r="AG350" s="29">
        <v>1393.0</v>
      </c>
      <c r="AH350" s="29">
        <v>41999.0</v>
      </c>
    </row>
    <row r="351" ht="14.25" customHeight="1">
      <c r="A351" s="34">
        <v>44237.0</v>
      </c>
      <c r="B351" s="35">
        <v>549.0</v>
      </c>
      <c r="C351" s="35">
        <v>500.0</v>
      </c>
      <c r="D351" s="35">
        <v>143760.0</v>
      </c>
      <c r="E351" s="36">
        <v>23770.0</v>
      </c>
      <c r="F351" s="37">
        <v>2576980.0</v>
      </c>
      <c r="G351" s="37">
        <v>24319.0</v>
      </c>
      <c r="H351" s="37">
        <v>2720740.0</v>
      </c>
      <c r="I351" s="36">
        <v>454.0</v>
      </c>
      <c r="J351" s="36">
        <v>436.0</v>
      </c>
      <c r="K351" s="36">
        <v>120435.0</v>
      </c>
      <c r="L351" s="36">
        <v>2134.0</v>
      </c>
      <c r="M351" s="36">
        <v>635110.0</v>
      </c>
      <c r="N351" s="36">
        <v>755545.0</v>
      </c>
      <c r="O351" s="36">
        <v>30.0</v>
      </c>
      <c r="P351" s="38">
        <v>8563.0</v>
      </c>
      <c r="Q351" s="38">
        <v>44.0</v>
      </c>
      <c r="R351" s="38">
        <v>7354.0</v>
      </c>
      <c r="S351" s="38">
        <v>6.0</v>
      </c>
      <c r="T351" s="38">
        <v>967.0</v>
      </c>
      <c r="U351" s="38">
        <v>242.0</v>
      </c>
      <c r="V351" s="38">
        <v>257.0</v>
      </c>
      <c r="W351" s="38">
        <v>44.0</v>
      </c>
      <c r="X351" s="38">
        <v>22.0</v>
      </c>
      <c r="Y351" s="38">
        <v>11.0</v>
      </c>
      <c r="Z351" s="35">
        <v>2459.0</v>
      </c>
      <c r="AA351" s="29">
        <v>2760.0</v>
      </c>
      <c r="AB351" s="29">
        <v>2253.0</v>
      </c>
      <c r="AC351" s="29">
        <v>5013.0</v>
      </c>
      <c r="AD351" s="29">
        <v>146219.0</v>
      </c>
      <c r="AE351" s="29">
        <v>2760.0</v>
      </c>
      <c r="AF351" s="29">
        <v>101967.0</v>
      </c>
      <c r="AG351" s="29">
        <v>2253.0</v>
      </c>
      <c r="AH351" s="29">
        <v>44252.0</v>
      </c>
    </row>
    <row r="352" ht="14.25" customHeight="1">
      <c r="A352" s="34">
        <v>44238.0</v>
      </c>
      <c r="B352" s="35">
        <v>478.0</v>
      </c>
      <c r="C352" s="35">
        <v>530.0</v>
      </c>
      <c r="D352" s="35">
        <v>144238.0</v>
      </c>
      <c r="E352" s="36">
        <v>21077.0</v>
      </c>
      <c r="F352" s="37">
        <v>2598057.0</v>
      </c>
      <c r="G352" s="37">
        <v>21555.0</v>
      </c>
      <c r="H352" s="37">
        <v>2742295.0</v>
      </c>
      <c r="I352" s="36">
        <v>401.0</v>
      </c>
      <c r="J352" s="36">
        <v>450.0</v>
      </c>
      <c r="K352" s="36">
        <v>120836.0</v>
      </c>
      <c r="L352" s="36">
        <v>2001.0</v>
      </c>
      <c r="M352" s="36">
        <v>637111.0</v>
      </c>
      <c r="N352" s="36">
        <v>757947.0</v>
      </c>
      <c r="O352" s="36">
        <v>31.0</v>
      </c>
      <c r="P352" s="38">
        <v>8594.0</v>
      </c>
      <c r="Q352" s="38">
        <v>34.0</v>
      </c>
      <c r="R352" s="38">
        <v>7388.0</v>
      </c>
      <c r="S352" s="38">
        <v>4.0</v>
      </c>
      <c r="T352" s="38">
        <v>971.0</v>
      </c>
      <c r="U352" s="38">
        <v>235.0</v>
      </c>
      <c r="V352" s="38">
        <v>246.0</v>
      </c>
      <c r="W352" s="38">
        <v>43.0</v>
      </c>
      <c r="X352" s="38">
        <v>22.0</v>
      </c>
      <c r="Y352" s="38">
        <v>11.0</v>
      </c>
      <c r="Z352" s="35">
        <v>2470.0</v>
      </c>
      <c r="AA352" s="29">
        <v>3047.0</v>
      </c>
      <c r="AB352" s="29">
        <v>1958.0</v>
      </c>
      <c r="AC352" s="29">
        <v>5005.0</v>
      </c>
      <c r="AD352" s="29">
        <v>151224.0</v>
      </c>
      <c r="AE352" s="29">
        <v>3047.0</v>
      </c>
      <c r="AF352" s="29">
        <v>105014.0</v>
      </c>
      <c r="AG352" s="29">
        <v>1958.0</v>
      </c>
      <c r="AH352" s="29">
        <v>46210.0</v>
      </c>
    </row>
    <row r="353" ht="14.25" customHeight="1">
      <c r="A353" s="34">
        <v>44239.0</v>
      </c>
      <c r="B353" s="35">
        <v>444.0</v>
      </c>
      <c r="C353" s="35">
        <v>490.0</v>
      </c>
      <c r="D353" s="35">
        <v>144682.0</v>
      </c>
      <c r="E353" s="36">
        <v>20708.0</v>
      </c>
      <c r="F353" s="37">
        <v>2618765.0</v>
      </c>
      <c r="G353" s="37">
        <v>21152.0</v>
      </c>
      <c r="H353" s="37">
        <v>2763447.0</v>
      </c>
      <c r="I353" s="36">
        <v>378.0</v>
      </c>
      <c r="J353" s="36">
        <v>411.0</v>
      </c>
      <c r="K353" s="36">
        <v>121214.0</v>
      </c>
      <c r="L353" s="36">
        <v>1932.0</v>
      </c>
      <c r="M353" s="36">
        <v>639043.0</v>
      </c>
      <c r="N353" s="36">
        <v>760257.0</v>
      </c>
      <c r="O353" s="36">
        <v>19.0</v>
      </c>
      <c r="P353" s="38">
        <v>8613.0</v>
      </c>
      <c r="Q353" s="38">
        <v>27.0</v>
      </c>
      <c r="R353" s="38">
        <v>7415.0</v>
      </c>
      <c r="S353" s="38">
        <v>2.0</v>
      </c>
      <c r="T353" s="38">
        <v>973.0</v>
      </c>
      <c r="U353" s="38">
        <v>225.0</v>
      </c>
      <c r="V353" s="38">
        <v>234.0</v>
      </c>
      <c r="W353" s="38">
        <v>41.0</v>
      </c>
      <c r="X353" s="38">
        <v>21.0</v>
      </c>
      <c r="Y353" s="38">
        <v>5.0</v>
      </c>
      <c r="Z353" s="35">
        <v>2475.0</v>
      </c>
      <c r="AA353" s="29">
        <v>3401.0</v>
      </c>
      <c r="AB353" s="29">
        <v>2406.0</v>
      </c>
      <c r="AC353" s="29">
        <v>5807.0</v>
      </c>
      <c r="AD353" s="29">
        <v>157031.0</v>
      </c>
      <c r="AE353" s="29">
        <v>3401.0</v>
      </c>
      <c r="AF353" s="29">
        <v>108415.0</v>
      </c>
      <c r="AG353" s="29">
        <v>2406.0</v>
      </c>
      <c r="AH353" s="29">
        <v>48616.0</v>
      </c>
    </row>
    <row r="354" ht="14.25" customHeight="1">
      <c r="A354" s="34">
        <v>44240.0</v>
      </c>
      <c r="B354" s="35">
        <v>387.0</v>
      </c>
      <c r="C354" s="35">
        <v>436.0</v>
      </c>
      <c r="D354" s="35">
        <v>145069.0</v>
      </c>
      <c r="E354" s="36">
        <v>14068.0</v>
      </c>
      <c r="F354" s="37">
        <v>2632833.0</v>
      </c>
      <c r="G354" s="37">
        <v>14455.0</v>
      </c>
      <c r="H354" s="37">
        <v>2777902.0</v>
      </c>
      <c r="I354" s="36">
        <v>323.0</v>
      </c>
      <c r="J354" s="36">
        <v>367.0</v>
      </c>
      <c r="K354" s="36">
        <v>121537.0</v>
      </c>
      <c r="L354" s="36">
        <v>1576.0</v>
      </c>
      <c r="M354" s="36">
        <v>640619.0</v>
      </c>
      <c r="N354" s="36">
        <v>762156.0</v>
      </c>
      <c r="O354" s="36">
        <v>21.0</v>
      </c>
      <c r="P354" s="38">
        <v>8634.0</v>
      </c>
      <c r="Q354" s="38">
        <v>33.0</v>
      </c>
      <c r="R354" s="38">
        <v>7448.0</v>
      </c>
      <c r="S354" s="38">
        <v>4.0</v>
      </c>
      <c r="T354" s="38">
        <v>977.0</v>
      </c>
      <c r="U354" s="38">
        <v>209.0</v>
      </c>
      <c r="V354" s="38">
        <v>223.0</v>
      </c>
      <c r="W354" s="38">
        <v>38.0</v>
      </c>
      <c r="X354" s="38">
        <v>19.0</v>
      </c>
      <c r="Y354" s="38">
        <v>10.0</v>
      </c>
      <c r="Z354" s="35">
        <v>2485.0</v>
      </c>
      <c r="AA354" s="29">
        <v>3340.0</v>
      </c>
      <c r="AB354" s="29">
        <v>2880.0</v>
      </c>
      <c r="AC354" s="29">
        <v>6220.0</v>
      </c>
      <c r="AD354" s="29">
        <v>163251.0</v>
      </c>
      <c r="AE354" s="29">
        <v>3340.0</v>
      </c>
      <c r="AF354" s="29">
        <v>111755.0</v>
      </c>
      <c r="AG354" s="29">
        <v>2880.0</v>
      </c>
      <c r="AH354" s="29">
        <v>51496.0</v>
      </c>
    </row>
    <row r="355" ht="14.25" customHeight="1">
      <c r="A355" s="34">
        <v>44241.0</v>
      </c>
      <c r="B355" s="35">
        <v>266.0</v>
      </c>
      <c r="C355" s="35">
        <v>366.0</v>
      </c>
      <c r="D355" s="35">
        <v>145335.0</v>
      </c>
      <c r="E355" s="36">
        <v>6593.0</v>
      </c>
      <c r="F355" s="37">
        <v>2639426.0</v>
      </c>
      <c r="G355" s="37">
        <v>6859.0</v>
      </c>
      <c r="H355" s="37">
        <v>2784761.0</v>
      </c>
      <c r="I355" s="36">
        <v>213.0</v>
      </c>
      <c r="J355" s="36">
        <v>305.0</v>
      </c>
      <c r="K355" s="36">
        <v>121750.0</v>
      </c>
      <c r="L355" s="36">
        <v>893.0</v>
      </c>
      <c r="M355" s="36">
        <v>641512.0</v>
      </c>
      <c r="N355" s="36">
        <v>763262.0</v>
      </c>
      <c r="O355" s="36">
        <v>26.0</v>
      </c>
      <c r="P355" s="38">
        <v>8660.0</v>
      </c>
      <c r="Q355" s="38">
        <v>15.0</v>
      </c>
      <c r="R355" s="38">
        <v>7463.0</v>
      </c>
      <c r="S355" s="38">
        <v>0.0</v>
      </c>
      <c r="T355" s="38">
        <v>977.0</v>
      </c>
      <c r="U355" s="38">
        <v>220.0</v>
      </c>
      <c r="V355" s="38">
        <v>218.0</v>
      </c>
      <c r="W355" s="38">
        <v>38.0</v>
      </c>
      <c r="X355" s="38">
        <v>23.0</v>
      </c>
      <c r="Y355" s="38">
        <v>4.0</v>
      </c>
      <c r="Z355" s="35">
        <v>2489.0</v>
      </c>
      <c r="AA355" s="29">
        <v>1332.0</v>
      </c>
      <c r="AB355" s="29">
        <v>788.0</v>
      </c>
      <c r="AC355" s="29">
        <v>2120.0</v>
      </c>
      <c r="AD355" s="29">
        <v>165371.0</v>
      </c>
      <c r="AE355" s="29">
        <v>1332.0</v>
      </c>
      <c r="AF355" s="29">
        <v>113087.0</v>
      </c>
      <c r="AG355" s="29">
        <v>788.0</v>
      </c>
      <c r="AH355" s="29">
        <v>52284.0</v>
      </c>
    </row>
    <row r="356" ht="14.25" customHeight="1">
      <c r="A356" s="34">
        <v>44242.0</v>
      </c>
      <c r="B356" s="35">
        <v>330.0</v>
      </c>
      <c r="C356" s="35">
        <v>328.0</v>
      </c>
      <c r="D356" s="35">
        <v>145665.0</v>
      </c>
      <c r="E356" s="36">
        <v>11090.0</v>
      </c>
      <c r="F356" s="37">
        <v>2650516.0</v>
      </c>
      <c r="G356" s="37">
        <v>11420.0</v>
      </c>
      <c r="H356" s="37">
        <v>2796181.0</v>
      </c>
      <c r="I356" s="36">
        <v>306.0</v>
      </c>
      <c r="J356" s="36">
        <v>281.0</v>
      </c>
      <c r="K356" s="36">
        <v>122056.0</v>
      </c>
      <c r="L356" s="36">
        <v>1181.0</v>
      </c>
      <c r="M356" s="36">
        <v>642693.0</v>
      </c>
      <c r="N356" s="36">
        <v>764749.0</v>
      </c>
      <c r="O356" s="36">
        <v>28.0</v>
      </c>
      <c r="P356" s="38">
        <v>8688.0</v>
      </c>
      <c r="Q356" s="38">
        <v>26.0</v>
      </c>
      <c r="R356" s="38">
        <v>7489.0</v>
      </c>
      <c r="S356" s="38">
        <v>3.0</v>
      </c>
      <c r="T356" s="38">
        <v>980.0</v>
      </c>
      <c r="U356" s="38">
        <v>219.0</v>
      </c>
      <c r="V356" s="38">
        <v>216.0</v>
      </c>
      <c r="W356" s="38">
        <v>33.0</v>
      </c>
      <c r="X356" s="38">
        <v>22.0</v>
      </c>
      <c r="Y356" s="38">
        <v>3.0</v>
      </c>
      <c r="Z356" s="35">
        <v>2492.0</v>
      </c>
      <c r="AA356" s="29">
        <v>3823.0</v>
      </c>
      <c r="AB356" s="29">
        <v>1075.0</v>
      </c>
      <c r="AC356" s="29">
        <v>4898.0</v>
      </c>
      <c r="AD356" s="29">
        <v>170269.0</v>
      </c>
      <c r="AE356" s="29">
        <v>3823.0</v>
      </c>
      <c r="AF356" s="29">
        <v>116910.0</v>
      </c>
      <c r="AG356" s="29">
        <v>1075.0</v>
      </c>
      <c r="AH356" s="29">
        <v>53359.0</v>
      </c>
    </row>
    <row r="357" ht="14.25" customHeight="1">
      <c r="A357" s="34">
        <v>44243.0</v>
      </c>
      <c r="B357" s="35">
        <v>472.0</v>
      </c>
      <c r="C357" s="35">
        <v>356.0</v>
      </c>
      <c r="D357" s="35">
        <v>146137.0</v>
      </c>
      <c r="E357" s="36">
        <v>20049.0</v>
      </c>
      <c r="F357" s="37">
        <v>2670565.0</v>
      </c>
      <c r="G357" s="37">
        <v>20521.0</v>
      </c>
      <c r="H357" s="37">
        <v>2816702.0</v>
      </c>
      <c r="I357" s="36">
        <v>396.0</v>
      </c>
      <c r="J357" s="36">
        <v>305.0</v>
      </c>
      <c r="K357" s="36">
        <v>122452.0</v>
      </c>
      <c r="L357" s="36">
        <v>1792.0</v>
      </c>
      <c r="M357" s="36">
        <v>644485.0</v>
      </c>
      <c r="N357" s="36">
        <v>766937.0</v>
      </c>
      <c r="O357" s="36">
        <v>21.0</v>
      </c>
      <c r="P357" s="38">
        <v>8709.0</v>
      </c>
      <c r="Q357" s="38">
        <v>42.0</v>
      </c>
      <c r="R357" s="38">
        <v>7531.0</v>
      </c>
      <c r="S357" s="38">
        <v>3.0</v>
      </c>
      <c r="T357" s="38">
        <v>983.0</v>
      </c>
      <c r="U357" s="38">
        <v>195.0</v>
      </c>
      <c r="V357" s="38">
        <v>211.0</v>
      </c>
      <c r="W357" s="38">
        <v>34.0</v>
      </c>
      <c r="X357" s="38">
        <v>20.0</v>
      </c>
      <c r="Y357" s="38">
        <v>9.0</v>
      </c>
      <c r="Z357" s="35">
        <v>2501.0</v>
      </c>
      <c r="AA357" s="29">
        <v>3642.0</v>
      </c>
      <c r="AB357" s="29">
        <v>1302.0</v>
      </c>
      <c r="AC357" s="29">
        <v>4944.0</v>
      </c>
      <c r="AD357" s="29">
        <v>175213.0</v>
      </c>
      <c r="AE357" s="29">
        <v>3642.0</v>
      </c>
      <c r="AF357" s="29">
        <v>120552.0</v>
      </c>
      <c r="AG357" s="29">
        <v>1302.0</v>
      </c>
      <c r="AH357" s="29">
        <v>54661.0</v>
      </c>
    </row>
    <row r="358" ht="14.25" customHeight="1">
      <c r="A358" s="34">
        <v>44244.0</v>
      </c>
      <c r="B358" s="35">
        <v>412.0</v>
      </c>
      <c r="C358" s="35">
        <v>405.0</v>
      </c>
      <c r="D358" s="35">
        <v>146549.0</v>
      </c>
      <c r="E358" s="36">
        <v>22259.0</v>
      </c>
      <c r="F358" s="37">
        <v>2692824.0</v>
      </c>
      <c r="G358" s="37">
        <v>22671.0</v>
      </c>
      <c r="H358" s="37">
        <v>2839373.0</v>
      </c>
      <c r="I358" s="36">
        <v>384.0</v>
      </c>
      <c r="J358" s="36">
        <v>362.0</v>
      </c>
      <c r="K358" s="36">
        <v>122836.0</v>
      </c>
      <c r="L358" s="36">
        <v>1738.0</v>
      </c>
      <c r="M358" s="36">
        <v>646223.0</v>
      </c>
      <c r="N358" s="36">
        <v>769059.0</v>
      </c>
      <c r="O358" s="36">
        <v>25.0</v>
      </c>
      <c r="P358" s="38">
        <v>8734.0</v>
      </c>
      <c r="Q358" s="38">
        <v>27.0</v>
      </c>
      <c r="R358" s="38">
        <v>7558.0</v>
      </c>
      <c r="S358" s="38">
        <v>0.0</v>
      </c>
      <c r="T358" s="38">
        <v>983.0</v>
      </c>
      <c r="U358" s="38">
        <v>193.0</v>
      </c>
      <c r="V358" s="38">
        <v>202.0</v>
      </c>
      <c r="W358" s="38">
        <v>30.0</v>
      </c>
      <c r="X358" s="38">
        <v>20.0</v>
      </c>
      <c r="Y358" s="38">
        <v>2.0</v>
      </c>
      <c r="Z358" s="35">
        <v>2503.0</v>
      </c>
      <c r="AA358" s="29">
        <v>5200.0</v>
      </c>
      <c r="AB358" s="29">
        <v>1929.0</v>
      </c>
      <c r="AC358" s="29">
        <v>7129.0</v>
      </c>
      <c r="AD358" s="29">
        <v>182342.0</v>
      </c>
      <c r="AE358" s="29">
        <v>5200.0</v>
      </c>
      <c r="AF358" s="29">
        <v>125752.0</v>
      </c>
      <c r="AG358" s="29">
        <v>1929.0</v>
      </c>
      <c r="AH358" s="29">
        <v>56590.0</v>
      </c>
    </row>
    <row r="359" ht="14.25" customHeight="1">
      <c r="A359" s="34">
        <v>44245.0</v>
      </c>
      <c r="B359" s="35">
        <v>397.0</v>
      </c>
      <c r="C359" s="35">
        <v>427.0</v>
      </c>
      <c r="D359" s="35">
        <v>146946.0</v>
      </c>
      <c r="E359" s="36">
        <v>20161.0</v>
      </c>
      <c r="F359" s="37">
        <v>2712985.0</v>
      </c>
      <c r="G359" s="37">
        <v>20558.0</v>
      </c>
      <c r="H359" s="37">
        <v>2859931.0</v>
      </c>
      <c r="I359" s="36">
        <v>329.0</v>
      </c>
      <c r="J359" s="36">
        <v>370.0</v>
      </c>
      <c r="K359" s="36">
        <v>123165.0</v>
      </c>
      <c r="L359" s="36">
        <v>1570.0</v>
      </c>
      <c r="M359" s="36">
        <v>647793.0</v>
      </c>
      <c r="N359" s="36">
        <v>770958.0</v>
      </c>
      <c r="O359" s="36">
        <v>17.0</v>
      </c>
      <c r="P359" s="38">
        <v>8751.0</v>
      </c>
      <c r="Q359" s="38">
        <v>19.0</v>
      </c>
      <c r="R359" s="38">
        <v>7577.0</v>
      </c>
      <c r="S359" s="38">
        <v>2.0</v>
      </c>
      <c r="T359" s="38">
        <v>985.0</v>
      </c>
      <c r="U359" s="38">
        <v>189.0</v>
      </c>
      <c r="V359" s="38">
        <v>192.0</v>
      </c>
      <c r="W359" s="38">
        <v>34.0</v>
      </c>
      <c r="X359" s="38">
        <v>19.0</v>
      </c>
      <c r="Y359" s="38">
        <v>4.0</v>
      </c>
      <c r="Z359" s="35">
        <v>2507.0</v>
      </c>
      <c r="AA359" s="29">
        <v>6032.0</v>
      </c>
      <c r="AB359" s="29">
        <v>2331.0</v>
      </c>
      <c r="AC359" s="29">
        <v>8363.0</v>
      </c>
      <c r="AD359" s="29">
        <v>190705.0</v>
      </c>
      <c r="AE359" s="29">
        <v>6032.0</v>
      </c>
      <c r="AF359" s="29">
        <v>131784.0</v>
      </c>
      <c r="AG359" s="29">
        <v>2331.0</v>
      </c>
      <c r="AH359" s="29">
        <v>58921.0</v>
      </c>
    </row>
    <row r="360" ht="14.25" customHeight="1">
      <c r="A360" s="34">
        <v>44246.0</v>
      </c>
      <c r="B360" s="35">
        <v>418.0</v>
      </c>
      <c r="C360" s="35">
        <v>409.0</v>
      </c>
      <c r="D360" s="35">
        <v>147364.0</v>
      </c>
      <c r="E360" s="36">
        <v>16726.0</v>
      </c>
      <c r="F360" s="37">
        <v>2729711.0</v>
      </c>
      <c r="G360" s="37">
        <v>17144.0</v>
      </c>
      <c r="H360" s="37">
        <v>2877075.0</v>
      </c>
      <c r="I360" s="36">
        <v>355.0</v>
      </c>
      <c r="J360" s="36">
        <v>356.0</v>
      </c>
      <c r="K360" s="36">
        <v>123520.0</v>
      </c>
      <c r="L360" s="36">
        <v>1541.0</v>
      </c>
      <c r="M360" s="36">
        <v>649334.0</v>
      </c>
      <c r="N360" s="36">
        <v>772854.0</v>
      </c>
      <c r="O360" s="36">
        <v>22.0</v>
      </c>
      <c r="P360" s="38">
        <v>8773.0</v>
      </c>
      <c r="Q360" s="38">
        <v>34.0</v>
      </c>
      <c r="R360" s="38">
        <v>7611.0</v>
      </c>
      <c r="S360" s="38">
        <v>3.0</v>
      </c>
      <c r="T360" s="38">
        <v>988.0</v>
      </c>
      <c r="U360" s="38">
        <v>174.0</v>
      </c>
      <c r="V360" s="38">
        <v>185.0</v>
      </c>
      <c r="W360" s="38">
        <v>28.0</v>
      </c>
      <c r="X360" s="38">
        <v>17.0</v>
      </c>
      <c r="Y360" s="38">
        <v>6.0</v>
      </c>
      <c r="Z360" s="35">
        <v>2513.0</v>
      </c>
      <c r="AA360" s="29">
        <v>5575.0</v>
      </c>
      <c r="AB360" s="29">
        <v>2259.0</v>
      </c>
      <c r="AC360" s="29">
        <v>7834.0</v>
      </c>
      <c r="AD360" s="29">
        <v>198539.0</v>
      </c>
      <c r="AE360" s="29">
        <v>5575.0</v>
      </c>
      <c r="AF360" s="29">
        <v>137359.0</v>
      </c>
      <c r="AG360" s="29">
        <v>2259.0</v>
      </c>
      <c r="AH360" s="29">
        <v>61180.0</v>
      </c>
    </row>
    <row r="361" ht="14.25" customHeight="1">
      <c r="A361" s="34">
        <v>44247.0</v>
      </c>
      <c r="B361" s="35">
        <v>336.0</v>
      </c>
      <c r="C361" s="35">
        <v>384.0</v>
      </c>
      <c r="D361" s="35">
        <v>147700.0</v>
      </c>
      <c r="E361" s="35">
        <v>10618.0</v>
      </c>
      <c r="F361" s="35">
        <v>2740329.0</v>
      </c>
      <c r="G361" s="35">
        <v>10954.0</v>
      </c>
      <c r="H361" s="35">
        <v>2888029.0</v>
      </c>
      <c r="I361" s="35">
        <v>274.0</v>
      </c>
      <c r="J361" s="35">
        <v>319.0</v>
      </c>
      <c r="K361" s="35">
        <v>123794.0</v>
      </c>
      <c r="L361" s="35">
        <v>1305.0</v>
      </c>
      <c r="M361" s="35">
        <v>650639.0</v>
      </c>
      <c r="N361" s="35">
        <v>774433.0</v>
      </c>
      <c r="O361" s="35">
        <v>37.0</v>
      </c>
      <c r="P361" s="35">
        <v>8810.0</v>
      </c>
      <c r="Q361" s="35">
        <v>21.0</v>
      </c>
      <c r="R361" s="35">
        <v>7632.0</v>
      </c>
      <c r="S361" s="35">
        <v>2.0</v>
      </c>
      <c r="T361" s="35">
        <v>990.0</v>
      </c>
      <c r="U361" s="35">
        <v>188.0</v>
      </c>
      <c r="V361" s="35">
        <v>184.0</v>
      </c>
      <c r="W361" s="35">
        <v>28.0</v>
      </c>
      <c r="X361" s="35">
        <v>17.0</v>
      </c>
      <c r="Y361" s="35">
        <v>4.0</v>
      </c>
      <c r="Z361" s="35">
        <v>2517.0</v>
      </c>
      <c r="AA361" s="35">
        <v>8106.0</v>
      </c>
      <c r="AB361" s="35">
        <v>2032.0</v>
      </c>
      <c r="AC361" s="35">
        <v>10138.0</v>
      </c>
      <c r="AD361" s="35">
        <v>208677.0</v>
      </c>
      <c r="AE361" s="35">
        <v>8106.0</v>
      </c>
      <c r="AF361" s="35">
        <v>145465.0</v>
      </c>
      <c r="AG361" s="35">
        <v>2032.0</v>
      </c>
      <c r="AH361" s="35">
        <v>63212.0</v>
      </c>
    </row>
    <row r="362" ht="14.25" customHeight="1">
      <c r="A362" s="34">
        <v>44248.0</v>
      </c>
      <c r="B362" s="35">
        <v>199.0</v>
      </c>
      <c r="C362" s="35">
        <v>318.0</v>
      </c>
      <c r="D362" s="35">
        <v>147899.0</v>
      </c>
      <c r="E362" s="35">
        <v>6308.0</v>
      </c>
      <c r="F362" s="35">
        <v>2746637.0</v>
      </c>
      <c r="G362" s="35">
        <v>6507.0</v>
      </c>
      <c r="H362" s="35">
        <v>2894536.0</v>
      </c>
      <c r="I362" s="35">
        <v>199.0</v>
      </c>
      <c r="J362" s="35">
        <v>276.0</v>
      </c>
      <c r="K362" s="35">
        <v>123993.0</v>
      </c>
      <c r="L362" s="35">
        <v>832.0</v>
      </c>
      <c r="M362" s="35">
        <v>651471.0</v>
      </c>
      <c r="N362" s="35">
        <v>775464.0</v>
      </c>
      <c r="O362" s="35">
        <v>6.0</v>
      </c>
      <c r="P362" s="35">
        <v>8816.0</v>
      </c>
      <c r="Q362" s="35">
        <v>14.0</v>
      </c>
      <c r="R362" s="35">
        <v>7646.0</v>
      </c>
      <c r="S362" s="35">
        <v>2.0</v>
      </c>
      <c r="T362" s="35">
        <v>992.0</v>
      </c>
      <c r="U362" s="35">
        <v>178.0</v>
      </c>
      <c r="V362" s="35">
        <v>180.0</v>
      </c>
      <c r="W362" s="35">
        <v>32.0</v>
      </c>
      <c r="X362" s="35">
        <v>17.0</v>
      </c>
      <c r="Y362" s="35">
        <v>3.0</v>
      </c>
      <c r="Z362" s="35">
        <v>2520.0</v>
      </c>
      <c r="AA362" s="35">
        <v>1946.0</v>
      </c>
      <c r="AB362" s="35">
        <v>618.0</v>
      </c>
      <c r="AC362" s="35">
        <v>2564.0</v>
      </c>
      <c r="AD362" s="35">
        <v>211241.0</v>
      </c>
      <c r="AE362" s="35">
        <v>1946.0</v>
      </c>
      <c r="AF362" s="35">
        <v>147411.0</v>
      </c>
      <c r="AG362" s="35">
        <v>618.0</v>
      </c>
      <c r="AH362" s="35">
        <v>63830.0</v>
      </c>
    </row>
    <row r="363" ht="14.25" customHeight="1">
      <c r="A363" s="34">
        <v>44249.0</v>
      </c>
      <c r="B363" s="35">
        <v>389.0</v>
      </c>
      <c r="C363" s="35">
        <v>308.0</v>
      </c>
      <c r="D363" s="35">
        <v>148288.0</v>
      </c>
      <c r="E363" s="35">
        <v>12032.0</v>
      </c>
      <c r="F363" s="35">
        <v>2758669.0</v>
      </c>
      <c r="G363" s="35">
        <v>12421.0</v>
      </c>
      <c r="H363" s="35">
        <v>2906957.0</v>
      </c>
      <c r="I363" s="35">
        <v>342.0</v>
      </c>
      <c r="J363" s="35">
        <v>272.0</v>
      </c>
      <c r="K363" s="35">
        <v>124335.0</v>
      </c>
      <c r="L363" s="35">
        <v>1508.0</v>
      </c>
      <c r="M363" s="35">
        <v>652979.0</v>
      </c>
      <c r="N363" s="35">
        <v>777314.0</v>
      </c>
      <c r="O363" s="35">
        <v>16.0</v>
      </c>
      <c r="P363" s="35">
        <v>8832.0</v>
      </c>
      <c r="Q363" s="35">
        <v>17.0</v>
      </c>
      <c r="R363" s="35">
        <v>7663.0</v>
      </c>
      <c r="S363" s="35">
        <v>0.0</v>
      </c>
      <c r="T363" s="35">
        <v>992.0</v>
      </c>
      <c r="U363" s="35">
        <v>177.0</v>
      </c>
      <c r="V363" s="35">
        <v>181.0</v>
      </c>
      <c r="W363" s="35">
        <v>31.0</v>
      </c>
      <c r="X363" s="35">
        <v>16.0</v>
      </c>
      <c r="Y363" s="35">
        <v>3.0</v>
      </c>
      <c r="Z363" s="35">
        <v>2523.0</v>
      </c>
      <c r="AA363" s="35">
        <v>5487.0</v>
      </c>
      <c r="AB363" s="35">
        <v>1399.0</v>
      </c>
      <c r="AC363" s="35">
        <v>6886.0</v>
      </c>
      <c r="AD363" s="35">
        <v>218127.0</v>
      </c>
      <c r="AE363" s="35">
        <v>5487.0</v>
      </c>
      <c r="AF363" s="35">
        <v>152898.0</v>
      </c>
      <c r="AG363" s="35">
        <v>1399.0</v>
      </c>
      <c r="AH363" s="35">
        <v>65229.0</v>
      </c>
    </row>
    <row r="364" ht="14.25" customHeight="1">
      <c r="A364" s="34">
        <v>44250.0</v>
      </c>
      <c r="B364" s="35">
        <v>489.0</v>
      </c>
      <c r="C364" s="35">
        <v>359.0</v>
      </c>
      <c r="D364" s="35">
        <v>148777.0</v>
      </c>
      <c r="E364" s="35">
        <v>19938.0</v>
      </c>
      <c r="F364" s="35">
        <v>2778607.0</v>
      </c>
      <c r="G364" s="35">
        <v>20427.0</v>
      </c>
      <c r="H364" s="35">
        <v>2927384.0</v>
      </c>
      <c r="I364" s="35">
        <v>443.0</v>
      </c>
      <c r="J364" s="35">
        <v>328.0</v>
      </c>
      <c r="K364" s="35">
        <v>124778.0</v>
      </c>
      <c r="L364" s="35">
        <v>2090.0</v>
      </c>
      <c r="M364" s="35">
        <v>655069.0</v>
      </c>
      <c r="N364" s="35">
        <v>779847.0</v>
      </c>
      <c r="O364" s="35">
        <v>26.0</v>
      </c>
      <c r="P364" s="35">
        <v>8858.0</v>
      </c>
      <c r="Q364" s="35">
        <v>27.0</v>
      </c>
      <c r="R364" s="35">
        <v>7690.0</v>
      </c>
      <c r="S364" s="35">
        <v>2.0</v>
      </c>
      <c r="T364" s="35">
        <v>994.0</v>
      </c>
      <c r="U364" s="35">
        <v>174.0</v>
      </c>
      <c r="V364" s="35">
        <v>176.0</v>
      </c>
      <c r="W364" s="35">
        <v>31.0</v>
      </c>
      <c r="X364" s="35">
        <v>17.0</v>
      </c>
      <c r="Y364" s="35">
        <v>6.0</v>
      </c>
      <c r="Z364" s="35">
        <v>2529.0</v>
      </c>
      <c r="AA364" s="35">
        <v>6203.0</v>
      </c>
      <c r="AB364" s="35">
        <v>1385.0</v>
      </c>
      <c r="AC364" s="35">
        <v>7588.0</v>
      </c>
      <c r="AD364" s="35">
        <v>225715.0</v>
      </c>
      <c r="AE364" s="35">
        <v>6203.0</v>
      </c>
      <c r="AF364" s="35">
        <v>159101.0</v>
      </c>
      <c r="AG364" s="35">
        <v>1385.0</v>
      </c>
      <c r="AH364" s="35">
        <v>66614.0</v>
      </c>
    </row>
    <row r="365" ht="14.25" customHeight="1">
      <c r="A365" s="34">
        <v>44251.0</v>
      </c>
      <c r="B365" s="35">
        <v>489.0</v>
      </c>
      <c r="C365" s="35">
        <v>456.0</v>
      </c>
      <c r="D365" s="35">
        <v>149266.0</v>
      </c>
      <c r="E365" s="35">
        <v>23277.0</v>
      </c>
      <c r="F365" s="35">
        <v>2801884.0</v>
      </c>
      <c r="G365" s="35">
        <v>23766.0</v>
      </c>
      <c r="H365" s="35">
        <v>2951150.0</v>
      </c>
      <c r="I365" s="35">
        <v>406.0</v>
      </c>
      <c r="J365" s="35">
        <v>397.0</v>
      </c>
      <c r="K365" s="35">
        <v>125184.0</v>
      </c>
      <c r="L365" s="35">
        <v>2016.0</v>
      </c>
      <c r="M365" s="35">
        <v>657085.0</v>
      </c>
      <c r="N365" s="35">
        <v>782269.0</v>
      </c>
      <c r="O365" s="35">
        <v>28.0</v>
      </c>
      <c r="P365" s="35">
        <v>8886.0</v>
      </c>
      <c r="Q365" s="35">
        <v>20.0</v>
      </c>
      <c r="R365" s="35">
        <v>7710.0</v>
      </c>
      <c r="S365" s="35">
        <v>2.0</v>
      </c>
      <c r="T365" s="35">
        <v>996.0</v>
      </c>
      <c r="U365" s="35">
        <v>180.0</v>
      </c>
      <c r="V365" s="35">
        <v>177.0</v>
      </c>
      <c r="W365" s="35">
        <v>32.0</v>
      </c>
      <c r="X365" s="35">
        <v>19.0</v>
      </c>
      <c r="Y365" s="35">
        <v>5.0</v>
      </c>
      <c r="Z365" s="35">
        <v>2534.0</v>
      </c>
      <c r="AA365" s="35">
        <v>6641.0</v>
      </c>
      <c r="AB365" s="35">
        <v>1824.0</v>
      </c>
      <c r="AC365" s="35">
        <v>8465.0</v>
      </c>
      <c r="AD365" s="35">
        <v>234180.0</v>
      </c>
      <c r="AE365" s="35">
        <v>6641.0</v>
      </c>
      <c r="AF365" s="35">
        <v>165742.0</v>
      </c>
      <c r="AG365" s="35">
        <v>1824.0</v>
      </c>
      <c r="AH365" s="35">
        <v>68438.0</v>
      </c>
    </row>
    <row r="366" ht="14.25" customHeight="1">
      <c r="A366" s="34">
        <v>44252.0</v>
      </c>
      <c r="B366" s="35">
        <v>526.0</v>
      </c>
      <c r="C366" s="35">
        <v>501.0</v>
      </c>
      <c r="D366" s="35">
        <v>149792.0</v>
      </c>
      <c r="E366" s="35">
        <v>21115.0</v>
      </c>
      <c r="F366" s="35">
        <v>2822999.0</v>
      </c>
      <c r="G366" s="35">
        <v>21641.0</v>
      </c>
      <c r="H366" s="35">
        <v>2972791.0</v>
      </c>
      <c r="I366" s="35">
        <v>460.0</v>
      </c>
      <c r="J366" s="35">
        <v>436.0</v>
      </c>
      <c r="K366" s="35">
        <v>125644.0</v>
      </c>
      <c r="L366" s="35">
        <v>1923.0</v>
      </c>
      <c r="M366" s="35">
        <v>659008.0</v>
      </c>
      <c r="N366" s="35">
        <v>784652.0</v>
      </c>
      <c r="O366" s="35">
        <v>19.0</v>
      </c>
      <c r="P366" s="35">
        <v>8905.0</v>
      </c>
      <c r="Q366" s="35">
        <v>20.0</v>
      </c>
      <c r="R366" s="35">
        <v>7730.0</v>
      </c>
      <c r="S366" s="35">
        <v>3.0</v>
      </c>
      <c r="T366" s="35">
        <v>999.0</v>
      </c>
      <c r="U366" s="35">
        <v>176.0</v>
      </c>
      <c r="V366" s="35">
        <v>177.0</v>
      </c>
      <c r="W366" s="35">
        <v>29.0</v>
      </c>
      <c r="X366" s="35">
        <v>19.0</v>
      </c>
      <c r="Y366" s="35">
        <v>5.0</v>
      </c>
      <c r="Z366" s="35">
        <v>2539.0</v>
      </c>
      <c r="AA366" s="35">
        <v>8710.0</v>
      </c>
      <c r="AB366" s="35">
        <v>2983.0</v>
      </c>
      <c r="AC366" s="35">
        <v>11693.0</v>
      </c>
      <c r="AD366" s="35">
        <v>245873.0</v>
      </c>
      <c r="AE366" s="35">
        <v>8710.0</v>
      </c>
      <c r="AF366" s="35">
        <v>174452.0</v>
      </c>
      <c r="AG366" s="35">
        <v>2983.0</v>
      </c>
      <c r="AH366" s="35">
        <v>71421.0</v>
      </c>
    </row>
    <row r="367" ht="14.25" customHeight="1">
      <c r="A367" s="34">
        <v>44253.0</v>
      </c>
      <c r="B367" s="35">
        <v>433.0</v>
      </c>
      <c r="C367" s="35">
        <v>483.0</v>
      </c>
      <c r="D367" s="35">
        <v>150225.0</v>
      </c>
      <c r="E367" s="35">
        <v>18586.0</v>
      </c>
      <c r="F367" s="35">
        <v>2841585.0</v>
      </c>
      <c r="G367" s="35">
        <v>19019.0</v>
      </c>
      <c r="H367" s="35">
        <v>2991810.0</v>
      </c>
      <c r="I367" s="35">
        <v>371.0</v>
      </c>
      <c r="J367" s="35">
        <v>412.0</v>
      </c>
      <c r="K367" s="35">
        <v>126015.0</v>
      </c>
      <c r="L367" s="35">
        <v>1582.0</v>
      </c>
      <c r="M367" s="35">
        <v>660590.0</v>
      </c>
      <c r="N367" s="35">
        <v>786605.0</v>
      </c>
      <c r="O367" s="35">
        <v>26.0</v>
      </c>
      <c r="P367" s="35">
        <v>8931.0</v>
      </c>
      <c r="Q367" s="35">
        <v>24.0</v>
      </c>
      <c r="R367" s="35">
        <v>7754.0</v>
      </c>
      <c r="S367" s="35">
        <v>1.0</v>
      </c>
      <c r="T367" s="35">
        <v>1000.0</v>
      </c>
      <c r="U367" s="35">
        <v>177.0</v>
      </c>
      <c r="V367" s="35">
        <v>178.0</v>
      </c>
      <c r="W367" s="35">
        <v>29.0</v>
      </c>
      <c r="X367" s="35">
        <v>20.0</v>
      </c>
      <c r="Y367" s="35">
        <v>0.0</v>
      </c>
      <c r="Z367" s="35">
        <v>2539.0</v>
      </c>
      <c r="AA367" s="35">
        <v>8433.0</v>
      </c>
      <c r="AB367" s="35">
        <v>2646.0</v>
      </c>
      <c r="AC367" s="35">
        <v>11079.0</v>
      </c>
      <c r="AD367" s="35">
        <v>256952.0</v>
      </c>
      <c r="AE367" s="35">
        <v>8433.0</v>
      </c>
      <c r="AF367" s="35">
        <v>182885.0</v>
      </c>
      <c r="AG367" s="35">
        <v>2646.0</v>
      </c>
      <c r="AH367" s="35">
        <v>74067.0</v>
      </c>
    </row>
    <row r="368" ht="14.25" customHeight="1">
      <c r="A368" s="34">
        <v>44254.0</v>
      </c>
      <c r="B368" s="35">
        <v>384.0</v>
      </c>
      <c r="C368" s="35">
        <v>448.0</v>
      </c>
      <c r="D368" s="35">
        <v>150609.0</v>
      </c>
      <c r="E368" s="35">
        <v>14920.0</v>
      </c>
      <c r="F368" s="35">
        <v>2856505.0</v>
      </c>
      <c r="G368" s="35">
        <v>15304.0</v>
      </c>
      <c r="H368" s="35">
        <v>3007114.0</v>
      </c>
      <c r="I368" s="35">
        <v>348.0</v>
      </c>
      <c r="J368" s="35">
        <v>393.0</v>
      </c>
      <c r="K368" s="35">
        <v>126363.0</v>
      </c>
      <c r="L368" s="35">
        <v>1622.0</v>
      </c>
      <c r="M368" s="35">
        <v>662212.0</v>
      </c>
      <c r="N368" s="35">
        <v>788575.0</v>
      </c>
      <c r="O368" s="35">
        <v>14.0</v>
      </c>
      <c r="P368" s="35">
        <v>8945.0</v>
      </c>
      <c r="Q368" s="35">
        <v>13.0</v>
      </c>
      <c r="R368" s="35">
        <v>7767.0</v>
      </c>
      <c r="S368" s="35">
        <v>1.0</v>
      </c>
      <c r="T368" s="35">
        <v>1001.0</v>
      </c>
      <c r="U368" s="35">
        <v>177.0</v>
      </c>
      <c r="V368" s="35">
        <v>177.0</v>
      </c>
      <c r="W368" s="35">
        <v>29.0</v>
      </c>
      <c r="X368" s="35">
        <v>20.0</v>
      </c>
      <c r="Y368" s="35">
        <v>4.0</v>
      </c>
      <c r="Z368" s="35">
        <v>2543.0</v>
      </c>
      <c r="AA368" s="35">
        <v>8514.0</v>
      </c>
      <c r="AB368" s="35">
        <v>3762.0</v>
      </c>
      <c r="AC368" s="35">
        <v>12276.0</v>
      </c>
      <c r="AD368" s="35">
        <v>269228.0</v>
      </c>
      <c r="AE368" s="35">
        <v>8514.0</v>
      </c>
      <c r="AF368" s="35">
        <v>191399.0</v>
      </c>
      <c r="AG368" s="35">
        <v>3762.0</v>
      </c>
      <c r="AH368" s="35">
        <v>77829.0</v>
      </c>
    </row>
    <row r="369" ht="14.25" customHeight="1">
      <c r="A369" s="34">
        <v>44255.0</v>
      </c>
      <c r="B369" s="35">
        <v>193.0</v>
      </c>
      <c r="C369" s="35">
        <v>337.0</v>
      </c>
      <c r="D369" s="35">
        <v>150802.0</v>
      </c>
      <c r="E369" s="35">
        <v>6184.0</v>
      </c>
      <c r="F369" s="35">
        <v>2862689.0</v>
      </c>
      <c r="G369" s="35">
        <v>6377.0</v>
      </c>
      <c r="H369" s="35">
        <v>3013491.0</v>
      </c>
      <c r="I369" s="35">
        <v>169.0</v>
      </c>
      <c r="J369" s="35">
        <v>296.0</v>
      </c>
      <c r="K369" s="35">
        <v>126532.0</v>
      </c>
      <c r="L369" s="35">
        <v>722.0</v>
      </c>
      <c r="M369" s="35">
        <v>662934.0</v>
      </c>
      <c r="N369" s="35">
        <v>789466.0</v>
      </c>
      <c r="O369" s="35">
        <v>8.0</v>
      </c>
      <c r="P369" s="35">
        <v>8953.0</v>
      </c>
      <c r="Q369" s="35">
        <v>8.0</v>
      </c>
      <c r="R369" s="35">
        <v>7775.0</v>
      </c>
      <c r="S369" s="35">
        <v>2.0</v>
      </c>
      <c r="T369" s="35">
        <v>1003.0</v>
      </c>
      <c r="U369" s="35">
        <v>175.0</v>
      </c>
      <c r="V369" s="35">
        <v>176.0</v>
      </c>
      <c r="W369" s="35">
        <v>27.0</v>
      </c>
      <c r="X369" s="35">
        <v>18.0</v>
      </c>
      <c r="Y369" s="35">
        <v>3.0</v>
      </c>
      <c r="Z369" s="35">
        <v>2546.0</v>
      </c>
      <c r="AA369" s="35">
        <v>2518.0</v>
      </c>
      <c r="AB369" s="35">
        <v>1352.0</v>
      </c>
      <c r="AC369" s="35">
        <v>3870.0</v>
      </c>
      <c r="AD369" s="35">
        <v>273098.0</v>
      </c>
      <c r="AE369" s="35">
        <v>2518.0</v>
      </c>
      <c r="AF369" s="35">
        <v>193917.0</v>
      </c>
      <c r="AG369" s="35">
        <v>1352.0</v>
      </c>
      <c r="AH369" s="35">
        <v>79181.0</v>
      </c>
    </row>
    <row r="370" ht="14.25" customHeight="1">
      <c r="A370" s="34">
        <v>44256.0</v>
      </c>
      <c r="B370" s="35">
        <v>360.0</v>
      </c>
      <c r="C370" s="35">
        <v>312.0</v>
      </c>
      <c r="D370" s="35">
        <v>151162.0</v>
      </c>
      <c r="E370" s="35">
        <v>11468.0</v>
      </c>
      <c r="F370" s="35">
        <v>2874157.0</v>
      </c>
      <c r="G370" s="35">
        <v>11828.0</v>
      </c>
      <c r="H370" s="35">
        <v>3025319.0</v>
      </c>
      <c r="I370" s="35">
        <v>311.0</v>
      </c>
      <c r="J370" s="35">
        <v>276.0</v>
      </c>
      <c r="K370" s="35">
        <v>126843.0</v>
      </c>
      <c r="L370" s="35">
        <v>1385.0</v>
      </c>
      <c r="M370" s="35">
        <v>664319.0</v>
      </c>
      <c r="N370" s="35">
        <v>791162.0</v>
      </c>
      <c r="O370" s="35">
        <v>14.0</v>
      </c>
      <c r="P370" s="35">
        <v>8967.0</v>
      </c>
      <c r="Q370" s="35">
        <v>21.0</v>
      </c>
      <c r="R370" s="35">
        <v>7796.0</v>
      </c>
      <c r="S370" s="35">
        <v>4.0</v>
      </c>
      <c r="T370" s="35">
        <v>1007.0</v>
      </c>
      <c r="U370" s="35">
        <v>164.0</v>
      </c>
      <c r="V370" s="35">
        <v>172.0</v>
      </c>
      <c r="W370" s="35">
        <v>26.0</v>
      </c>
      <c r="X370" s="35">
        <v>16.0</v>
      </c>
      <c r="Y370" s="35">
        <v>6.0</v>
      </c>
      <c r="Z370" s="35">
        <v>2552.0</v>
      </c>
      <c r="AA370" s="35">
        <v>4816.0</v>
      </c>
      <c r="AB370" s="35">
        <v>1484.0</v>
      </c>
      <c r="AC370" s="35">
        <v>6300.0</v>
      </c>
      <c r="AD370" s="35">
        <v>279398.0</v>
      </c>
      <c r="AE370" s="35">
        <v>4816.0</v>
      </c>
      <c r="AF370" s="35">
        <v>198733.0</v>
      </c>
      <c r="AG370" s="35">
        <v>1484.0</v>
      </c>
      <c r="AH370" s="35">
        <v>80665.0</v>
      </c>
    </row>
    <row r="371" ht="14.25" customHeight="1">
      <c r="A371" s="34">
        <v>44257.0</v>
      </c>
      <c r="B371" s="35">
        <v>481.0</v>
      </c>
      <c r="C371" s="35">
        <v>345.0</v>
      </c>
      <c r="D371" s="35">
        <v>151643.0</v>
      </c>
      <c r="E371" s="35">
        <v>20959.0</v>
      </c>
      <c r="F371" s="35">
        <v>2895116.0</v>
      </c>
      <c r="G371" s="35">
        <v>21440.0</v>
      </c>
      <c r="H371" s="35">
        <v>3046759.0</v>
      </c>
      <c r="I371" s="35">
        <v>452.0</v>
      </c>
      <c r="J371" s="35">
        <v>311.0</v>
      </c>
      <c r="K371" s="35">
        <v>127295.0</v>
      </c>
      <c r="L371" s="35">
        <v>1704.0</v>
      </c>
      <c r="M371" s="35">
        <v>666023.0</v>
      </c>
      <c r="N371" s="35">
        <v>793318.0</v>
      </c>
      <c r="O371" s="35">
        <v>23.0</v>
      </c>
      <c r="P371" s="35">
        <v>8990.0</v>
      </c>
      <c r="Q371" s="35">
        <v>23.0</v>
      </c>
      <c r="R371" s="35">
        <v>7819.0</v>
      </c>
      <c r="S371" s="35">
        <v>0.0</v>
      </c>
      <c r="T371" s="35">
        <v>1007.0</v>
      </c>
      <c r="U371" s="35">
        <v>164.0</v>
      </c>
      <c r="V371" s="35">
        <v>168.0</v>
      </c>
      <c r="W371" s="35">
        <v>27.0</v>
      </c>
      <c r="X371" s="35">
        <v>18.0</v>
      </c>
      <c r="Y371" s="35">
        <v>0.0</v>
      </c>
      <c r="Z371" s="35">
        <v>2552.0</v>
      </c>
      <c r="AA371" s="35">
        <v>6219.0</v>
      </c>
      <c r="AB371" s="35">
        <v>1361.0</v>
      </c>
      <c r="AC371" s="35">
        <v>7580.0</v>
      </c>
      <c r="AD371" s="35">
        <v>286978.0</v>
      </c>
      <c r="AE371" s="35">
        <v>6219.0</v>
      </c>
      <c r="AF371" s="35">
        <v>204952.0</v>
      </c>
      <c r="AG371" s="35">
        <v>1361.0</v>
      </c>
      <c r="AH371" s="35">
        <v>82026.0</v>
      </c>
    </row>
    <row r="372" ht="14.25" customHeight="1">
      <c r="A372" s="34">
        <v>44258.0</v>
      </c>
      <c r="B372" s="35">
        <v>474.0</v>
      </c>
      <c r="C372" s="35">
        <v>438.0</v>
      </c>
      <c r="D372" s="35">
        <v>152117.0</v>
      </c>
      <c r="E372" s="35">
        <v>24228.0</v>
      </c>
      <c r="F372" s="35">
        <v>2919344.0</v>
      </c>
      <c r="G372" s="35">
        <v>24702.0</v>
      </c>
      <c r="H372" s="35">
        <v>3071461.0</v>
      </c>
      <c r="I372" s="35">
        <v>422.0</v>
      </c>
      <c r="J372" s="35">
        <v>395.0</v>
      </c>
      <c r="K372" s="35">
        <v>127717.0</v>
      </c>
      <c r="L372" s="35">
        <v>1828.0</v>
      </c>
      <c r="M372" s="35">
        <v>667851.0</v>
      </c>
      <c r="N372" s="35">
        <v>795568.0</v>
      </c>
      <c r="O372" s="35">
        <v>16.0</v>
      </c>
      <c r="P372" s="35">
        <v>9006.0</v>
      </c>
      <c r="Q372" s="35">
        <v>23.0</v>
      </c>
      <c r="R372" s="35">
        <v>7842.0</v>
      </c>
      <c r="S372" s="35">
        <v>2.0</v>
      </c>
      <c r="T372" s="35">
        <v>1009.0</v>
      </c>
      <c r="U372" s="35">
        <v>155.0</v>
      </c>
      <c r="V372" s="35">
        <v>161.0</v>
      </c>
      <c r="W372" s="35">
        <v>28.0</v>
      </c>
      <c r="X372" s="35">
        <v>17.0</v>
      </c>
      <c r="Y372" s="35">
        <v>3.0</v>
      </c>
      <c r="Z372" s="35">
        <v>2555.0</v>
      </c>
      <c r="AA372" s="35">
        <v>7629.0</v>
      </c>
      <c r="AB372" s="35">
        <v>3151.0</v>
      </c>
      <c r="AC372" s="35">
        <v>10780.0</v>
      </c>
      <c r="AD372" s="35">
        <v>297758.0</v>
      </c>
      <c r="AE372" s="35">
        <v>7629.0</v>
      </c>
      <c r="AF372" s="35">
        <v>212581.0</v>
      </c>
      <c r="AG372" s="35">
        <v>3151.0</v>
      </c>
      <c r="AH372" s="35">
        <v>85177.0</v>
      </c>
    </row>
    <row r="373" ht="14.25" customHeight="1">
      <c r="A373" s="34">
        <v>44259.0</v>
      </c>
      <c r="B373" s="35">
        <v>429.0</v>
      </c>
      <c r="C373" s="35">
        <v>461.0</v>
      </c>
      <c r="D373" s="35">
        <v>152546.0</v>
      </c>
      <c r="E373" s="35">
        <v>20740.0</v>
      </c>
      <c r="F373" s="35">
        <v>2940084.0</v>
      </c>
      <c r="G373" s="35">
        <v>21169.0</v>
      </c>
      <c r="H373" s="35">
        <v>3092630.0</v>
      </c>
      <c r="I373" s="35">
        <v>381.0</v>
      </c>
      <c r="J373" s="35">
        <v>418.0</v>
      </c>
      <c r="K373" s="35">
        <v>128098.0</v>
      </c>
      <c r="L373" s="35">
        <v>1722.0</v>
      </c>
      <c r="M373" s="35">
        <v>669573.0</v>
      </c>
      <c r="N373" s="35">
        <v>797671.0</v>
      </c>
      <c r="O373" s="39">
        <v>22.0</v>
      </c>
      <c r="P373" s="39">
        <v>9028.0</v>
      </c>
      <c r="Q373" s="39">
        <v>28.0</v>
      </c>
      <c r="R373" s="39">
        <v>7870.0</v>
      </c>
      <c r="S373" s="39">
        <v>2.0</v>
      </c>
      <c r="T373" s="39">
        <v>1011.0</v>
      </c>
      <c r="U373" s="39">
        <v>147.0</v>
      </c>
      <c r="V373" s="39">
        <v>155.0</v>
      </c>
      <c r="W373" s="39">
        <v>26.0</v>
      </c>
      <c r="X373" s="39">
        <v>17.0</v>
      </c>
      <c r="Y373" s="35">
        <v>2.0</v>
      </c>
      <c r="Z373" s="35">
        <v>2557.0</v>
      </c>
      <c r="AA373" s="35">
        <v>6757.0</v>
      </c>
      <c r="AB373" s="35">
        <v>2828.0</v>
      </c>
      <c r="AC373" s="35">
        <v>9585.0</v>
      </c>
      <c r="AD373" s="35">
        <v>307343.0</v>
      </c>
      <c r="AE373" s="35">
        <v>6757.0</v>
      </c>
      <c r="AF373" s="35">
        <v>219338.0</v>
      </c>
      <c r="AG373" s="35">
        <v>2828.0</v>
      </c>
      <c r="AH373" s="35">
        <v>88005.0</v>
      </c>
    </row>
    <row r="374" ht="14.25" customHeight="1">
      <c r="A374" s="34">
        <v>44260.0</v>
      </c>
      <c r="B374" s="35">
        <v>424.0</v>
      </c>
      <c r="C374" s="35">
        <v>442.0</v>
      </c>
      <c r="D374" s="35">
        <v>152970.0</v>
      </c>
      <c r="E374" s="35">
        <v>18659.0</v>
      </c>
      <c r="F374" s="35">
        <v>2958743.0</v>
      </c>
      <c r="G374" s="35">
        <v>19083.0</v>
      </c>
      <c r="H374" s="35">
        <v>3111713.0</v>
      </c>
      <c r="I374" s="35">
        <v>364.0</v>
      </c>
      <c r="J374" s="35">
        <v>389.0</v>
      </c>
      <c r="K374" s="35">
        <v>128462.0</v>
      </c>
      <c r="L374" s="35">
        <v>1860.0</v>
      </c>
      <c r="M374" s="35">
        <v>671433.0</v>
      </c>
      <c r="N374" s="35">
        <v>799895.0</v>
      </c>
      <c r="O374" s="39">
        <v>19.0</v>
      </c>
      <c r="P374" s="39">
        <v>9047.0</v>
      </c>
      <c r="Q374" s="39">
        <v>18.0</v>
      </c>
      <c r="R374" s="39">
        <v>7888.0</v>
      </c>
      <c r="S374" s="39">
        <v>2.0</v>
      </c>
      <c r="T374" s="39">
        <v>1013.0</v>
      </c>
      <c r="U374" s="39">
        <v>146.0</v>
      </c>
      <c r="V374" s="39">
        <v>149.0</v>
      </c>
      <c r="W374" s="39">
        <v>25.0</v>
      </c>
      <c r="X374" s="39">
        <v>17.0</v>
      </c>
      <c r="Y374" s="35">
        <v>3.0</v>
      </c>
      <c r="Z374" s="35">
        <v>2560.0</v>
      </c>
      <c r="AA374" s="35">
        <v>6325.0</v>
      </c>
      <c r="AB374" s="35">
        <v>2846.0</v>
      </c>
      <c r="AC374" s="35">
        <v>9171.0</v>
      </c>
      <c r="AD374" s="35">
        <v>316514.0</v>
      </c>
      <c r="AE374" s="35">
        <v>6325.0</v>
      </c>
      <c r="AF374" s="35">
        <v>225663.0</v>
      </c>
      <c r="AG374" s="35">
        <v>2846.0</v>
      </c>
      <c r="AH374" s="35">
        <v>90851.0</v>
      </c>
    </row>
    <row r="375" ht="14.25" customHeight="1">
      <c r="A375" s="34">
        <v>44261.0</v>
      </c>
      <c r="B375" s="35">
        <v>299.0</v>
      </c>
      <c r="C375" s="35">
        <v>384.0</v>
      </c>
      <c r="D375" s="35">
        <v>153269.0</v>
      </c>
      <c r="E375" s="35">
        <v>13482.0</v>
      </c>
      <c r="F375" s="35">
        <v>2972225.0</v>
      </c>
      <c r="G375" s="35">
        <v>13781.0</v>
      </c>
      <c r="H375" s="35">
        <v>3125494.0</v>
      </c>
      <c r="I375" s="35">
        <v>228.0</v>
      </c>
      <c r="J375" s="35">
        <v>324.0</v>
      </c>
      <c r="K375" s="35">
        <v>128690.0</v>
      </c>
      <c r="L375" s="35">
        <v>1447.0</v>
      </c>
      <c r="M375" s="35">
        <v>672880.0</v>
      </c>
      <c r="N375" s="35">
        <v>801570.0</v>
      </c>
      <c r="O375" s="39">
        <v>16.0</v>
      </c>
      <c r="P375" s="39">
        <v>9063.0</v>
      </c>
      <c r="Q375" s="39">
        <v>16.0</v>
      </c>
      <c r="R375" s="39">
        <v>7904.0</v>
      </c>
      <c r="S375" s="39">
        <v>1.0</v>
      </c>
      <c r="T375" s="39">
        <v>1014.0</v>
      </c>
      <c r="U375" s="39">
        <v>145.0</v>
      </c>
      <c r="V375" s="39">
        <v>146.0</v>
      </c>
      <c r="W375" s="39">
        <v>24.0</v>
      </c>
      <c r="X375" s="39">
        <v>19.0</v>
      </c>
      <c r="Y375" s="35">
        <v>1.0</v>
      </c>
      <c r="Z375" s="35">
        <v>2561.0</v>
      </c>
      <c r="AA375" s="35">
        <v>7791.0</v>
      </c>
      <c r="AB375" s="35">
        <v>2380.0</v>
      </c>
      <c r="AC375" s="35">
        <v>10171.0</v>
      </c>
      <c r="AD375" s="35">
        <v>326685.0</v>
      </c>
      <c r="AE375" s="35">
        <v>7791.0</v>
      </c>
      <c r="AF375" s="35">
        <v>233454.0</v>
      </c>
      <c r="AG375" s="35">
        <v>2771.0</v>
      </c>
      <c r="AH375" s="35">
        <v>93622.0</v>
      </c>
    </row>
    <row r="376" ht="14.25" customHeight="1">
      <c r="A376" s="34">
        <v>44262.0</v>
      </c>
      <c r="B376" s="35">
        <v>244.0</v>
      </c>
      <c r="C376" s="35">
        <v>322.0</v>
      </c>
      <c r="D376" s="35">
        <v>153513.0</v>
      </c>
      <c r="E376" s="35">
        <v>5098.0</v>
      </c>
      <c r="F376" s="35">
        <v>2977323.0</v>
      </c>
      <c r="G376" s="35">
        <v>5342.0</v>
      </c>
      <c r="H376" s="35">
        <v>3130836.0</v>
      </c>
      <c r="I376" s="35">
        <v>191.0</v>
      </c>
      <c r="J376" s="35">
        <v>261.0</v>
      </c>
      <c r="K376" s="35">
        <v>128881.0</v>
      </c>
      <c r="L376" s="35">
        <v>678.0</v>
      </c>
      <c r="M376" s="35">
        <v>673558.0</v>
      </c>
      <c r="N376" s="35">
        <v>802439.0</v>
      </c>
      <c r="O376" s="39">
        <v>13.0</v>
      </c>
      <c r="P376" s="39">
        <v>9076.0</v>
      </c>
      <c r="Q376" s="39">
        <v>6.0</v>
      </c>
      <c r="R376" s="39">
        <v>7910.0</v>
      </c>
      <c r="S376" s="39">
        <v>0.0</v>
      </c>
      <c r="T376" s="39">
        <v>1014.0</v>
      </c>
      <c r="U376" s="39">
        <v>152.0</v>
      </c>
      <c r="V376" s="39">
        <v>148.0</v>
      </c>
      <c r="W376" s="39">
        <v>23.0</v>
      </c>
      <c r="X376" s="39">
        <v>17.0</v>
      </c>
      <c r="Y376" s="35">
        <v>4.0</v>
      </c>
      <c r="Z376" s="35">
        <v>2565.0</v>
      </c>
      <c r="AA376" s="35">
        <v>3030.0</v>
      </c>
      <c r="AB376" s="35">
        <v>435.0</v>
      </c>
      <c r="AC376" s="35">
        <v>3465.0</v>
      </c>
      <c r="AD376" s="35">
        <v>330150.0</v>
      </c>
      <c r="AE376" s="35">
        <v>3030.0</v>
      </c>
      <c r="AF376" s="35">
        <v>236484.0</v>
      </c>
      <c r="AG376" s="35">
        <v>816.0</v>
      </c>
      <c r="AH376" s="35">
        <v>94438.0</v>
      </c>
    </row>
    <row r="377" ht="14.25" customHeight="1">
      <c r="A377" s="34">
        <v>44263.0</v>
      </c>
      <c r="B377" s="35">
        <v>368.0</v>
      </c>
      <c r="C377" s="35">
        <v>304.0</v>
      </c>
      <c r="D377" s="35">
        <v>153881.0</v>
      </c>
      <c r="E377" s="35">
        <v>12282.0</v>
      </c>
      <c r="F377" s="35">
        <v>2989605.0</v>
      </c>
      <c r="G377" s="35">
        <v>12650.0</v>
      </c>
      <c r="H377" s="35">
        <v>3143486.0</v>
      </c>
      <c r="I377" s="35">
        <v>312.0</v>
      </c>
      <c r="J377" s="35">
        <v>244.0</v>
      </c>
      <c r="K377" s="35">
        <v>129193.0</v>
      </c>
      <c r="L377" s="35">
        <v>1435.0</v>
      </c>
      <c r="M377" s="35">
        <v>674993.0</v>
      </c>
      <c r="N377" s="35">
        <v>804186.0</v>
      </c>
      <c r="O377" s="39">
        <v>25.0</v>
      </c>
      <c r="P377" s="39">
        <v>9101.0</v>
      </c>
      <c r="Q377" s="39">
        <v>22.0</v>
      </c>
      <c r="R377" s="39">
        <v>7932.0</v>
      </c>
      <c r="S377" s="39">
        <v>1.0</v>
      </c>
      <c r="T377" s="39">
        <v>1015.0</v>
      </c>
      <c r="U377" s="39">
        <v>154.0</v>
      </c>
      <c r="V377" s="39">
        <v>150.0</v>
      </c>
      <c r="W377" s="39">
        <v>24.0</v>
      </c>
      <c r="X377" s="39">
        <v>17.0</v>
      </c>
      <c r="Y377" s="35">
        <v>1.0</v>
      </c>
      <c r="Z377" s="35">
        <v>2566.0</v>
      </c>
      <c r="AA377" s="35">
        <v>4587.0</v>
      </c>
      <c r="AB377" s="35">
        <v>1637.0</v>
      </c>
      <c r="AC377" s="35">
        <v>6224.0</v>
      </c>
      <c r="AD377" s="35">
        <v>336374.0</v>
      </c>
      <c r="AE377" s="35">
        <v>4587.0</v>
      </c>
      <c r="AF377" s="35">
        <v>241071.0</v>
      </c>
      <c r="AG377" s="35">
        <v>2138.0</v>
      </c>
      <c r="AH377" s="35">
        <v>96576.0</v>
      </c>
    </row>
    <row r="378" ht="14.25" customHeight="1">
      <c r="A378" s="34">
        <v>44264.0</v>
      </c>
      <c r="B378" s="35">
        <v>427.0</v>
      </c>
      <c r="C378" s="35">
        <v>346.0</v>
      </c>
      <c r="D378" s="35">
        <v>154308.0</v>
      </c>
      <c r="E378" s="35">
        <v>19752.0</v>
      </c>
      <c r="F378" s="35">
        <v>3009357.0</v>
      </c>
      <c r="G378" s="35">
        <v>20179.0</v>
      </c>
      <c r="H378" s="35">
        <v>3163665.0</v>
      </c>
      <c r="I378" s="35">
        <v>402.0</v>
      </c>
      <c r="J378" s="35">
        <v>302.0</v>
      </c>
      <c r="K378" s="35">
        <v>129595.0</v>
      </c>
      <c r="L378" s="35">
        <v>1849.0</v>
      </c>
      <c r="M378" s="35">
        <v>676842.0</v>
      </c>
      <c r="N378" s="35">
        <v>806437.0</v>
      </c>
      <c r="O378" s="39">
        <v>24.0</v>
      </c>
      <c r="P378" s="39">
        <v>9125.0</v>
      </c>
      <c r="Q378" s="39">
        <v>24.0</v>
      </c>
      <c r="R378" s="39">
        <v>7956.0</v>
      </c>
      <c r="S378" s="39">
        <v>2.0</v>
      </c>
      <c r="T378" s="39">
        <v>1017.0</v>
      </c>
      <c r="U378" s="39">
        <v>152.0</v>
      </c>
      <c r="V378" s="39">
        <v>153.0</v>
      </c>
      <c r="W378" s="39">
        <v>27.0</v>
      </c>
      <c r="X378" s="39">
        <v>17.0</v>
      </c>
      <c r="Y378" s="35">
        <v>2.0</v>
      </c>
      <c r="Z378" s="35">
        <v>2568.0</v>
      </c>
      <c r="AA378" s="35">
        <v>5136.0</v>
      </c>
      <c r="AB378" s="35">
        <v>2471.0</v>
      </c>
      <c r="AC378" s="35">
        <v>7607.0</v>
      </c>
      <c r="AD378" s="35">
        <v>343981.0</v>
      </c>
      <c r="AE378" s="35">
        <v>5136.0</v>
      </c>
      <c r="AF378" s="35">
        <v>246207.0</v>
      </c>
      <c r="AG378" s="35">
        <v>3259.0</v>
      </c>
      <c r="AH378" s="35">
        <v>99835.0</v>
      </c>
    </row>
    <row r="379" ht="14.25" customHeight="1">
      <c r="A379" s="34">
        <v>44265.0</v>
      </c>
      <c r="B379" s="35">
        <v>538.0</v>
      </c>
      <c r="C379" s="35">
        <v>444.0</v>
      </c>
      <c r="D379" s="35">
        <v>154846.0</v>
      </c>
      <c r="E379" s="35">
        <v>25658.0</v>
      </c>
      <c r="F379" s="35">
        <v>3035015.0</v>
      </c>
      <c r="G379" s="35">
        <v>26196.0</v>
      </c>
      <c r="H379" s="35">
        <v>3189861.0</v>
      </c>
      <c r="I379" s="35">
        <v>435.0</v>
      </c>
      <c r="J379" s="35">
        <v>383.0</v>
      </c>
      <c r="K379" s="35">
        <v>130030.0</v>
      </c>
      <c r="L379" s="35">
        <v>2051.0</v>
      </c>
      <c r="M379" s="35">
        <v>678893.0</v>
      </c>
      <c r="N379" s="35">
        <v>808923.0</v>
      </c>
      <c r="O379" s="39">
        <v>19.0</v>
      </c>
      <c r="P379" s="39">
        <v>9144.0</v>
      </c>
      <c r="Q379" s="39">
        <v>26.0</v>
      </c>
      <c r="R379" s="39">
        <v>7982.0</v>
      </c>
      <c r="S379" s="39">
        <v>0.0</v>
      </c>
      <c r="T379" s="39">
        <v>1017.0</v>
      </c>
      <c r="U379" s="39">
        <v>145.0</v>
      </c>
      <c r="V379" s="39">
        <v>150.0</v>
      </c>
      <c r="W379" s="39">
        <v>25.0</v>
      </c>
      <c r="X379" s="39">
        <v>18.0</v>
      </c>
      <c r="Y379" s="35">
        <v>6.0</v>
      </c>
      <c r="Z379" s="35">
        <v>2574.0</v>
      </c>
      <c r="AA379" s="35">
        <v>5725.0</v>
      </c>
      <c r="AB379" s="35">
        <v>2672.0</v>
      </c>
      <c r="AC379" s="35">
        <v>8397.0</v>
      </c>
      <c r="AD379" s="35">
        <v>352378.0</v>
      </c>
      <c r="AE379" s="35">
        <v>5725.0</v>
      </c>
      <c r="AF379" s="35">
        <v>251932.0</v>
      </c>
      <c r="AG379" s="35">
        <v>3245.0</v>
      </c>
      <c r="AH379" s="35">
        <v>103080.0</v>
      </c>
    </row>
    <row r="380" ht="14.25" customHeight="1">
      <c r="A380" s="34">
        <v>44266.0</v>
      </c>
      <c r="B380" s="35">
        <v>415.0</v>
      </c>
      <c r="C380" s="35">
        <v>460.0</v>
      </c>
      <c r="D380" s="35">
        <v>155261.0</v>
      </c>
      <c r="E380" s="35">
        <v>21024.0</v>
      </c>
      <c r="F380" s="35">
        <v>3056039.0</v>
      </c>
      <c r="G380" s="35">
        <v>21439.0</v>
      </c>
      <c r="H380" s="35">
        <v>3211300.0</v>
      </c>
      <c r="I380" s="35">
        <v>350.0</v>
      </c>
      <c r="J380" s="35">
        <v>396.0</v>
      </c>
      <c r="K380" s="35">
        <v>130380.0</v>
      </c>
      <c r="L380" s="35">
        <v>2095.0</v>
      </c>
      <c r="M380" s="35">
        <v>680988.0</v>
      </c>
      <c r="N380" s="35">
        <v>811368.0</v>
      </c>
      <c r="O380" s="39">
        <v>21.0</v>
      </c>
      <c r="P380" s="39">
        <v>9165.0</v>
      </c>
      <c r="Q380" s="39">
        <v>14.0</v>
      </c>
      <c r="R380" s="39">
        <v>7996.0</v>
      </c>
      <c r="S380" s="39">
        <v>3.0</v>
      </c>
      <c r="T380" s="39">
        <v>1020.0</v>
      </c>
      <c r="U380" s="39">
        <v>149.0</v>
      </c>
      <c r="V380" s="39">
        <v>149.0</v>
      </c>
      <c r="W380" s="39">
        <v>25.0</v>
      </c>
      <c r="X380" s="39">
        <v>16.0</v>
      </c>
      <c r="Y380" s="35">
        <v>3.0</v>
      </c>
      <c r="Z380" s="35">
        <v>2577.0</v>
      </c>
      <c r="AA380" s="35">
        <v>7253.0</v>
      </c>
      <c r="AB380" s="35">
        <v>3105.0</v>
      </c>
      <c r="AC380" s="35">
        <v>10358.0</v>
      </c>
      <c r="AD380" s="35">
        <v>362736.0</v>
      </c>
      <c r="AE380" s="35">
        <v>7253.0</v>
      </c>
      <c r="AF380" s="35">
        <v>259185.0</v>
      </c>
      <c r="AG380" s="35">
        <v>4590.0</v>
      </c>
      <c r="AH380" s="35">
        <v>107670.0</v>
      </c>
    </row>
    <row r="381" ht="14.25" customHeight="1">
      <c r="A381" s="34">
        <v>44267.0</v>
      </c>
      <c r="B381" s="35">
        <v>428.0</v>
      </c>
      <c r="C381" s="35">
        <v>460.0</v>
      </c>
      <c r="D381" s="35">
        <v>155689.0</v>
      </c>
      <c r="E381" s="35">
        <v>18121.0</v>
      </c>
      <c r="F381" s="35">
        <v>3074160.0</v>
      </c>
      <c r="G381" s="35">
        <v>18549.0</v>
      </c>
      <c r="H381" s="35">
        <v>3229849.0</v>
      </c>
      <c r="I381" s="35">
        <v>363.0</v>
      </c>
      <c r="J381" s="35">
        <v>383.0</v>
      </c>
      <c r="K381" s="35">
        <v>130743.0</v>
      </c>
      <c r="L381" s="35">
        <v>1903.0</v>
      </c>
      <c r="M381" s="35">
        <v>682891.0</v>
      </c>
      <c r="N381" s="35">
        <v>813634.0</v>
      </c>
      <c r="O381" s="39">
        <v>24.0</v>
      </c>
      <c r="P381" s="39">
        <v>9189.0</v>
      </c>
      <c r="Q381" s="39">
        <v>28.0</v>
      </c>
      <c r="R381" s="39">
        <v>8024.0</v>
      </c>
      <c r="S381" s="39">
        <v>0.0</v>
      </c>
      <c r="T381" s="39">
        <v>1020.0</v>
      </c>
      <c r="U381" s="39">
        <v>145.0</v>
      </c>
      <c r="V381" s="39">
        <v>146.0</v>
      </c>
      <c r="W381" s="39">
        <v>24.0</v>
      </c>
      <c r="X381" s="39">
        <v>15.0</v>
      </c>
      <c r="Y381" s="35">
        <v>1.0</v>
      </c>
      <c r="Z381" s="35">
        <v>2578.0</v>
      </c>
      <c r="AA381" s="35">
        <v>8577.0</v>
      </c>
      <c r="AB381" s="35">
        <v>3200.0</v>
      </c>
      <c r="AC381" s="35">
        <v>11777.0</v>
      </c>
      <c r="AD381" s="35">
        <v>374513.0</v>
      </c>
      <c r="AE381" s="35">
        <v>8577.0</v>
      </c>
      <c r="AF381" s="35">
        <v>267762.0</v>
      </c>
      <c r="AG381" s="35">
        <v>3874.0</v>
      </c>
      <c r="AH381" s="35">
        <v>111544.0</v>
      </c>
    </row>
    <row r="382" ht="14.25" customHeight="1">
      <c r="A382" s="34">
        <v>44268.0</v>
      </c>
      <c r="B382" s="35">
        <v>357.0</v>
      </c>
      <c r="C382" s="35">
        <v>400.0</v>
      </c>
      <c r="D382" s="35">
        <v>156046.0</v>
      </c>
      <c r="E382" s="35">
        <v>13290.0</v>
      </c>
      <c r="F382" s="35">
        <v>3087450.0</v>
      </c>
      <c r="G382" s="35">
        <v>13647.0</v>
      </c>
      <c r="H382" s="35">
        <v>3243496.0</v>
      </c>
      <c r="I382" s="35">
        <v>299.0</v>
      </c>
      <c r="J382" s="35">
        <v>337.0</v>
      </c>
      <c r="K382" s="35">
        <v>131042.0</v>
      </c>
      <c r="L382" s="35">
        <v>1577.0</v>
      </c>
      <c r="M382" s="35">
        <v>684468.0</v>
      </c>
      <c r="N382" s="35">
        <v>815510.0</v>
      </c>
      <c r="O382" s="39">
        <v>16.0</v>
      </c>
      <c r="P382" s="39">
        <v>9205.0</v>
      </c>
      <c r="Q382" s="39">
        <v>13.0</v>
      </c>
      <c r="R382" s="39">
        <v>8037.0</v>
      </c>
      <c r="S382" s="39">
        <v>3.0</v>
      </c>
      <c r="T382" s="39">
        <v>1023.0</v>
      </c>
      <c r="U382" s="39">
        <v>145.0</v>
      </c>
      <c r="V382" s="39">
        <v>146.0</v>
      </c>
      <c r="W382" s="39">
        <v>21.0</v>
      </c>
      <c r="X382" s="39">
        <v>15.0</v>
      </c>
      <c r="Y382" s="35">
        <v>5.0</v>
      </c>
      <c r="Z382" s="35">
        <v>2583.0</v>
      </c>
      <c r="AA382" s="35">
        <v>8831.0</v>
      </c>
      <c r="AB382" s="35">
        <v>3087.0</v>
      </c>
      <c r="AC382" s="35">
        <v>11918.0</v>
      </c>
      <c r="AD382" s="35">
        <v>386431.0</v>
      </c>
      <c r="AE382" s="35">
        <v>8831.0</v>
      </c>
      <c r="AF382" s="35">
        <v>276593.0</v>
      </c>
      <c r="AG382" s="35">
        <v>4804.0</v>
      </c>
      <c r="AH382" s="35">
        <v>116348.0</v>
      </c>
    </row>
    <row r="383" ht="14.25" customHeight="1">
      <c r="A383" s="34">
        <v>44269.0</v>
      </c>
      <c r="B383" s="35">
        <v>163.0</v>
      </c>
      <c r="C383" s="35">
        <v>316.0</v>
      </c>
      <c r="D383" s="35">
        <v>156209.0</v>
      </c>
      <c r="E383" s="35">
        <v>4459.0</v>
      </c>
      <c r="F383" s="35">
        <v>3091909.0</v>
      </c>
      <c r="G383" s="35">
        <v>4622.0</v>
      </c>
      <c r="H383" s="35">
        <v>3248118.0</v>
      </c>
      <c r="I383" s="35">
        <v>143.0</v>
      </c>
      <c r="J383" s="35">
        <v>268.0</v>
      </c>
      <c r="K383" s="35">
        <v>131185.0</v>
      </c>
      <c r="L383" s="35">
        <v>654.0</v>
      </c>
      <c r="M383" s="35">
        <v>685122.0</v>
      </c>
      <c r="N383" s="35">
        <v>816307.0</v>
      </c>
      <c r="O383" s="39">
        <v>17.0</v>
      </c>
      <c r="P383" s="39">
        <v>9222.0</v>
      </c>
      <c r="Q383" s="39">
        <v>18.0</v>
      </c>
      <c r="R383" s="39">
        <v>8055.0</v>
      </c>
      <c r="S383" s="39">
        <v>1.0</v>
      </c>
      <c r="T383" s="39">
        <v>1024.0</v>
      </c>
      <c r="U383" s="39">
        <v>143.0</v>
      </c>
      <c r="V383" s="39">
        <v>144.0</v>
      </c>
      <c r="W383" s="39">
        <v>19.0</v>
      </c>
      <c r="X383" s="39">
        <v>15.0</v>
      </c>
      <c r="Y383" s="35">
        <v>2.0</v>
      </c>
      <c r="Z383" s="35">
        <v>2585.0</v>
      </c>
      <c r="AA383" s="35">
        <v>2629.0</v>
      </c>
      <c r="AB383" s="35">
        <v>604.0</v>
      </c>
      <c r="AC383" s="35">
        <v>3233.0</v>
      </c>
      <c r="AD383" s="35">
        <v>389664.0</v>
      </c>
      <c r="AE383" s="35">
        <v>2629.0</v>
      </c>
      <c r="AF383" s="35">
        <v>279222.0</v>
      </c>
      <c r="AG383" s="35">
        <v>932.0</v>
      </c>
      <c r="AH383" s="35">
        <v>117280.0</v>
      </c>
    </row>
    <row r="384" ht="14.25" customHeight="1">
      <c r="A384" s="34">
        <v>44270.0</v>
      </c>
      <c r="B384" s="35">
        <v>318.0</v>
      </c>
      <c r="C384" s="35">
        <v>279.0</v>
      </c>
      <c r="D384" s="35">
        <v>156527.0</v>
      </c>
      <c r="E384" s="35">
        <v>11034.0</v>
      </c>
      <c r="F384" s="35">
        <v>3102943.0</v>
      </c>
      <c r="G384" s="35">
        <v>11352.0</v>
      </c>
      <c r="H384" s="35">
        <v>3259470.0</v>
      </c>
      <c r="I384" s="35">
        <v>281.0</v>
      </c>
      <c r="J384" s="35">
        <v>241.0</v>
      </c>
      <c r="K384" s="35">
        <v>131466.0</v>
      </c>
      <c r="L384" s="35">
        <v>1322.0</v>
      </c>
      <c r="M384" s="35">
        <v>686444.0</v>
      </c>
      <c r="N384" s="35">
        <v>817910.0</v>
      </c>
      <c r="O384" s="39">
        <v>15.0</v>
      </c>
      <c r="P384" s="39">
        <v>9237.0</v>
      </c>
      <c r="Q384" s="39">
        <v>21.0</v>
      </c>
      <c r="R384" s="39">
        <v>8076.0</v>
      </c>
      <c r="S384" s="39">
        <v>2.0</v>
      </c>
      <c r="T384" s="39">
        <v>1026.0</v>
      </c>
      <c r="U384" s="39">
        <v>135.0</v>
      </c>
      <c r="V384" s="39">
        <v>141.0</v>
      </c>
      <c r="W384" s="39">
        <v>16.0</v>
      </c>
      <c r="X384" s="39">
        <v>12.0</v>
      </c>
      <c r="Y384" s="35">
        <v>4.0</v>
      </c>
      <c r="Z384" s="35">
        <v>2589.0</v>
      </c>
      <c r="AA384" s="35">
        <v>2347.0</v>
      </c>
      <c r="AB384" s="35">
        <v>4574.0</v>
      </c>
      <c r="AC384" s="35">
        <v>6921.0</v>
      </c>
      <c r="AD384" s="35">
        <v>396585.0</v>
      </c>
      <c r="AE384" s="35">
        <v>2347.0</v>
      </c>
      <c r="AF384" s="35">
        <v>281569.0</v>
      </c>
      <c r="AG384" s="35">
        <v>4661.0</v>
      </c>
      <c r="AH384" s="35">
        <v>121941.0</v>
      </c>
    </row>
    <row r="385" ht="14.25" customHeight="1">
      <c r="A385" s="34">
        <v>44271.0</v>
      </c>
      <c r="B385" s="35">
        <v>509.0</v>
      </c>
      <c r="C385" s="35">
        <v>330.0</v>
      </c>
      <c r="D385" s="35">
        <v>157036.0</v>
      </c>
      <c r="E385" s="35">
        <v>21490.0</v>
      </c>
      <c r="F385" s="35">
        <v>3124433.0</v>
      </c>
      <c r="G385" s="35">
        <v>21999.0</v>
      </c>
      <c r="H385" s="35">
        <v>3281469.0</v>
      </c>
      <c r="I385" s="35">
        <v>431.0</v>
      </c>
      <c r="J385" s="35">
        <v>285.0</v>
      </c>
      <c r="K385" s="35">
        <v>131897.0</v>
      </c>
      <c r="L385" s="35">
        <v>1742.0</v>
      </c>
      <c r="M385" s="35">
        <v>688186.0</v>
      </c>
      <c r="N385" s="35">
        <v>820083.0</v>
      </c>
      <c r="O385" s="39">
        <v>16.0</v>
      </c>
      <c r="P385" s="39">
        <v>9253.0</v>
      </c>
      <c r="Q385" s="39">
        <v>16.0</v>
      </c>
      <c r="R385" s="39">
        <v>8092.0</v>
      </c>
      <c r="S385" s="39">
        <v>3.0</v>
      </c>
      <c r="T385" s="39">
        <v>1029.0</v>
      </c>
      <c r="U385" s="39">
        <v>132.0</v>
      </c>
      <c r="V385" s="39">
        <v>137.0</v>
      </c>
      <c r="W385" s="39">
        <v>17.0</v>
      </c>
      <c r="X385" s="39">
        <v>11.0</v>
      </c>
      <c r="Y385" s="35">
        <v>3.0</v>
      </c>
      <c r="Z385" s="35">
        <v>2592.0</v>
      </c>
      <c r="AA385" s="35">
        <v>3864.0</v>
      </c>
      <c r="AB385" s="35">
        <v>8955.0</v>
      </c>
      <c r="AC385" s="35">
        <v>12819.0</v>
      </c>
      <c r="AD385" s="35">
        <v>409404.0</v>
      </c>
      <c r="AE385" s="35">
        <v>3864.0</v>
      </c>
      <c r="AF385" s="35">
        <v>285433.0</v>
      </c>
      <c r="AG385" s="35">
        <v>9645.0</v>
      </c>
      <c r="AH385" s="35">
        <v>131586.0</v>
      </c>
    </row>
    <row r="386" ht="14.25" customHeight="1">
      <c r="A386" s="34">
        <v>44272.0</v>
      </c>
      <c r="B386" s="35">
        <v>491.0</v>
      </c>
      <c r="C386" s="35">
        <v>439.0</v>
      </c>
      <c r="D386" s="35">
        <v>157527.0</v>
      </c>
      <c r="E386" s="35">
        <v>24599.0</v>
      </c>
      <c r="F386" s="35">
        <v>3149032.0</v>
      </c>
      <c r="G386" s="35">
        <v>25090.0</v>
      </c>
      <c r="H386" s="35">
        <v>3306559.0</v>
      </c>
      <c r="I386" s="35">
        <v>410.0</v>
      </c>
      <c r="J386" s="35">
        <v>374.0</v>
      </c>
      <c r="K386" s="35">
        <v>132307.0</v>
      </c>
      <c r="L386" s="35">
        <v>1763.0</v>
      </c>
      <c r="M386" s="35">
        <v>689949.0</v>
      </c>
      <c r="N386" s="35">
        <v>822256.0</v>
      </c>
      <c r="O386" s="39">
        <v>24.0</v>
      </c>
      <c r="P386" s="39">
        <v>9277.0</v>
      </c>
      <c r="Q386" s="39">
        <v>14.0</v>
      </c>
      <c r="R386" s="39">
        <v>8106.0</v>
      </c>
      <c r="S386" s="39">
        <v>1.0</v>
      </c>
      <c r="T386" s="39">
        <v>1030.0</v>
      </c>
      <c r="U386" s="39">
        <v>141.0</v>
      </c>
      <c r="V386" s="39">
        <v>136.0</v>
      </c>
      <c r="W386" s="39">
        <v>19.0</v>
      </c>
      <c r="X386" s="39">
        <v>11.0</v>
      </c>
      <c r="Y386" s="35">
        <v>3.0</v>
      </c>
      <c r="Z386" s="35">
        <v>2595.0</v>
      </c>
      <c r="AA386" s="35">
        <v>3192.0</v>
      </c>
      <c r="AB386" s="35">
        <v>8642.0</v>
      </c>
      <c r="AC386" s="35">
        <v>11834.0</v>
      </c>
      <c r="AD386" s="35">
        <v>421238.0</v>
      </c>
      <c r="AE386" s="35">
        <v>3192.0</v>
      </c>
      <c r="AF386" s="35">
        <v>288625.0</v>
      </c>
      <c r="AG386" s="35">
        <v>8882.0</v>
      </c>
      <c r="AH386" s="35">
        <v>140468.0</v>
      </c>
    </row>
    <row r="387" ht="14.25" customHeight="1">
      <c r="A387" s="34">
        <v>44273.0</v>
      </c>
      <c r="B387" s="35">
        <v>445.0</v>
      </c>
      <c r="C387" s="35">
        <v>482.0</v>
      </c>
      <c r="D387" s="35">
        <v>157972.0</v>
      </c>
      <c r="E387" s="35">
        <v>20798.0</v>
      </c>
      <c r="F387" s="35">
        <v>3169830.0</v>
      </c>
      <c r="G387" s="35">
        <v>21243.0</v>
      </c>
      <c r="H387" s="35">
        <v>3327802.0</v>
      </c>
      <c r="I387" s="35">
        <v>386.0</v>
      </c>
      <c r="J387" s="35">
        <v>409.0</v>
      </c>
      <c r="K387" s="35">
        <v>132693.0</v>
      </c>
      <c r="L387" s="35">
        <v>1865.0</v>
      </c>
      <c r="M387" s="35">
        <v>691814.0</v>
      </c>
      <c r="N387" s="35">
        <v>824507.0</v>
      </c>
      <c r="O387" s="39">
        <v>13.0</v>
      </c>
      <c r="P387" s="39">
        <v>9290.0</v>
      </c>
      <c r="Q387" s="39">
        <v>18.0</v>
      </c>
      <c r="R387" s="39">
        <v>8124.0</v>
      </c>
      <c r="S387" s="39">
        <v>2.0</v>
      </c>
      <c r="T387" s="39">
        <v>1032.0</v>
      </c>
      <c r="U387" s="39">
        <v>134.0</v>
      </c>
      <c r="V387" s="39">
        <v>136.0</v>
      </c>
      <c r="W387" s="39">
        <v>15.0</v>
      </c>
      <c r="X387" s="39">
        <v>11.0</v>
      </c>
      <c r="Y387" s="35">
        <v>2.0</v>
      </c>
      <c r="Z387" s="35">
        <v>2597.0</v>
      </c>
      <c r="AA387" s="35">
        <v>4468.0</v>
      </c>
      <c r="AB387" s="35">
        <v>8076.0</v>
      </c>
      <c r="AC387" s="35">
        <v>12544.0</v>
      </c>
      <c r="AD387" s="35">
        <v>433782.0</v>
      </c>
      <c r="AE387" s="35">
        <v>4468.0</v>
      </c>
      <c r="AF387" s="35">
        <v>293093.0</v>
      </c>
      <c r="AG387" s="35">
        <v>9016.0</v>
      </c>
      <c r="AH387" s="35">
        <v>149484.0</v>
      </c>
    </row>
    <row r="388" ht="14.25" customHeight="1">
      <c r="A388" s="34">
        <v>44274.0</v>
      </c>
      <c r="B388" s="35">
        <v>461.0</v>
      </c>
      <c r="C388" s="35">
        <v>466.0</v>
      </c>
      <c r="D388" s="35">
        <v>158433.0</v>
      </c>
      <c r="E388" s="35">
        <v>19040.0</v>
      </c>
      <c r="F388" s="35">
        <v>3188870.0</v>
      </c>
      <c r="G388" s="35">
        <v>19501.0</v>
      </c>
      <c r="H388" s="35">
        <v>3347303.0</v>
      </c>
      <c r="I388" s="35">
        <v>398.0</v>
      </c>
      <c r="J388" s="35">
        <v>398.0</v>
      </c>
      <c r="K388" s="35">
        <v>133091.0</v>
      </c>
      <c r="L388" s="35">
        <v>1782.0</v>
      </c>
      <c r="M388" s="35">
        <v>693596.0</v>
      </c>
      <c r="N388" s="35">
        <v>826687.0</v>
      </c>
      <c r="O388" s="39">
        <v>12.0</v>
      </c>
      <c r="P388" s="39">
        <v>9302.0</v>
      </c>
      <c r="Q388" s="39">
        <v>17.0</v>
      </c>
      <c r="R388" s="39">
        <v>8141.0</v>
      </c>
      <c r="S388" s="39">
        <v>2.0</v>
      </c>
      <c r="T388" s="39">
        <v>1034.0</v>
      </c>
      <c r="U388" s="39">
        <v>127.0</v>
      </c>
      <c r="V388" s="39">
        <v>134.0</v>
      </c>
      <c r="W388" s="39">
        <v>17.0</v>
      </c>
      <c r="X388" s="39">
        <v>11.0</v>
      </c>
      <c r="Y388" s="35">
        <v>4.0</v>
      </c>
      <c r="Z388" s="35">
        <v>2601.0</v>
      </c>
      <c r="AA388" s="35">
        <v>5596.0</v>
      </c>
      <c r="AB388" s="35">
        <v>8789.0</v>
      </c>
      <c r="AC388" s="35">
        <v>14385.0</v>
      </c>
      <c r="AD388" s="35">
        <v>448167.0</v>
      </c>
      <c r="AE388" s="35">
        <v>5596.0</v>
      </c>
      <c r="AF388" s="35">
        <v>298689.0</v>
      </c>
      <c r="AG388" s="35">
        <v>9286.0</v>
      </c>
      <c r="AH388" s="35">
        <v>158770.0</v>
      </c>
    </row>
    <row r="389" ht="14.25" customHeight="1">
      <c r="A389" s="34">
        <v>44275.0</v>
      </c>
      <c r="B389" s="35">
        <v>351.0</v>
      </c>
      <c r="C389" s="35">
        <v>419.0</v>
      </c>
      <c r="D389" s="35">
        <v>158784.0</v>
      </c>
      <c r="E389" s="35">
        <v>11728.0</v>
      </c>
      <c r="F389" s="35">
        <v>3200598.0</v>
      </c>
      <c r="G389" s="35">
        <v>12079.0</v>
      </c>
      <c r="H389" s="35">
        <v>3359382.0</v>
      </c>
      <c r="I389" s="35">
        <v>301.0</v>
      </c>
      <c r="J389" s="35">
        <v>362.0</v>
      </c>
      <c r="K389" s="35">
        <v>133392.0</v>
      </c>
      <c r="L389" s="35">
        <v>1479.0</v>
      </c>
      <c r="M389" s="35">
        <v>695075.0</v>
      </c>
      <c r="N389" s="35">
        <v>828467.0</v>
      </c>
      <c r="O389" s="39">
        <v>17.0</v>
      </c>
      <c r="P389" s="39">
        <v>9319.0</v>
      </c>
      <c r="Q389" s="39">
        <v>12.0</v>
      </c>
      <c r="R389" s="39">
        <v>8153.0</v>
      </c>
      <c r="S389" s="39">
        <v>4.0</v>
      </c>
      <c r="T389" s="39">
        <v>1038.0</v>
      </c>
      <c r="U389" s="39">
        <v>128.0</v>
      </c>
      <c r="V389" s="39">
        <v>130.0</v>
      </c>
      <c r="W389" s="39">
        <v>16.0</v>
      </c>
      <c r="X389" s="39">
        <v>12.0</v>
      </c>
      <c r="Y389" s="35">
        <v>3.0</v>
      </c>
      <c r="Z389" s="35">
        <v>2604.0</v>
      </c>
      <c r="AA389" s="35">
        <v>4685.0</v>
      </c>
      <c r="AB389" s="35">
        <v>9532.0</v>
      </c>
      <c r="AC389" s="35">
        <v>14217.0</v>
      </c>
      <c r="AD389" s="35">
        <v>462384.0</v>
      </c>
      <c r="AE389" s="35">
        <v>4685.0</v>
      </c>
      <c r="AF389" s="35">
        <v>303374.0</v>
      </c>
      <c r="AG389" s="35">
        <v>10715.0</v>
      </c>
      <c r="AH389" s="35">
        <v>169485.0</v>
      </c>
    </row>
    <row r="390" ht="14.25" customHeight="1">
      <c r="A390" s="34">
        <v>44276.0</v>
      </c>
      <c r="B390" s="35">
        <v>251.0</v>
      </c>
      <c r="C390" s="35">
        <v>354.0</v>
      </c>
      <c r="D390" s="35">
        <v>159035.0</v>
      </c>
      <c r="E390" s="35">
        <v>4784.0</v>
      </c>
      <c r="F390" s="35">
        <v>3205382.0</v>
      </c>
      <c r="G390" s="35">
        <v>5035.0</v>
      </c>
      <c r="H390" s="35">
        <v>3364417.0</v>
      </c>
      <c r="I390" s="35">
        <v>205.0</v>
      </c>
      <c r="J390" s="35">
        <v>301.0</v>
      </c>
      <c r="K390" s="35">
        <v>133597.0</v>
      </c>
      <c r="L390" s="35">
        <v>762.0</v>
      </c>
      <c r="M390" s="35">
        <v>695837.0</v>
      </c>
      <c r="N390" s="35">
        <v>829434.0</v>
      </c>
      <c r="O390" s="39">
        <v>13.0</v>
      </c>
      <c r="P390" s="39">
        <v>9332.0</v>
      </c>
      <c r="Q390" s="39">
        <v>12.0</v>
      </c>
      <c r="R390" s="39">
        <v>8165.0</v>
      </c>
      <c r="S390" s="39">
        <v>1.0</v>
      </c>
      <c r="T390" s="39">
        <v>1039.0</v>
      </c>
      <c r="U390" s="39">
        <v>128.0</v>
      </c>
      <c r="V390" s="39">
        <v>128.0</v>
      </c>
      <c r="W390" s="39">
        <v>16.0</v>
      </c>
      <c r="X390" s="39">
        <v>11.0</v>
      </c>
      <c r="Y390" s="35">
        <v>1.0</v>
      </c>
      <c r="Z390" s="35">
        <v>2605.0</v>
      </c>
      <c r="AA390" s="35">
        <v>3128.0</v>
      </c>
      <c r="AB390" s="35">
        <v>2893.0</v>
      </c>
      <c r="AC390" s="35">
        <v>6021.0</v>
      </c>
      <c r="AD390" s="35">
        <v>468405.0</v>
      </c>
      <c r="AE390" s="35">
        <v>3128.0</v>
      </c>
      <c r="AF390" s="35">
        <v>306502.0</v>
      </c>
      <c r="AG390" s="35">
        <v>3323.0</v>
      </c>
      <c r="AH390" s="35">
        <v>172808.0</v>
      </c>
    </row>
    <row r="391" ht="14.25" customHeight="1">
      <c r="A391" s="34">
        <v>44277.0</v>
      </c>
      <c r="B391" s="35">
        <v>379.0</v>
      </c>
      <c r="C391" s="35">
        <v>327.0</v>
      </c>
      <c r="D391" s="35">
        <v>159414.0</v>
      </c>
      <c r="E391" s="35">
        <v>12933.0</v>
      </c>
      <c r="F391" s="35">
        <v>3218315.0</v>
      </c>
      <c r="G391" s="35">
        <v>13312.0</v>
      </c>
      <c r="H391" s="35">
        <v>3377729.0</v>
      </c>
      <c r="I391" s="35">
        <v>377.0</v>
      </c>
      <c r="J391" s="35">
        <v>294.0</v>
      </c>
      <c r="K391" s="35">
        <v>133974.0</v>
      </c>
      <c r="L391" s="35">
        <v>1255.0</v>
      </c>
      <c r="M391" s="35">
        <v>697092.0</v>
      </c>
      <c r="N391" s="35">
        <v>831066.0</v>
      </c>
      <c r="O391" s="39">
        <v>12.0</v>
      </c>
      <c r="P391" s="39">
        <v>9344.0</v>
      </c>
      <c r="Q391" s="39">
        <v>23.0</v>
      </c>
      <c r="R391" s="39">
        <v>8188.0</v>
      </c>
      <c r="S391" s="39">
        <v>0.0</v>
      </c>
      <c r="T391" s="39">
        <v>1039.0</v>
      </c>
      <c r="U391" s="39">
        <v>117.0</v>
      </c>
      <c r="V391" s="39">
        <v>124.0</v>
      </c>
      <c r="W391" s="39">
        <v>17.0</v>
      </c>
      <c r="X391" s="39">
        <v>11.0</v>
      </c>
      <c r="Y391" s="35">
        <v>0.0</v>
      </c>
      <c r="Z391" s="35">
        <v>2605.0</v>
      </c>
      <c r="AA391" s="35">
        <v>2078.0</v>
      </c>
      <c r="AB391" s="35">
        <v>5090.0</v>
      </c>
      <c r="AC391" s="35">
        <v>7168.0</v>
      </c>
      <c r="AD391" s="35">
        <v>475573.0</v>
      </c>
      <c r="AE391" s="35">
        <v>2078.0</v>
      </c>
      <c r="AF391" s="35">
        <v>308580.0</v>
      </c>
      <c r="AG391" s="35">
        <v>5175.0</v>
      </c>
      <c r="AH391" s="35">
        <v>177983.0</v>
      </c>
    </row>
    <row r="392" ht="14.25" customHeight="1">
      <c r="A392" s="34">
        <v>44278.0</v>
      </c>
      <c r="B392" s="35">
        <v>509.0</v>
      </c>
      <c r="C392" s="35">
        <v>380.0</v>
      </c>
      <c r="D392" s="35">
        <v>159923.0</v>
      </c>
      <c r="E392" s="35">
        <v>19534.0</v>
      </c>
      <c r="F392" s="35">
        <v>3237849.0</v>
      </c>
      <c r="G392" s="35">
        <v>20043.0</v>
      </c>
      <c r="H392" s="35">
        <v>3397772.0</v>
      </c>
      <c r="I392" s="35">
        <v>454.0</v>
      </c>
      <c r="J392" s="35">
        <v>345.0</v>
      </c>
      <c r="K392" s="35">
        <v>134428.0</v>
      </c>
      <c r="L392" s="35">
        <v>1826.0</v>
      </c>
      <c r="M392" s="35">
        <v>698918.0</v>
      </c>
      <c r="N392" s="35">
        <v>833346.0</v>
      </c>
      <c r="O392" s="39">
        <v>19.0</v>
      </c>
      <c r="P392" s="39">
        <v>9363.0</v>
      </c>
      <c r="Q392" s="39">
        <v>18.0</v>
      </c>
      <c r="R392" s="39">
        <v>8206.0</v>
      </c>
      <c r="S392" s="39">
        <v>0.0</v>
      </c>
      <c r="T392" s="39">
        <v>1039.0</v>
      </c>
      <c r="U392" s="39">
        <v>118.0</v>
      </c>
      <c r="V392" s="39">
        <v>121.0</v>
      </c>
      <c r="W392" s="39">
        <v>19.0</v>
      </c>
      <c r="X392" s="39">
        <v>10.0</v>
      </c>
      <c r="Y392" s="35">
        <v>0.0</v>
      </c>
      <c r="Z392" s="35">
        <v>2605.0</v>
      </c>
      <c r="AA392" s="35">
        <v>3197.0</v>
      </c>
      <c r="AB392" s="35">
        <v>5637.0</v>
      </c>
      <c r="AC392" s="35">
        <v>8834.0</v>
      </c>
      <c r="AD392" s="35">
        <v>484407.0</v>
      </c>
      <c r="AE392" s="35">
        <v>3197.0</v>
      </c>
      <c r="AF392" s="35">
        <v>311777.0</v>
      </c>
      <c r="AG392" s="35">
        <v>5880.0</v>
      </c>
      <c r="AH392" s="35">
        <v>183863.0</v>
      </c>
    </row>
    <row r="393" ht="14.25" customHeight="1">
      <c r="A393" s="34">
        <v>44279.0</v>
      </c>
      <c r="B393" s="35">
        <v>558.0</v>
      </c>
      <c r="C393" s="35">
        <v>482.0</v>
      </c>
      <c r="D393" s="35">
        <v>160481.0</v>
      </c>
      <c r="E393" s="35">
        <v>26163.0</v>
      </c>
      <c r="F393" s="35">
        <v>3264012.0</v>
      </c>
      <c r="G393" s="35">
        <v>26721.0</v>
      </c>
      <c r="H393" s="35">
        <v>3424493.0</v>
      </c>
      <c r="I393" s="35">
        <v>482.0</v>
      </c>
      <c r="J393" s="35">
        <v>438.0</v>
      </c>
      <c r="K393" s="35">
        <v>134910.0</v>
      </c>
      <c r="L393" s="35">
        <v>1828.0</v>
      </c>
      <c r="M393" s="35">
        <v>700746.0</v>
      </c>
      <c r="N393" s="35">
        <v>835656.0</v>
      </c>
      <c r="O393" s="39">
        <v>16.0</v>
      </c>
      <c r="P393" s="39">
        <v>9379.0</v>
      </c>
      <c r="Q393" s="39">
        <v>16.0</v>
      </c>
      <c r="R393" s="39">
        <v>8222.0</v>
      </c>
      <c r="S393" s="39">
        <v>0.0</v>
      </c>
      <c r="T393" s="39">
        <v>1039.0</v>
      </c>
      <c r="U393" s="39">
        <v>118.0</v>
      </c>
      <c r="V393" s="39">
        <v>118.0</v>
      </c>
      <c r="W393" s="39">
        <v>21.0</v>
      </c>
      <c r="X393" s="39">
        <v>10.0</v>
      </c>
      <c r="Y393" s="35">
        <v>2.0</v>
      </c>
      <c r="Z393" s="35">
        <v>2607.0</v>
      </c>
      <c r="AA393" s="35">
        <v>3319.0</v>
      </c>
      <c r="AB393" s="35">
        <v>5661.0</v>
      </c>
      <c r="AC393" s="35">
        <v>8980.0</v>
      </c>
      <c r="AD393" s="35">
        <v>493387.0</v>
      </c>
      <c r="AE393" s="35">
        <v>3319.0</v>
      </c>
      <c r="AF393" s="35">
        <v>315096.0</v>
      </c>
      <c r="AG393" s="35">
        <v>5965.0</v>
      </c>
      <c r="AH393" s="35">
        <v>189828.0</v>
      </c>
    </row>
    <row r="394" ht="14.25" customHeight="1">
      <c r="A394" s="34">
        <v>44280.0</v>
      </c>
      <c r="B394" s="35">
        <v>554.0</v>
      </c>
      <c r="C394" s="35">
        <v>540.0</v>
      </c>
      <c r="D394" s="35">
        <v>161035.0</v>
      </c>
      <c r="E394" s="35">
        <v>21660.0</v>
      </c>
      <c r="F394" s="35">
        <v>3285672.0</v>
      </c>
      <c r="G394" s="35">
        <v>22214.0</v>
      </c>
      <c r="H394" s="35">
        <v>3446707.0</v>
      </c>
      <c r="I394" s="35">
        <v>473.0</v>
      </c>
      <c r="J394" s="35">
        <v>470.0</v>
      </c>
      <c r="K394" s="35">
        <v>135383.0</v>
      </c>
      <c r="L394" s="35">
        <v>1844.0</v>
      </c>
      <c r="M394" s="35">
        <v>702590.0</v>
      </c>
      <c r="N394" s="35">
        <v>837973.0</v>
      </c>
      <c r="O394" s="39">
        <v>17.0</v>
      </c>
      <c r="P394" s="39">
        <v>9396.0</v>
      </c>
      <c r="Q394" s="39">
        <v>17.0</v>
      </c>
      <c r="R394" s="39">
        <v>8239.0</v>
      </c>
      <c r="S394" s="39">
        <v>2.0</v>
      </c>
      <c r="T394" s="39">
        <v>1041.0</v>
      </c>
      <c r="U394" s="39">
        <v>116.0</v>
      </c>
      <c r="V394" s="39">
        <v>117.0</v>
      </c>
      <c r="W394" s="39">
        <v>18.0</v>
      </c>
      <c r="X394" s="39">
        <v>9.0</v>
      </c>
      <c r="Y394" s="35">
        <v>2.0</v>
      </c>
      <c r="Z394" s="35">
        <v>2609.0</v>
      </c>
      <c r="AA394" s="35">
        <v>4563.0</v>
      </c>
      <c r="AB394" s="35">
        <v>6549.0</v>
      </c>
      <c r="AC394" s="35">
        <v>11112.0</v>
      </c>
      <c r="AD394" s="35">
        <v>504499.0</v>
      </c>
      <c r="AE394" s="35">
        <v>4563.0</v>
      </c>
      <c r="AF394" s="35">
        <v>319659.0</v>
      </c>
      <c r="AG394" s="35">
        <v>7274.0</v>
      </c>
      <c r="AH394" s="35">
        <v>197102.0</v>
      </c>
    </row>
    <row r="395" ht="14.25" customHeight="1">
      <c r="A395" s="40">
        <v>44281.0</v>
      </c>
      <c r="B395" s="35">
        <v>576.0</v>
      </c>
      <c r="C395" s="35">
        <v>563.0</v>
      </c>
      <c r="D395" s="35">
        <v>161611.0</v>
      </c>
      <c r="E395" s="35">
        <v>18409.0</v>
      </c>
      <c r="F395" s="35">
        <v>3304081.0</v>
      </c>
      <c r="G395" s="35">
        <v>18985.0</v>
      </c>
      <c r="H395" s="35">
        <v>3465692.0</v>
      </c>
      <c r="I395" s="35">
        <v>487.0</v>
      </c>
      <c r="J395" s="35">
        <v>481.0</v>
      </c>
      <c r="K395" s="35">
        <v>135870.0</v>
      </c>
      <c r="L395" s="35">
        <v>1771.0</v>
      </c>
      <c r="M395" s="35">
        <v>704361.0</v>
      </c>
      <c r="N395" s="35">
        <v>840231.0</v>
      </c>
      <c r="O395" s="39">
        <v>18.0</v>
      </c>
      <c r="P395" s="39">
        <v>9414.0</v>
      </c>
      <c r="Q395" s="39">
        <v>18.0</v>
      </c>
      <c r="R395" s="39">
        <v>8257.0</v>
      </c>
      <c r="S395" s="39">
        <v>2.0</v>
      </c>
      <c r="T395" s="39">
        <v>1043.0</v>
      </c>
      <c r="U395" s="39">
        <v>114.0</v>
      </c>
      <c r="V395" s="39">
        <v>116.0</v>
      </c>
      <c r="W395" s="39">
        <v>16.0</v>
      </c>
      <c r="X395" s="39">
        <v>8.0</v>
      </c>
      <c r="Y395" s="35">
        <v>3.0</v>
      </c>
      <c r="Z395" s="35">
        <v>2612.0</v>
      </c>
      <c r="AA395" s="35">
        <v>3989.0</v>
      </c>
      <c r="AB395" s="35">
        <v>6120.0</v>
      </c>
      <c r="AC395" s="35">
        <v>10109.0</v>
      </c>
      <c r="AD395" s="35">
        <v>514608.0</v>
      </c>
      <c r="AE395" s="35">
        <v>3989.0</v>
      </c>
      <c r="AF395" s="35">
        <v>323648.0</v>
      </c>
      <c r="AG395" s="35">
        <v>6352.0</v>
      </c>
      <c r="AH395" s="35">
        <v>203454.0</v>
      </c>
    </row>
    <row r="396" ht="14.25" customHeight="1">
      <c r="A396" s="40">
        <v>44282.0</v>
      </c>
      <c r="B396" s="35">
        <v>388.0</v>
      </c>
      <c r="C396" s="35">
        <v>506.0</v>
      </c>
      <c r="D396" s="35">
        <v>161999.0</v>
      </c>
      <c r="E396" s="35">
        <v>12071.0</v>
      </c>
      <c r="F396" s="35">
        <v>3316152.0</v>
      </c>
      <c r="G396" s="35">
        <v>12459.0</v>
      </c>
      <c r="H396" s="35">
        <v>3478151.0</v>
      </c>
      <c r="I396" s="35">
        <v>321.0</v>
      </c>
      <c r="J396" s="35">
        <v>427.0</v>
      </c>
      <c r="K396" s="35">
        <v>136191.0</v>
      </c>
      <c r="L396" s="35">
        <v>1493.0</v>
      </c>
      <c r="M396" s="35">
        <v>705854.0</v>
      </c>
      <c r="N396" s="35">
        <v>842045.0</v>
      </c>
      <c r="O396" s="39">
        <v>13.0</v>
      </c>
      <c r="P396" s="39">
        <v>9427.0</v>
      </c>
      <c r="Q396" s="39">
        <v>10.0</v>
      </c>
      <c r="R396" s="39">
        <v>8267.0</v>
      </c>
      <c r="S396" s="39">
        <v>0.0</v>
      </c>
      <c r="T396" s="39">
        <v>1043.0</v>
      </c>
      <c r="U396" s="39">
        <v>117.0</v>
      </c>
      <c r="V396" s="39">
        <v>116.0</v>
      </c>
      <c r="W396" s="39">
        <v>16.0</v>
      </c>
      <c r="X396" s="39">
        <v>7.0</v>
      </c>
      <c r="Y396" s="35">
        <v>0.0</v>
      </c>
      <c r="Z396" s="35">
        <v>2612.0</v>
      </c>
      <c r="AA396" s="35">
        <v>6541.0</v>
      </c>
      <c r="AB396" s="35">
        <v>6405.0</v>
      </c>
      <c r="AC396" s="35">
        <v>12946.0</v>
      </c>
      <c r="AD396" s="35">
        <v>527554.0</v>
      </c>
      <c r="AE396" s="35">
        <v>6541.0</v>
      </c>
      <c r="AF396" s="35">
        <v>330189.0</v>
      </c>
      <c r="AG396" s="35">
        <v>7085.0</v>
      </c>
      <c r="AH396" s="35">
        <v>210539.0</v>
      </c>
    </row>
    <row r="397" ht="14.25" customHeight="1">
      <c r="A397" s="40">
        <v>44283.0</v>
      </c>
      <c r="B397" s="35">
        <v>271.0</v>
      </c>
      <c r="C397" s="35">
        <v>412.0</v>
      </c>
      <c r="D397" s="35">
        <v>162270.0</v>
      </c>
      <c r="E397" s="35">
        <v>4506.0</v>
      </c>
      <c r="F397" s="35">
        <v>3320658.0</v>
      </c>
      <c r="G397" s="35">
        <v>4777.0</v>
      </c>
      <c r="H397" s="35">
        <v>3482928.0</v>
      </c>
      <c r="I397" s="35">
        <v>228.0</v>
      </c>
      <c r="J397" s="35">
        <v>345.0</v>
      </c>
      <c r="K397" s="35">
        <v>136419.0</v>
      </c>
      <c r="L397" s="35">
        <v>686.0</v>
      </c>
      <c r="M397" s="35">
        <v>706540.0</v>
      </c>
      <c r="N397" s="35">
        <v>842959.0</v>
      </c>
      <c r="Y397" s="35">
        <v>1.0</v>
      </c>
      <c r="Z397" s="35">
        <v>2613.0</v>
      </c>
      <c r="AA397" s="35">
        <v>1616.0</v>
      </c>
      <c r="AB397" s="35">
        <v>1520.0</v>
      </c>
      <c r="AC397" s="35">
        <v>3136.0</v>
      </c>
      <c r="AD397" s="35">
        <v>530690.0</v>
      </c>
      <c r="AE397" s="35">
        <v>1616.0</v>
      </c>
      <c r="AF397" s="35">
        <v>331805.0</v>
      </c>
      <c r="AG397" s="35">
        <v>1520.0</v>
      </c>
      <c r="AH397" s="35">
        <v>212059.0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25008.0</v>
      </c>
      <c r="C3" s="52">
        <v>0.03</v>
      </c>
      <c r="D3" s="53">
        <v>2962.0</v>
      </c>
      <c r="E3" s="54">
        <v>0.02</v>
      </c>
      <c r="F3" s="55">
        <v>78.0</v>
      </c>
      <c r="G3" s="56">
        <v>0.01</v>
      </c>
      <c r="H3" s="55" t="s">
        <v>55</v>
      </c>
      <c r="I3" s="57" t="s">
        <v>38</v>
      </c>
      <c r="J3" s="58">
        <v>0.0</v>
      </c>
      <c r="K3" s="59">
        <v>0.0</v>
      </c>
      <c r="L3" s="58">
        <v>0.0</v>
      </c>
      <c r="M3" s="59">
        <v>0.0</v>
      </c>
      <c r="N3" s="58">
        <v>0.0</v>
      </c>
      <c r="O3" s="59">
        <v>0.0</v>
      </c>
    </row>
    <row r="4" ht="14.25" customHeight="1">
      <c r="A4" s="60">
        <v>43960.0</v>
      </c>
      <c r="B4" s="51">
        <v>32843.0</v>
      </c>
      <c r="C4" s="52">
        <v>0.04</v>
      </c>
      <c r="D4" s="53">
        <v>3727.0</v>
      </c>
      <c r="E4" s="54">
        <v>0.03</v>
      </c>
      <c r="F4" s="55">
        <v>23.0</v>
      </c>
      <c r="G4" s="57" t="s">
        <v>56</v>
      </c>
      <c r="H4" s="55">
        <v>0.0</v>
      </c>
      <c r="I4" s="56">
        <v>0.0</v>
      </c>
      <c r="J4" s="58">
        <v>0.0</v>
      </c>
      <c r="K4" s="59">
        <v>0.0</v>
      </c>
      <c r="L4" s="58">
        <v>0.0</v>
      </c>
      <c r="M4" s="59">
        <v>0.0</v>
      </c>
      <c r="N4" s="58">
        <v>0.0</v>
      </c>
      <c r="O4" s="59">
        <v>0.0</v>
      </c>
    </row>
    <row r="5" ht="14.25" customHeight="1">
      <c r="A5" s="60">
        <v>44118.0</v>
      </c>
      <c r="B5" s="51">
        <v>34152.0</v>
      </c>
      <c r="C5" s="52">
        <v>0.04</v>
      </c>
      <c r="D5" s="53">
        <v>4792.0</v>
      </c>
      <c r="E5" s="54">
        <v>0.04</v>
      </c>
      <c r="F5" s="55">
        <v>34.0</v>
      </c>
      <c r="G5" s="57" t="s">
        <v>56</v>
      </c>
      <c r="H5" s="55" t="s">
        <v>55</v>
      </c>
      <c r="I5" s="61" t="s">
        <v>38</v>
      </c>
      <c r="J5" s="62" t="s">
        <v>55</v>
      </c>
      <c r="K5" s="62" t="s">
        <v>38</v>
      </c>
      <c r="L5" s="62">
        <v>0.0</v>
      </c>
      <c r="M5" s="63">
        <v>0.0</v>
      </c>
      <c r="N5" s="62" t="s">
        <v>55</v>
      </c>
      <c r="O5" s="62" t="s">
        <v>38</v>
      </c>
    </row>
    <row r="6" ht="14.25" customHeight="1">
      <c r="A6" s="50" t="s">
        <v>57</v>
      </c>
      <c r="B6" s="51">
        <v>39565.0</v>
      </c>
      <c r="C6" s="52">
        <v>0.05</v>
      </c>
      <c r="D6" s="53">
        <v>6485.0</v>
      </c>
      <c r="E6" s="54">
        <v>0.05</v>
      </c>
      <c r="F6" s="55">
        <v>61.0</v>
      </c>
      <c r="G6" s="56">
        <v>0.01</v>
      </c>
      <c r="H6" s="55">
        <v>0.0</v>
      </c>
      <c r="I6" s="54">
        <v>0.0</v>
      </c>
      <c r="J6" s="62">
        <v>1091.0</v>
      </c>
      <c r="K6" s="62" t="s">
        <v>56</v>
      </c>
      <c r="L6" s="62">
        <v>529.0</v>
      </c>
      <c r="M6" s="62" t="s">
        <v>56</v>
      </c>
      <c r="N6" s="62">
        <v>1588.0</v>
      </c>
      <c r="O6" s="62" t="s">
        <v>56</v>
      </c>
    </row>
    <row r="7" ht="15.0" customHeight="1">
      <c r="A7" s="50" t="s">
        <v>58</v>
      </c>
      <c r="B7" s="51">
        <v>83371.0</v>
      </c>
      <c r="C7" s="52">
        <v>0.11</v>
      </c>
      <c r="D7" s="64">
        <v>15446.0</v>
      </c>
      <c r="E7" s="54">
        <v>0.12</v>
      </c>
      <c r="F7" s="55">
        <v>236.0</v>
      </c>
      <c r="G7" s="56">
        <v>0.03</v>
      </c>
      <c r="H7" s="55" t="s">
        <v>55</v>
      </c>
      <c r="I7" s="61" t="s">
        <v>38</v>
      </c>
      <c r="J7" s="62">
        <v>10642.0</v>
      </c>
      <c r="K7" s="63">
        <v>0.04</v>
      </c>
      <c r="L7" s="62">
        <v>6625.0</v>
      </c>
      <c r="M7" s="63">
        <v>0.04</v>
      </c>
      <c r="N7" s="62">
        <v>16865.0</v>
      </c>
      <c r="O7" s="63">
        <v>0.04</v>
      </c>
    </row>
    <row r="8" ht="15.0" customHeight="1">
      <c r="A8" s="50" t="s">
        <v>59</v>
      </c>
      <c r="B8" s="51">
        <v>64730.0</v>
      </c>
      <c r="C8" s="52">
        <v>0.08</v>
      </c>
      <c r="D8" s="64">
        <v>11297.0</v>
      </c>
      <c r="E8" s="54">
        <v>0.09</v>
      </c>
      <c r="F8" s="55">
        <v>296.0</v>
      </c>
      <c r="G8" s="56">
        <v>0.03</v>
      </c>
      <c r="H8" s="55" t="s">
        <v>55</v>
      </c>
      <c r="I8" s="61" t="s">
        <v>38</v>
      </c>
      <c r="J8" s="62">
        <v>12041.0</v>
      </c>
      <c r="K8" s="63">
        <v>0.04</v>
      </c>
      <c r="L8" s="62">
        <v>8031.0</v>
      </c>
      <c r="M8" s="63">
        <v>0.05</v>
      </c>
      <c r="N8" s="62">
        <v>19650.0</v>
      </c>
      <c r="O8" s="63">
        <v>0.04</v>
      </c>
    </row>
    <row r="9" ht="15.0" customHeight="1">
      <c r="A9" s="50" t="s">
        <v>60</v>
      </c>
      <c r="B9" s="51">
        <v>115381.0</v>
      </c>
      <c r="C9" s="52">
        <v>0.15</v>
      </c>
      <c r="D9" s="64">
        <v>19957.0</v>
      </c>
      <c r="E9" s="54">
        <v>0.16</v>
      </c>
      <c r="F9" s="55">
        <v>576.0</v>
      </c>
      <c r="G9" s="56">
        <v>0.06</v>
      </c>
      <c r="H9" s="55">
        <v>11.0</v>
      </c>
      <c r="I9" s="57" t="s">
        <v>56</v>
      </c>
      <c r="J9" s="58">
        <v>27274.0</v>
      </c>
      <c r="K9" s="59">
        <v>0.09</v>
      </c>
      <c r="L9" s="58">
        <v>17323.0</v>
      </c>
      <c r="M9" s="59">
        <v>0.1</v>
      </c>
      <c r="N9" s="58">
        <v>43514.0</v>
      </c>
      <c r="O9" s="59">
        <v>0.1</v>
      </c>
    </row>
    <row r="10" ht="15.0" customHeight="1">
      <c r="A10" s="50" t="s">
        <v>61</v>
      </c>
      <c r="B10" s="51">
        <v>94179.0</v>
      </c>
      <c r="C10" s="52">
        <v>0.12</v>
      </c>
      <c r="D10" s="64">
        <v>17043.0</v>
      </c>
      <c r="E10" s="54">
        <v>0.13</v>
      </c>
      <c r="F10" s="55">
        <v>805.0</v>
      </c>
      <c r="G10" s="56">
        <v>0.09</v>
      </c>
      <c r="H10" s="55">
        <v>32.0</v>
      </c>
      <c r="I10" s="56">
        <v>0.01</v>
      </c>
      <c r="J10" s="58">
        <v>29896.0</v>
      </c>
      <c r="K10" s="59">
        <v>0.1</v>
      </c>
      <c r="L10" s="58">
        <v>18020.0</v>
      </c>
      <c r="M10" s="59">
        <v>0.11</v>
      </c>
      <c r="N10" s="58">
        <v>46479.0</v>
      </c>
      <c r="O10" s="59">
        <v>0.1</v>
      </c>
    </row>
    <row r="11" ht="14.25" customHeight="1">
      <c r="A11" s="50" t="s">
        <v>62</v>
      </c>
      <c r="B11" s="51">
        <v>110314.0</v>
      </c>
      <c r="C11" s="52">
        <v>0.14</v>
      </c>
      <c r="D11" s="64">
        <v>18883.0</v>
      </c>
      <c r="E11" s="54">
        <v>0.15</v>
      </c>
      <c r="F11" s="55">
        <v>1333.0</v>
      </c>
      <c r="G11" s="56">
        <v>0.14</v>
      </c>
      <c r="H11" s="55">
        <v>114.0</v>
      </c>
      <c r="I11" s="56">
        <v>0.04</v>
      </c>
      <c r="J11" s="58">
        <v>43119.0</v>
      </c>
      <c r="K11" s="59">
        <v>0.14</v>
      </c>
      <c r="L11" s="58">
        <v>24623.0</v>
      </c>
      <c r="M11" s="59">
        <v>0.15</v>
      </c>
      <c r="N11" s="58">
        <v>64735.0</v>
      </c>
      <c r="O11" s="59">
        <v>0.14</v>
      </c>
    </row>
    <row r="12" ht="14.25" customHeight="1">
      <c r="A12" s="50" t="s">
        <v>63</v>
      </c>
      <c r="B12" s="51">
        <v>92025.0</v>
      </c>
      <c r="C12" s="52">
        <v>0.12</v>
      </c>
      <c r="D12" s="64">
        <v>13524.0</v>
      </c>
      <c r="E12" s="54">
        <v>0.11</v>
      </c>
      <c r="F12" s="55">
        <v>1804.0</v>
      </c>
      <c r="G12" s="56">
        <v>0.19</v>
      </c>
      <c r="H12" s="55">
        <v>308.0</v>
      </c>
      <c r="I12" s="56">
        <v>0.12</v>
      </c>
      <c r="J12" s="58">
        <v>76381.0</v>
      </c>
      <c r="K12" s="59">
        <v>0.25</v>
      </c>
      <c r="L12" s="58">
        <v>35402.0</v>
      </c>
      <c r="M12" s="59">
        <v>0.21</v>
      </c>
      <c r="N12" s="58">
        <v>108838.0</v>
      </c>
      <c r="O12" s="59">
        <v>0.24</v>
      </c>
    </row>
    <row r="13" ht="14.25" customHeight="1">
      <c r="A13" s="50" t="s">
        <v>64</v>
      </c>
      <c r="B13" s="51">
        <v>49403.0</v>
      </c>
      <c r="C13" s="52">
        <v>0.06</v>
      </c>
      <c r="D13" s="64">
        <v>7037.0</v>
      </c>
      <c r="E13" s="54">
        <v>0.05</v>
      </c>
      <c r="F13" s="55">
        <v>1925.0</v>
      </c>
      <c r="G13" s="56">
        <v>0.21</v>
      </c>
      <c r="H13" s="55">
        <v>593.0</v>
      </c>
      <c r="I13" s="56">
        <v>0.23</v>
      </c>
      <c r="J13" s="58">
        <v>63899.0</v>
      </c>
      <c r="K13" s="59">
        <v>0.21</v>
      </c>
      <c r="L13" s="58">
        <v>33212.0</v>
      </c>
      <c r="M13" s="59">
        <v>0.2</v>
      </c>
      <c r="N13" s="58">
        <v>96424.0</v>
      </c>
      <c r="O13" s="59">
        <v>0.21</v>
      </c>
    </row>
    <row r="14" ht="14.25" customHeight="1">
      <c r="A14" s="50" t="s">
        <v>65</v>
      </c>
      <c r="B14" s="51">
        <v>21690.0</v>
      </c>
      <c r="C14" s="52">
        <v>0.03</v>
      </c>
      <c r="D14" s="64">
        <v>4373.0</v>
      </c>
      <c r="E14" s="54">
        <v>0.03</v>
      </c>
      <c r="F14" s="55">
        <v>1498.0</v>
      </c>
      <c r="G14" s="56">
        <v>0.16</v>
      </c>
      <c r="H14" s="55">
        <v>829.0</v>
      </c>
      <c r="I14" s="56">
        <v>0.32</v>
      </c>
      <c r="J14" s="58">
        <v>27664.0</v>
      </c>
      <c r="K14" s="59">
        <v>0.09</v>
      </c>
      <c r="L14" s="58">
        <v>17253.0</v>
      </c>
      <c r="M14" s="59">
        <v>0.1</v>
      </c>
      <c r="N14" s="58">
        <v>44767.0</v>
      </c>
      <c r="O14" s="59">
        <v>0.1</v>
      </c>
    </row>
    <row r="15" ht="14.25" customHeight="1">
      <c r="A15" s="50" t="s">
        <v>66</v>
      </c>
      <c r="B15" s="51">
        <v>8866.0</v>
      </c>
      <c r="C15" s="52">
        <v>0.01</v>
      </c>
      <c r="D15" s="64">
        <v>2453.0</v>
      </c>
      <c r="E15" s="54">
        <v>0.02</v>
      </c>
      <c r="F15" s="55">
        <v>677.0</v>
      </c>
      <c r="G15" s="54">
        <v>0.07</v>
      </c>
      <c r="H15" s="55">
        <v>707.0</v>
      </c>
      <c r="I15" s="56">
        <v>0.27</v>
      </c>
      <c r="J15" s="58">
        <v>8310.0</v>
      </c>
      <c r="K15" s="59">
        <v>0.03</v>
      </c>
      <c r="L15" s="58">
        <v>5953.0</v>
      </c>
      <c r="M15" s="59">
        <v>0.04</v>
      </c>
      <c r="N15" s="58">
        <v>14222.0</v>
      </c>
      <c r="O15" s="59">
        <v>0.03</v>
      </c>
    </row>
    <row r="16" ht="14.25" customHeight="1">
      <c r="A16" s="50" t="s">
        <v>67</v>
      </c>
      <c r="B16" s="51">
        <v>1103.0</v>
      </c>
      <c r="C16" s="61" t="s">
        <v>38</v>
      </c>
      <c r="D16" s="64">
        <v>7.0</v>
      </c>
      <c r="E16" s="61" t="s">
        <v>38</v>
      </c>
      <c r="F16" s="55">
        <v>0.0</v>
      </c>
      <c r="G16" s="57" t="s">
        <v>38</v>
      </c>
      <c r="H16" s="64">
        <v>0.0</v>
      </c>
      <c r="I16" s="61" t="s">
        <v>38</v>
      </c>
      <c r="J16" s="62" t="s">
        <v>55</v>
      </c>
      <c r="K16" s="62" t="s">
        <v>38</v>
      </c>
      <c r="L16" s="62">
        <v>0.0</v>
      </c>
      <c r="M16" s="62" t="s">
        <v>38</v>
      </c>
      <c r="N16" s="62" t="s">
        <v>55</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57064.0</v>
      </c>
      <c r="C18" s="52">
        <v>0.16</v>
      </c>
      <c r="D18" s="64">
        <v>32448.0</v>
      </c>
      <c r="E18" s="54">
        <v>0.29</v>
      </c>
      <c r="F18" s="70">
        <v>1952.0</v>
      </c>
      <c r="G18" s="71">
        <v>0.26</v>
      </c>
      <c r="H18" s="72">
        <v>215.0</v>
      </c>
      <c r="I18" s="71">
        <v>0.1</v>
      </c>
      <c r="J18" s="73">
        <v>23270.0</v>
      </c>
      <c r="K18" s="74">
        <v>0.09</v>
      </c>
      <c r="L18" s="73">
        <v>11836.0</v>
      </c>
      <c r="M18" s="74">
        <v>0.08</v>
      </c>
      <c r="N18" s="73">
        <v>33676.0</v>
      </c>
      <c r="O18" s="74">
        <v>0.08</v>
      </c>
    </row>
    <row r="19" ht="14.25" customHeight="1">
      <c r="A19" s="50" t="s">
        <v>70</v>
      </c>
      <c r="B19" s="51">
        <v>4790.0</v>
      </c>
      <c r="C19" s="52">
        <v>0.01</v>
      </c>
      <c r="D19" s="64">
        <v>339.0</v>
      </c>
      <c r="E19" s="61" t="s">
        <v>56</v>
      </c>
      <c r="F19" s="70">
        <v>25.0</v>
      </c>
      <c r="G19" s="75" t="s">
        <v>56</v>
      </c>
      <c r="H19" s="72" t="s">
        <v>55</v>
      </c>
      <c r="I19" s="61" t="s">
        <v>38</v>
      </c>
      <c r="J19" s="62">
        <v>716.0</v>
      </c>
      <c r="K19" s="62" t="s">
        <v>56</v>
      </c>
      <c r="L19" s="62">
        <v>354.0</v>
      </c>
      <c r="M19" s="62" t="s">
        <v>56</v>
      </c>
      <c r="N19" s="62">
        <v>1041.0</v>
      </c>
      <c r="O19" s="62" t="s">
        <v>56</v>
      </c>
    </row>
    <row r="20" ht="14.25" customHeight="1">
      <c r="A20" s="50" t="s">
        <v>71</v>
      </c>
      <c r="B20" s="51">
        <v>9210.0</v>
      </c>
      <c r="C20" s="52">
        <v>0.03</v>
      </c>
      <c r="D20" s="64">
        <v>2457.0</v>
      </c>
      <c r="E20" s="54">
        <v>0.02</v>
      </c>
      <c r="F20" s="70">
        <v>170.0</v>
      </c>
      <c r="G20" s="71">
        <v>0.02</v>
      </c>
      <c r="H20" s="72">
        <v>41.0</v>
      </c>
      <c r="I20" s="71">
        <v>0.02</v>
      </c>
      <c r="J20" s="73">
        <v>4962.0</v>
      </c>
      <c r="K20" s="74">
        <v>0.02</v>
      </c>
      <c r="L20" s="73">
        <v>2693.0</v>
      </c>
      <c r="M20" s="74">
        <v>0.02</v>
      </c>
      <c r="N20" s="73">
        <v>7448.0</v>
      </c>
      <c r="O20" s="74">
        <v>0.02</v>
      </c>
    </row>
    <row r="21" ht="14.25" customHeight="1">
      <c r="A21" s="50" t="s">
        <v>72</v>
      </c>
      <c r="B21" s="51">
        <v>19209.0</v>
      </c>
      <c r="C21" s="52">
        <v>0.06</v>
      </c>
      <c r="D21" s="64">
        <v>8076.0</v>
      </c>
      <c r="E21" s="54">
        <v>0.07</v>
      </c>
      <c r="F21" s="70">
        <v>622.0</v>
      </c>
      <c r="G21" s="71">
        <v>0.08</v>
      </c>
      <c r="H21" s="72">
        <v>107.0</v>
      </c>
      <c r="I21" s="71">
        <v>0.05</v>
      </c>
      <c r="J21" s="73">
        <v>9153.0</v>
      </c>
      <c r="K21" s="74">
        <v>0.03</v>
      </c>
      <c r="L21" s="73">
        <v>5187.0</v>
      </c>
      <c r="M21" s="74">
        <v>0.04</v>
      </c>
      <c r="N21" s="73">
        <v>13965.0</v>
      </c>
      <c r="O21" s="74">
        <v>0.03</v>
      </c>
    </row>
    <row r="22" ht="15.0" customHeight="1">
      <c r="A22" s="50" t="s">
        <v>73</v>
      </c>
      <c r="B22" s="51">
        <v>541.0</v>
      </c>
      <c r="C22" s="76" t="s">
        <v>56</v>
      </c>
      <c r="D22" s="64">
        <v>0.0</v>
      </c>
      <c r="E22" s="54">
        <v>0.0</v>
      </c>
      <c r="F22" s="70">
        <v>0.0</v>
      </c>
      <c r="G22" s="71">
        <v>0.0</v>
      </c>
      <c r="H22" s="72">
        <v>0.0</v>
      </c>
      <c r="I22" s="71">
        <v>0.0</v>
      </c>
      <c r="J22" s="73">
        <v>414.0</v>
      </c>
      <c r="K22" s="73" t="s">
        <v>56</v>
      </c>
      <c r="L22" s="73">
        <v>203.0</v>
      </c>
      <c r="M22" s="73" t="s">
        <v>56</v>
      </c>
      <c r="N22" s="73">
        <v>607.0</v>
      </c>
      <c r="O22" s="73" t="s">
        <v>56</v>
      </c>
    </row>
    <row r="23" ht="15.0" customHeight="1">
      <c r="A23" s="50" t="s">
        <v>74</v>
      </c>
      <c r="B23" s="51">
        <v>231672.0</v>
      </c>
      <c r="C23" s="52">
        <v>0.67</v>
      </c>
      <c r="D23" s="64">
        <v>63364.0</v>
      </c>
      <c r="E23" s="54">
        <v>0.57</v>
      </c>
      <c r="F23" s="70">
        <v>4510.0</v>
      </c>
      <c r="G23" s="71">
        <v>0.6</v>
      </c>
      <c r="H23" s="72">
        <v>1872.0</v>
      </c>
      <c r="I23" s="71">
        <v>0.84</v>
      </c>
      <c r="J23" s="73">
        <v>213697.0</v>
      </c>
      <c r="K23" s="74">
        <v>0.8</v>
      </c>
      <c r="L23" s="73">
        <v>116807.0</v>
      </c>
      <c r="M23" s="74">
        <v>0.81</v>
      </c>
      <c r="N23" s="73">
        <v>323622.0</v>
      </c>
      <c r="O23" s="74">
        <v>0.81</v>
      </c>
    </row>
    <row r="24" ht="14.25" customHeight="1">
      <c r="A24" s="50" t="s">
        <v>75</v>
      </c>
      <c r="B24" s="51">
        <v>20885.0</v>
      </c>
      <c r="C24" s="52">
        <v>0.06</v>
      </c>
      <c r="D24" s="64">
        <v>2465.0</v>
      </c>
      <c r="E24" s="54">
        <v>0.02</v>
      </c>
      <c r="F24" s="70">
        <v>207.0</v>
      </c>
      <c r="G24" s="71">
        <v>0.03</v>
      </c>
      <c r="H24" s="72" t="s">
        <v>55</v>
      </c>
      <c r="I24" s="75" t="s">
        <v>38</v>
      </c>
      <c r="J24" s="73">
        <v>13485.0</v>
      </c>
      <c r="K24" s="74">
        <v>0.05</v>
      </c>
      <c r="L24" s="73">
        <v>7698.0</v>
      </c>
      <c r="M24" s="74">
        <v>0.05</v>
      </c>
      <c r="N24" s="73">
        <v>20636.0</v>
      </c>
      <c r="O24" s="74">
        <v>0.05</v>
      </c>
    </row>
    <row r="25" ht="14.25" customHeight="1">
      <c r="A25" s="50" t="s">
        <v>76</v>
      </c>
      <c r="B25" s="51">
        <v>4587.0</v>
      </c>
      <c r="C25" s="52">
        <v>0.01</v>
      </c>
      <c r="D25" s="64">
        <v>1321.0</v>
      </c>
      <c r="E25" s="54">
        <v>0.01</v>
      </c>
      <c r="F25" s="70">
        <v>48.0</v>
      </c>
      <c r="G25" s="71">
        <v>0.01</v>
      </c>
      <c r="H25" s="72" t="s">
        <v>55</v>
      </c>
      <c r="I25" s="61" t="s">
        <v>38</v>
      </c>
      <c r="J25" s="62" t="s">
        <v>38</v>
      </c>
      <c r="K25" s="62" t="s">
        <v>38</v>
      </c>
      <c r="L25" s="62" t="s">
        <v>38</v>
      </c>
      <c r="M25" s="62" t="s">
        <v>38</v>
      </c>
      <c r="N25" s="62" t="s">
        <v>38</v>
      </c>
      <c r="O25" s="62" t="s">
        <v>38</v>
      </c>
    </row>
    <row r="26" ht="14.25" customHeight="1">
      <c r="A26" s="50" t="s">
        <v>77</v>
      </c>
      <c r="B26" s="51">
        <v>10223.0</v>
      </c>
      <c r="C26" s="61" t="s">
        <v>38</v>
      </c>
      <c r="D26" s="64">
        <v>2642.0</v>
      </c>
      <c r="E26" s="61" t="s">
        <v>38</v>
      </c>
      <c r="F26" s="70">
        <v>100.0</v>
      </c>
      <c r="G26" s="61" t="s">
        <v>38</v>
      </c>
      <c r="H26" s="72">
        <v>0.0</v>
      </c>
      <c r="I26" s="61" t="s">
        <v>38</v>
      </c>
      <c r="J26" s="62">
        <v>0.0</v>
      </c>
      <c r="K26" s="62" t="s">
        <v>38</v>
      </c>
      <c r="L26" s="62">
        <v>0.0</v>
      </c>
      <c r="M26" s="62" t="s">
        <v>38</v>
      </c>
      <c r="N26" s="62">
        <v>0.0</v>
      </c>
      <c r="O26" s="62" t="s">
        <v>38</v>
      </c>
    </row>
    <row r="27" ht="14.25" customHeight="1">
      <c r="A27" s="50" t="s">
        <v>78</v>
      </c>
      <c r="B27" s="51">
        <v>414449.0</v>
      </c>
      <c r="C27" s="61" t="s">
        <v>38</v>
      </c>
      <c r="D27" s="64">
        <v>14874.0</v>
      </c>
      <c r="E27" s="61" t="s">
        <v>38</v>
      </c>
      <c r="F27" s="70">
        <v>1712.0</v>
      </c>
      <c r="G27" s="76" t="s">
        <v>38</v>
      </c>
      <c r="H27" s="72">
        <v>360.0</v>
      </c>
      <c r="I27" s="61" t="s">
        <v>38</v>
      </c>
      <c r="J27" s="62">
        <v>34623.0</v>
      </c>
      <c r="K27" s="62" t="s">
        <v>38</v>
      </c>
      <c r="L27" s="62">
        <v>22193.0</v>
      </c>
      <c r="M27" s="62" t="s">
        <v>38</v>
      </c>
      <c r="N27" s="62">
        <v>56090.0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359002.0</v>
      </c>
      <c r="C29" s="52">
        <v>0.54</v>
      </c>
      <c r="D29" s="64">
        <v>64909.0</v>
      </c>
      <c r="E29" s="54">
        <v>0.53</v>
      </c>
      <c r="F29" s="72">
        <v>4464.0</v>
      </c>
      <c r="G29" s="52">
        <v>0.5</v>
      </c>
      <c r="H29" s="72">
        <v>1342.0</v>
      </c>
      <c r="I29" s="71">
        <v>0.52</v>
      </c>
      <c r="J29" s="73">
        <v>180287.0</v>
      </c>
      <c r="K29" s="74">
        <v>0.6</v>
      </c>
      <c r="L29" s="73">
        <v>102928.0</v>
      </c>
      <c r="M29" s="74">
        <v>0.62</v>
      </c>
      <c r="N29" s="73">
        <v>277382.0</v>
      </c>
      <c r="O29" s="74">
        <v>0.61</v>
      </c>
    </row>
    <row r="30" ht="14.25" customHeight="1">
      <c r="A30" s="50" t="s">
        <v>81</v>
      </c>
      <c r="B30" s="51">
        <v>304541.0</v>
      </c>
      <c r="C30" s="52">
        <v>0.46</v>
      </c>
      <c r="D30" s="64">
        <v>57631.0</v>
      </c>
      <c r="E30" s="54">
        <v>0.47</v>
      </c>
      <c r="F30" s="72">
        <v>4482.0</v>
      </c>
      <c r="G30" s="52">
        <v>0.5</v>
      </c>
      <c r="H30" s="72">
        <v>1257.0</v>
      </c>
      <c r="I30" s="71">
        <v>0.48</v>
      </c>
      <c r="J30" s="73">
        <v>119752.0</v>
      </c>
      <c r="K30" s="74">
        <v>0.4</v>
      </c>
      <c r="L30" s="73">
        <v>63873.0</v>
      </c>
      <c r="M30" s="74">
        <v>0.38</v>
      </c>
      <c r="N30" s="73">
        <v>179293.0</v>
      </c>
      <c r="O30" s="74">
        <v>0.39</v>
      </c>
    </row>
    <row r="31" ht="14.25" customHeight="1">
      <c r="A31" s="50" t="s">
        <v>82</v>
      </c>
      <c r="B31" s="51">
        <v>194.0</v>
      </c>
      <c r="C31" s="76" t="s">
        <v>56</v>
      </c>
      <c r="D31" s="64">
        <v>173.0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108893.0</v>
      </c>
      <c r="C32" s="76" t="s">
        <v>38</v>
      </c>
      <c r="D32" s="64">
        <v>5273.0</v>
      </c>
      <c r="E32" s="61" t="s">
        <v>38</v>
      </c>
      <c r="F32" s="51">
        <v>386.0</v>
      </c>
      <c r="G32" s="76" t="s">
        <v>38</v>
      </c>
      <c r="H32" s="72" t="s">
        <v>55</v>
      </c>
      <c r="I32" s="61" t="s">
        <v>38</v>
      </c>
      <c r="J32" s="62">
        <v>281.0</v>
      </c>
      <c r="K32" s="62" t="s">
        <v>38</v>
      </c>
      <c r="L32" s="62">
        <v>170.0</v>
      </c>
      <c r="M32" s="62" t="s">
        <v>38</v>
      </c>
      <c r="N32" s="62">
        <v>410.0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3116.0</v>
      </c>
      <c r="E34" s="54">
        <v>0.05</v>
      </c>
      <c r="F34" s="51">
        <v>103.0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63537.0</v>
      </c>
      <c r="E35" s="54">
        <v>0.95</v>
      </c>
      <c r="F35" s="51">
        <v>3271.0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61333.0</v>
      </c>
      <c r="E36" s="61" t="s">
        <v>38</v>
      </c>
      <c r="F36" s="76">
        <v>5972.0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41076.0</v>
      </c>
      <c r="E38" s="54">
        <v>0.53</v>
      </c>
      <c r="F38" s="76">
        <v>4663.0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36111.0</v>
      </c>
      <c r="E39" s="54">
        <v>0.46</v>
      </c>
      <c r="F39" s="76">
        <v>4670.0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549.0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246.0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23735.0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26269.0</v>
      </c>
      <c r="E43" s="61" t="s">
        <v>38</v>
      </c>
      <c r="F43" s="76">
        <v>10.0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40.0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642.0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1150.0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136.0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67115.0</v>
      </c>
      <c r="E49" s="54">
        <v>0.96</v>
      </c>
      <c r="F49" s="76">
        <v>3473.0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628.0</v>
      </c>
      <c r="E50" s="54">
        <v>0.01</v>
      </c>
      <c r="F50" s="76">
        <v>18.0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29180.0</v>
      </c>
      <c r="E51" s="61" t="s">
        <v>38</v>
      </c>
      <c r="F51" s="76">
        <v>2143.0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29095.0</v>
      </c>
      <c r="E52" s="61" t="s">
        <v>38</v>
      </c>
      <c r="F52" s="76">
        <v>3658.0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44279.0</v>
      </c>
      <c r="D58" s="101"/>
      <c r="E58" s="101"/>
      <c r="F58" s="101"/>
      <c r="G58" s="101"/>
      <c r="H58" s="101"/>
      <c r="I58" s="101"/>
      <c r="J58" s="101"/>
      <c r="K58" s="101"/>
      <c r="L58" s="101"/>
      <c r="M58" s="101"/>
      <c r="N58" s="101"/>
      <c r="O58" s="101"/>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73.0</v>
      </c>
      <c r="H30" s="75">
        <v>123.0</v>
      </c>
      <c r="I30" s="75">
        <v>98.0</v>
      </c>
      <c r="J30" s="75">
        <v>86.0</v>
      </c>
      <c r="K30" s="75">
        <v>61.0</v>
      </c>
      <c r="L30" s="75">
        <v>33.0</v>
      </c>
      <c r="M30" s="75">
        <v>32.0</v>
      </c>
      <c r="N30" s="75">
        <v>696.0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49.0</v>
      </c>
      <c r="L32" s="75">
        <v>39.0</v>
      </c>
      <c r="M32" s="75">
        <v>26.0</v>
      </c>
      <c r="N32" s="75">
        <v>669.0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192.0</v>
      </c>
      <c r="K39" s="122">
        <v>106.0</v>
      </c>
      <c r="L39" s="122">
        <v>42.0</v>
      </c>
      <c r="M39" s="122">
        <v>38.0</v>
      </c>
      <c r="N39" s="122">
        <v>1222.0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277.0</v>
      </c>
      <c r="G41" s="122">
        <v>270.0</v>
      </c>
      <c r="H41" s="122">
        <v>481.0</v>
      </c>
      <c r="I41" s="122">
        <v>380.0</v>
      </c>
      <c r="J41" s="122">
        <v>338.0</v>
      </c>
      <c r="K41" s="122">
        <v>235.0</v>
      </c>
      <c r="L41" s="122">
        <v>111.0</v>
      </c>
      <c r="M41" s="122">
        <v>64.0</v>
      </c>
      <c r="N41" s="122">
        <v>2471.0</v>
      </c>
    </row>
    <row r="42">
      <c r="A42" s="120" t="s">
        <v>140</v>
      </c>
      <c r="B42" s="122">
        <v>61.0</v>
      </c>
      <c r="C42" s="122">
        <v>71.0</v>
      </c>
      <c r="D42" s="122">
        <v>124.0</v>
      </c>
      <c r="E42" s="122">
        <v>142.0</v>
      </c>
      <c r="F42" s="122">
        <v>316.0</v>
      </c>
      <c r="G42" s="122">
        <v>266.0</v>
      </c>
      <c r="H42" s="122">
        <v>464.0</v>
      </c>
      <c r="I42" s="122">
        <v>449.0</v>
      </c>
      <c r="J42" s="122">
        <v>420.0</v>
      </c>
      <c r="K42" s="122">
        <v>289.0</v>
      </c>
      <c r="L42" s="122">
        <v>154.0</v>
      </c>
      <c r="M42" s="122">
        <v>98.0</v>
      </c>
      <c r="N42" s="122">
        <v>2854.0</v>
      </c>
    </row>
    <row r="43">
      <c r="A43" s="120" t="s">
        <v>141</v>
      </c>
      <c r="B43" s="122">
        <v>65.0</v>
      </c>
      <c r="C43" s="122">
        <v>115.0</v>
      </c>
      <c r="D43" s="122">
        <v>152.0</v>
      </c>
      <c r="E43" s="122">
        <v>205.0</v>
      </c>
      <c r="F43" s="122">
        <v>394.0</v>
      </c>
      <c r="G43" s="122">
        <v>347.0</v>
      </c>
      <c r="H43" s="122">
        <v>585.0</v>
      </c>
      <c r="I43" s="122">
        <v>492.0</v>
      </c>
      <c r="J43" s="122">
        <v>592.0</v>
      </c>
      <c r="K43" s="122">
        <v>397.0</v>
      </c>
      <c r="L43" s="122">
        <v>206.0</v>
      </c>
      <c r="M43" s="122">
        <v>192.0</v>
      </c>
      <c r="N43" s="122">
        <v>3742.0</v>
      </c>
    </row>
    <row r="44">
      <c r="A44" s="120" t="s">
        <v>142</v>
      </c>
      <c r="B44" s="122">
        <v>115.0</v>
      </c>
      <c r="C44" s="122">
        <v>124.0</v>
      </c>
      <c r="D44" s="122">
        <v>207.0</v>
      </c>
      <c r="E44" s="122">
        <v>276.0</v>
      </c>
      <c r="F44" s="122">
        <v>626.0</v>
      </c>
      <c r="G44" s="122">
        <v>564.0</v>
      </c>
      <c r="H44" s="122">
        <v>917.0</v>
      </c>
      <c r="I44" s="122">
        <v>765.0</v>
      </c>
      <c r="J44" s="122">
        <v>888.0</v>
      </c>
      <c r="K44" s="122">
        <v>608.0</v>
      </c>
      <c r="L44" s="122">
        <v>268.0</v>
      </c>
      <c r="M44" s="122">
        <v>207.0</v>
      </c>
      <c r="N44" s="122">
        <v>5565.0</v>
      </c>
    </row>
    <row r="45">
      <c r="A45" s="120" t="s">
        <v>143</v>
      </c>
      <c r="B45" s="122">
        <v>133.0</v>
      </c>
      <c r="C45" s="122">
        <v>151.0</v>
      </c>
      <c r="D45" s="122">
        <v>237.0</v>
      </c>
      <c r="E45" s="122">
        <v>316.0</v>
      </c>
      <c r="F45" s="122">
        <v>818.0</v>
      </c>
      <c r="G45" s="122">
        <v>611.0</v>
      </c>
      <c r="H45" s="122">
        <v>1070.0</v>
      </c>
      <c r="I45" s="122">
        <v>886.0</v>
      </c>
      <c r="J45" s="122">
        <v>1037.0</v>
      </c>
      <c r="K45" s="122">
        <v>692.0</v>
      </c>
      <c r="L45" s="122">
        <v>320.0</v>
      </c>
      <c r="M45" s="122">
        <v>237.0</v>
      </c>
      <c r="N45" s="122">
        <v>6508.0</v>
      </c>
    </row>
    <row r="46">
      <c r="A46" s="120" t="s">
        <v>144</v>
      </c>
      <c r="B46" s="122">
        <v>128.0</v>
      </c>
      <c r="C46" s="122">
        <v>181.0</v>
      </c>
      <c r="D46" s="122">
        <v>204.0</v>
      </c>
      <c r="E46" s="122">
        <v>259.0</v>
      </c>
      <c r="F46" s="122">
        <v>566.0</v>
      </c>
      <c r="G46" s="122">
        <v>521.0</v>
      </c>
      <c r="H46" s="122">
        <v>966.0</v>
      </c>
      <c r="I46" s="122">
        <v>806.0</v>
      </c>
      <c r="J46" s="122">
        <v>935.0</v>
      </c>
      <c r="K46" s="122">
        <v>628.0</v>
      </c>
      <c r="L46" s="122">
        <v>331.0</v>
      </c>
      <c r="M46" s="122">
        <v>370.0</v>
      </c>
      <c r="N46" s="122">
        <v>5895.0</v>
      </c>
    </row>
    <row r="47">
      <c r="A47" s="120" t="s">
        <v>145</v>
      </c>
      <c r="B47" s="122">
        <v>185.0</v>
      </c>
      <c r="C47" s="122">
        <v>246.0</v>
      </c>
      <c r="D47" s="122">
        <v>361.0</v>
      </c>
      <c r="E47" s="122">
        <v>412.0</v>
      </c>
      <c r="F47" s="122">
        <v>910.0</v>
      </c>
      <c r="G47" s="122">
        <v>757.0</v>
      </c>
      <c r="H47" s="122">
        <v>1382.0</v>
      </c>
      <c r="I47" s="122">
        <v>1224.0</v>
      </c>
      <c r="J47" s="122">
        <v>1362.0</v>
      </c>
      <c r="K47" s="122">
        <v>1006.0</v>
      </c>
      <c r="L47" s="122">
        <v>483.0</v>
      </c>
      <c r="M47" s="122">
        <v>453.0</v>
      </c>
      <c r="N47" s="122">
        <v>8781.0</v>
      </c>
    </row>
    <row r="48">
      <c r="A48" s="120" t="s">
        <v>146</v>
      </c>
      <c r="B48" s="122">
        <v>221.0</v>
      </c>
      <c r="C48" s="122">
        <v>261.0</v>
      </c>
      <c r="D48" s="122">
        <v>303.0</v>
      </c>
      <c r="E48" s="122">
        <v>364.0</v>
      </c>
      <c r="F48" s="122">
        <v>831.0</v>
      </c>
      <c r="G48" s="122">
        <v>717.0</v>
      </c>
      <c r="H48" s="122">
        <v>1253.0</v>
      </c>
      <c r="I48" s="122">
        <v>1121.0</v>
      </c>
      <c r="J48" s="122">
        <v>1329.0</v>
      </c>
      <c r="K48" s="122">
        <v>906.0</v>
      </c>
      <c r="L48" s="122">
        <v>452.0</v>
      </c>
      <c r="M48" s="122">
        <v>382.0</v>
      </c>
      <c r="N48" s="122">
        <v>8140.0</v>
      </c>
    </row>
    <row r="49" ht="15.75" customHeight="1">
      <c r="A49" s="120" t="s">
        <v>147</v>
      </c>
      <c r="B49" s="122">
        <v>162.0</v>
      </c>
      <c r="C49" s="122">
        <v>177.0</v>
      </c>
      <c r="D49" s="122">
        <v>242.0</v>
      </c>
      <c r="E49" s="122">
        <v>296.0</v>
      </c>
      <c r="F49" s="122">
        <v>565.0</v>
      </c>
      <c r="G49" s="122">
        <v>513.0</v>
      </c>
      <c r="H49" s="122">
        <v>928.0</v>
      </c>
      <c r="I49" s="122">
        <v>790.0</v>
      </c>
      <c r="J49" s="122">
        <v>935.0</v>
      </c>
      <c r="K49" s="122">
        <v>725.0</v>
      </c>
      <c r="L49" s="122">
        <v>361.0</v>
      </c>
      <c r="M49" s="122">
        <v>364.0</v>
      </c>
      <c r="N49" s="122">
        <v>6059.0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703.0</v>
      </c>
      <c r="G51" s="122">
        <v>651.0</v>
      </c>
      <c r="H51" s="122">
        <v>1060.0</v>
      </c>
      <c r="I51" s="122">
        <v>867.0</v>
      </c>
      <c r="J51" s="122">
        <v>955.0</v>
      </c>
      <c r="K51" s="122">
        <v>785.0</v>
      </c>
      <c r="L51" s="122">
        <v>408.0</v>
      </c>
      <c r="M51" s="122">
        <v>355.0</v>
      </c>
      <c r="N51" s="122">
        <v>6739.0</v>
      </c>
    </row>
    <row r="52" ht="15.75" customHeight="1">
      <c r="A52" s="120" t="s">
        <v>150</v>
      </c>
      <c r="B52" s="122">
        <v>195.0</v>
      </c>
      <c r="C52" s="122">
        <v>224.0</v>
      </c>
      <c r="D52" s="122">
        <v>320.0</v>
      </c>
      <c r="E52" s="122">
        <v>422.0</v>
      </c>
      <c r="F52" s="122">
        <v>861.0</v>
      </c>
      <c r="G52" s="122">
        <v>730.0</v>
      </c>
      <c r="H52" s="122">
        <v>1291.0</v>
      </c>
      <c r="I52" s="122">
        <v>974.0</v>
      </c>
      <c r="J52" s="122">
        <v>1144.0</v>
      </c>
      <c r="K52" s="122">
        <v>802.0</v>
      </c>
      <c r="L52" s="122">
        <v>376.0</v>
      </c>
      <c r="M52" s="122">
        <v>296.0</v>
      </c>
      <c r="N52" s="122">
        <v>7636.0</v>
      </c>
    </row>
    <row r="53" ht="15.75" customHeight="1">
      <c r="A53" s="120" t="s">
        <v>151</v>
      </c>
      <c r="B53" s="122">
        <v>154.0</v>
      </c>
      <c r="C53" s="122">
        <v>223.0</v>
      </c>
      <c r="D53" s="122">
        <v>278.0</v>
      </c>
      <c r="E53" s="122">
        <v>359.0</v>
      </c>
      <c r="F53" s="122">
        <v>644.0</v>
      </c>
      <c r="G53" s="122">
        <v>502.0</v>
      </c>
      <c r="H53" s="122">
        <v>805.0</v>
      </c>
      <c r="I53" s="122">
        <v>770.0</v>
      </c>
      <c r="J53" s="122">
        <v>856.0</v>
      </c>
      <c r="K53" s="122">
        <v>578.0</v>
      </c>
      <c r="L53" s="122">
        <v>321.0</v>
      </c>
      <c r="M53" s="122">
        <v>274.0</v>
      </c>
      <c r="N53" s="122">
        <v>5764.0</v>
      </c>
    </row>
    <row r="54" ht="15.75" customHeight="1">
      <c r="A54" s="120" t="s">
        <v>152</v>
      </c>
      <c r="B54" s="122">
        <v>140.0</v>
      </c>
      <c r="C54" s="122">
        <v>198.0</v>
      </c>
      <c r="D54" s="122">
        <v>226.0</v>
      </c>
      <c r="E54" s="122">
        <v>259.0</v>
      </c>
      <c r="F54" s="122">
        <v>527.0</v>
      </c>
      <c r="G54" s="122">
        <v>383.0</v>
      </c>
      <c r="H54" s="122">
        <v>728.0</v>
      </c>
      <c r="I54" s="122">
        <v>602.0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592.0</v>
      </c>
      <c r="I55" s="122">
        <v>493.0</v>
      </c>
      <c r="J55" s="122">
        <v>525.0</v>
      </c>
      <c r="K55" s="122">
        <v>452.0</v>
      </c>
      <c r="L55" s="122">
        <v>234.0</v>
      </c>
      <c r="M55" s="122">
        <v>186.0</v>
      </c>
      <c r="N55" s="122">
        <v>3969.0</v>
      </c>
    </row>
    <row r="56" ht="15.75" customHeight="1">
      <c r="A56" s="120" t="s">
        <v>154</v>
      </c>
      <c r="B56" s="122">
        <v>92.0</v>
      </c>
      <c r="C56" s="122">
        <v>130.0</v>
      </c>
      <c r="D56" s="122">
        <v>117.0</v>
      </c>
      <c r="E56" s="122">
        <v>173.0</v>
      </c>
      <c r="F56" s="122">
        <v>453.0</v>
      </c>
      <c r="G56" s="122">
        <v>230.0</v>
      </c>
      <c r="H56" s="122">
        <v>442.0</v>
      </c>
      <c r="I56" s="122">
        <v>359.0</v>
      </c>
      <c r="J56" s="122">
        <v>399.0</v>
      </c>
      <c r="K56" s="122">
        <v>319.0</v>
      </c>
      <c r="L56" s="122">
        <v>192.0</v>
      </c>
      <c r="M56" s="122">
        <v>132.0</v>
      </c>
      <c r="N56" s="122">
        <v>3038.0</v>
      </c>
    </row>
    <row r="57" ht="15.75" customHeight="1">
      <c r="A57" s="120" t="s">
        <v>155</v>
      </c>
      <c r="B57" s="122">
        <v>70.0</v>
      </c>
      <c r="C57" s="122">
        <v>96.0</v>
      </c>
      <c r="D57" s="122">
        <v>117.0</v>
      </c>
      <c r="E57" s="122">
        <v>150.0</v>
      </c>
      <c r="F57" s="122">
        <v>452.0</v>
      </c>
      <c r="G57" s="122">
        <v>217.0</v>
      </c>
      <c r="H57" s="122">
        <v>358.0</v>
      </c>
      <c r="I57" s="122">
        <v>267.0</v>
      </c>
      <c r="J57" s="122">
        <v>299.0</v>
      </c>
      <c r="K57" s="122">
        <v>226.0</v>
      </c>
      <c r="L57" s="122">
        <v>131.0</v>
      </c>
      <c r="M57" s="122">
        <v>76.0</v>
      </c>
      <c r="N57" s="122">
        <v>2460.0</v>
      </c>
    </row>
    <row r="58" ht="15.75" customHeight="1">
      <c r="A58" s="120" t="s">
        <v>156</v>
      </c>
      <c r="B58" s="122">
        <v>66.0</v>
      </c>
      <c r="C58" s="122">
        <v>79.0</v>
      </c>
      <c r="D58" s="122">
        <v>75.0</v>
      </c>
      <c r="E58" s="122">
        <v>123.0</v>
      </c>
      <c r="F58" s="122">
        <v>420.0</v>
      </c>
      <c r="G58" s="122">
        <v>162.0</v>
      </c>
      <c r="H58" s="122">
        <v>309.0</v>
      </c>
      <c r="I58" s="122">
        <v>263.0</v>
      </c>
      <c r="J58" s="122">
        <v>293.0</v>
      </c>
      <c r="K58" s="122">
        <v>207.0</v>
      </c>
      <c r="L58" s="122">
        <v>96.0</v>
      </c>
      <c r="M58" s="122">
        <v>43.0</v>
      </c>
      <c r="N58" s="122">
        <v>2136.0</v>
      </c>
    </row>
    <row r="59" ht="15.75" customHeight="1">
      <c r="A59" s="120" t="s">
        <v>157</v>
      </c>
      <c r="B59" s="122">
        <v>77.0</v>
      </c>
      <c r="C59" s="122">
        <v>94.0</v>
      </c>
      <c r="D59" s="122">
        <v>90.0</v>
      </c>
      <c r="E59" s="122">
        <v>210.0</v>
      </c>
      <c r="F59" s="122">
        <v>515.0</v>
      </c>
      <c r="G59" s="122">
        <v>179.0</v>
      </c>
      <c r="H59" s="122">
        <v>343.0</v>
      </c>
      <c r="I59" s="122">
        <v>291.0</v>
      </c>
      <c r="J59" s="122">
        <v>280.0</v>
      </c>
      <c r="K59" s="122">
        <v>214.0</v>
      </c>
      <c r="L59" s="122">
        <v>93.0</v>
      </c>
      <c r="M59" s="122">
        <v>38.0</v>
      </c>
      <c r="N59" s="122">
        <v>2424.0</v>
      </c>
    </row>
    <row r="60" ht="15.75" customHeight="1">
      <c r="A60" s="120" t="s">
        <v>158</v>
      </c>
      <c r="B60" s="122">
        <v>63.0</v>
      </c>
      <c r="C60" s="122">
        <v>95.0</v>
      </c>
      <c r="D60" s="122">
        <v>121.0</v>
      </c>
      <c r="E60" s="122">
        <v>144.0</v>
      </c>
      <c r="F60" s="122">
        <v>510.0</v>
      </c>
      <c r="G60" s="122">
        <v>162.0</v>
      </c>
      <c r="H60" s="122">
        <v>310.0</v>
      </c>
      <c r="I60" s="122">
        <v>264.0</v>
      </c>
      <c r="J60" s="122">
        <v>262.0</v>
      </c>
      <c r="K60" s="122">
        <v>174.0</v>
      </c>
      <c r="L60" s="122">
        <v>74.0</v>
      </c>
      <c r="M60" s="122">
        <v>34.0</v>
      </c>
      <c r="N60" s="122">
        <v>2213.0</v>
      </c>
    </row>
    <row r="61" ht="15.75" customHeight="1">
      <c r="A61" s="120" t="s">
        <v>159</v>
      </c>
      <c r="B61" s="122">
        <v>82.0</v>
      </c>
      <c r="C61" s="122">
        <v>120.0</v>
      </c>
      <c r="D61" s="122">
        <v>133.0</v>
      </c>
      <c r="E61" s="122">
        <v>207.0</v>
      </c>
      <c r="F61" s="122">
        <v>403.0</v>
      </c>
      <c r="G61" s="122">
        <v>174.0</v>
      </c>
      <c r="H61" s="122">
        <v>323.0</v>
      </c>
      <c r="I61" s="122">
        <v>241.0</v>
      </c>
      <c r="J61" s="122">
        <v>288.0</v>
      </c>
      <c r="K61" s="122">
        <v>192.0</v>
      </c>
      <c r="L61" s="122">
        <v>71.0</v>
      </c>
      <c r="M61" s="122">
        <v>43.0</v>
      </c>
      <c r="N61" s="122">
        <v>2277.0</v>
      </c>
    </row>
    <row r="62" ht="15.75" customHeight="1">
      <c r="A62" s="120" t="s">
        <v>160</v>
      </c>
      <c r="B62" s="122">
        <v>62.0</v>
      </c>
      <c r="C62" s="122">
        <v>95.0</v>
      </c>
      <c r="D62" s="122">
        <v>152.0</v>
      </c>
      <c r="E62" s="122">
        <v>208.0</v>
      </c>
      <c r="F62" s="122">
        <v>348.0</v>
      </c>
      <c r="G62" s="122">
        <v>171.0</v>
      </c>
      <c r="H62" s="122">
        <v>336.0</v>
      </c>
      <c r="I62" s="122">
        <v>252.0</v>
      </c>
      <c r="J62" s="122">
        <v>279.0</v>
      </c>
      <c r="K62" s="122">
        <v>177.0</v>
      </c>
      <c r="L62" s="122">
        <v>64.0</v>
      </c>
      <c r="M62" s="122">
        <v>34.0</v>
      </c>
      <c r="N62" s="122">
        <v>2179.0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161</v>
      </c>
      <c r="I1" s="103"/>
      <c r="J1" s="103"/>
      <c r="K1" s="104"/>
      <c r="L1" s="105"/>
      <c r="M1" s="106"/>
      <c r="N1" s="105"/>
    </row>
    <row r="2">
      <c r="A2" s="107" t="s">
        <v>162</v>
      </c>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163</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164</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165</v>
      </c>
      <c r="F9" s="119">
        <v>0.0</v>
      </c>
      <c r="G9" s="119">
        <v>0.0</v>
      </c>
      <c r="H9" s="119">
        <v>0.0</v>
      </c>
      <c r="I9" s="119" t="s">
        <v>165</v>
      </c>
      <c r="J9" s="119">
        <v>0.0</v>
      </c>
      <c r="K9" s="119" t="s">
        <v>165</v>
      </c>
      <c r="L9" s="119">
        <v>0.0</v>
      </c>
      <c r="M9" s="119">
        <v>0.0</v>
      </c>
      <c r="N9" s="119" t="s">
        <v>165</v>
      </c>
    </row>
    <row r="10">
      <c r="A10" s="120" t="s">
        <v>107</v>
      </c>
      <c r="B10" s="75" t="s">
        <v>165</v>
      </c>
      <c r="C10" s="75" t="s">
        <v>165</v>
      </c>
      <c r="D10" s="75">
        <v>0.0</v>
      </c>
      <c r="E10" s="75" t="s">
        <v>165</v>
      </c>
      <c r="F10" s="75">
        <v>0.0</v>
      </c>
      <c r="G10" s="75" t="s">
        <v>165</v>
      </c>
      <c r="H10" s="75" t="s">
        <v>165</v>
      </c>
      <c r="I10" s="75" t="s">
        <v>165</v>
      </c>
      <c r="J10" s="75" t="s">
        <v>165</v>
      </c>
      <c r="K10" s="75" t="s">
        <v>165</v>
      </c>
      <c r="L10" s="75" t="s">
        <v>165</v>
      </c>
      <c r="M10" s="75">
        <v>0.0</v>
      </c>
      <c r="N10" s="75">
        <v>1.0</v>
      </c>
    </row>
    <row r="11">
      <c r="A11" s="120" t="s">
        <v>108</v>
      </c>
      <c r="B11" s="75">
        <v>0.0</v>
      </c>
      <c r="C11" s="75">
        <v>0.0</v>
      </c>
      <c r="D11" s="75" t="s">
        <v>165</v>
      </c>
      <c r="E11" s="75" t="s">
        <v>165</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165</v>
      </c>
      <c r="C13" s="75" t="s">
        <v>165</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165</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165</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165</v>
      </c>
      <c r="E26" s="75">
        <v>39.0</v>
      </c>
      <c r="F26" s="75">
        <v>35.0</v>
      </c>
      <c r="G26" s="75">
        <v>52.0</v>
      </c>
      <c r="H26" s="75">
        <v>27.0</v>
      </c>
      <c r="I26" s="75">
        <v>26.0</v>
      </c>
      <c r="J26" s="75">
        <v>27.0</v>
      </c>
      <c r="K26" s="75">
        <v>12.0</v>
      </c>
      <c r="L26" s="75">
        <v>17.0</v>
      </c>
      <c r="M26" s="75">
        <v>25.0</v>
      </c>
      <c r="N26" s="75">
        <v>26.0</v>
      </c>
    </row>
    <row r="27">
      <c r="A27" s="120" t="s">
        <v>124</v>
      </c>
      <c r="B27" s="75" t="s">
        <v>165</v>
      </c>
      <c r="C27" s="75" t="s">
        <v>165</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95.0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292.0</v>
      </c>
      <c r="G42" s="122">
        <v>352.0</v>
      </c>
      <c r="H42" s="122">
        <v>355.0</v>
      </c>
      <c r="I42" s="122">
        <v>305.0</v>
      </c>
      <c r="J42" s="122">
        <v>225.0</v>
      </c>
      <c r="K42" s="122">
        <v>181.0</v>
      </c>
      <c r="L42" s="122">
        <v>147.0</v>
      </c>
      <c r="M42" s="122">
        <v>131.0</v>
      </c>
      <c r="N42" s="122">
        <v>234.0</v>
      </c>
    </row>
    <row r="43">
      <c r="A43" s="120" t="s">
        <v>140</v>
      </c>
      <c r="B43" s="122">
        <v>112.0</v>
      </c>
      <c r="C43" s="122">
        <v>129.0</v>
      </c>
      <c r="D43" s="122">
        <v>210.0</v>
      </c>
      <c r="E43" s="122">
        <v>265.0</v>
      </c>
      <c r="F43" s="122">
        <v>333.0</v>
      </c>
      <c r="G43" s="122">
        <v>347.0</v>
      </c>
      <c r="H43" s="122">
        <v>343.0</v>
      </c>
      <c r="I43" s="122">
        <v>360.0</v>
      </c>
      <c r="J43" s="122">
        <v>279.0</v>
      </c>
      <c r="K43" s="122">
        <v>222.0</v>
      </c>
      <c r="L43" s="122">
        <v>204.0</v>
      </c>
      <c r="M43" s="122">
        <v>201.0</v>
      </c>
      <c r="N43" s="122">
        <v>270.0</v>
      </c>
    </row>
    <row r="44">
      <c r="A44" s="120" t="s">
        <v>141</v>
      </c>
      <c r="B44" s="122">
        <v>119.0</v>
      </c>
      <c r="C44" s="122">
        <v>209.0</v>
      </c>
      <c r="D44" s="122">
        <v>257.0</v>
      </c>
      <c r="E44" s="122">
        <v>383.0</v>
      </c>
      <c r="F44" s="122">
        <v>415.0</v>
      </c>
      <c r="G44" s="122">
        <v>453.0</v>
      </c>
      <c r="H44" s="122">
        <v>432.0</v>
      </c>
      <c r="I44" s="122">
        <v>394.0</v>
      </c>
      <c r="J44" s="122">
        <v>394.0</v>
      </c>
      <c r="K44" s="122">
        <v>305.0</v>
      </c>
      <c r="L44" s="122">
        <v>273.0</v>
      </c>
      <c r="M44" s="122">
        <v>394.0</v>
      </c>
      <c r="N44" s="122">
        <v>354.0</v>
      </c>
    </row>
    <row r="45">
      <c r="A45" s="120" t="s">
        <v>142</v>
      </c>
      <c r="B45" s="122">
        <v>210.0</v>
      </c>
      <c r="C45" s="122">
        <v>225.0</v>
      </c>
      <c r="D45" s="122">
        <v>351.0</v>
      </c>
      <c r="E45" s="122">
        <v>516.0</v>
      </c>
      <c r="F45" s="122">
        <v>660.0</v>
      </c>
      <c r="G45" s="122">
        <v>736.0</v>
      </c>
      <c r="H45" s="122">
        <v>677.0</v>
      </c>
      <c r="I45" s="122">
        <v>613.0</v>
      </c>
      <c r="J45" s="122">
        <v>591.0</v>
      </c>
      <c r="K45" s="122">
        <v>468.0</v>
      </c>
      <c r="L45" s="122">
        <v>355.0</v>
      </c>
      <c r="M45" s="122">
        <v>425.0</v>
      </c>
      <c r="N45" s="122">
        <v>527.0</v>
      </c>
    </row>
    <row r="46">
      <c r="A46" s="120" t="s">
        <v>143</v>
      </c>
      <c r="B46" s="122">
        <v>243.0</v>
      </c>
      <c r="C46" s="122">
        <v>274.0</v>
      </c>
      <c r="D46" s="122">
        <v>401.0</v>
      </c>
      <c r="E46" s="122">
        <v>591.0</v>
      </c>
      <c r="F46" s="122">
        <v>863.0</v>
      </c>
      <c r="G46" s="122">
        <v>798.0</v>
      </c>
      <c r="H46" s="122">
        <v>790.0</v>
      </c>
      <c r="I46" s="122">
        <v>710.0</v>
      </c>
      <c r="J46" s="122">
        <v>690.0</v>
      </c>
      <c r="K46" s="122">
        <v>532.0</v>
      </c>
      <c r="L46" s="122">
        <v>424.0</v>
      </c>
      <c r="M46" s="122">
        <v>487.0</v>
      </c>
      <c r="N46" s="122">
        <v>616.0</v>
      </c>
    </row>
    <row r="47">
      <c r="A47" s="120" t="s">
        <v>144</v>
      </c>
      <c r="B47" s="122">
        <v>234.0</v>
      </c>
      <c r="C47" s="122">
        <v>329.0</v>
      </c>
      <c r="D47" s="122">
        <v>346.0</v>
      </c>
      <c r="E47" s="122">
        <v>484.0</v>
      </c>
      <c r="F47" s="122">
        <v>597.0</v>
      </c>
      <c r="G47" s="122">
        <v>680.0</v>
      </c>
      <c r="H47" s="122">
        <v>714.0</v>
      </c>
      <c r="I47" s="122">
        <v>646.0</v>
      </c>
      <c r="J47" s="122">
        <v>622.0</v>
      </c>
      <c r="K47" s="122">
        <v>483.0</v>
      </c>
      <c r="L47" s="122">
        <v>439.0</v>
      </c>
      <c r="M47" s="122">
        <v>760.0</v>
      </c>
      <c r="N47" s="122">
        <v>558.0</v>
      </c>
    </row>
    <row r="48">
      <c r="A48" s="120" t="s">
        <v>145</v>
      </c>
      <c r="B48" s="122">
        <v>338.0</v>
      </c>
      <c r="C48" s="122">
        <v>447.0</v>
      </c>
      <c r="D48" s="122">
        <v>611.0</v>
      </c>
      <c r="E48" s="122">
        <v>770.0</v>
      </c>
      <c r="F48" s="122">
        <v>960.0</v>
      </c>
      <c r="G48" s="122">
        <v>988.0</v>
      </c>
      <c r="H48" s="122">
        <v>1021.0</v>
      </c>
      <c r="I48" s="122">
        <v>981.0</v>
      </c>
      <c r="J48" s="122">
        <v>906.0</v>
      </c>
      <c r="K48" s="122">
        <v>774.0</v>
      </c>
      <c r="L48" s="122">
        <v>641.0</v>
      </c>
      <c r="M48" s="122">
        <v>930.0</v>
      </c>
      <c r="N48" s="122">
        <v>831.0</v>
      </c>
    </row>
    <row r="49">
      <c r="A49" s="120" t="s">
        <v>146</v>
      </c>
      <c r="B49" s="122">
        <v>404.0</v>
      </c>
      <c r="C49" s="122">
        <v>474.0</v>
      </c>
      <c r="D49" s="122">
        <v>513.0</v>
      </c>
      <c r="E49" s="122">
        <v>680.0</v>
      </c>
      <c r="F49" s="122">
        <v>876.0</v>
      </c>
      <c r="G49" s="122">
        <v>936.0</v>
      </c>
      <c r="H49" s="122">
        <v>926.0</v>
      </c>
      <c r="I49" s="122">
        <v>899.0</v>
      </c>
      <c r="J49" s="122">
        <v>884.0</v>
      </c>
      <c r="K49" s="122">
        <v>697.0</v>
      </c>
      <c r="L49" s="122">
        <v>600.0</v>
      </c>
      <c r="M49" s="122">
        <v>784.0</v>
      </c>
      <c r="N49" s="122">
        <v>770.0</v>
      </c>
    </row>
    <row r="50">
      <c r="A50" s="120" t="s">
        <v>147</v>
      </c>
      <c r="B50" s="122">
        <v>296.0</v>
      </c>
      <c r="C50" s="122">
        <v>321.0</v>
      </c>
      <c r="D50" s="122">
        <v>410.0</v>
      </c>
      <c r="E50" s="122">
        <v>553.0</v>
      </c>
      <c r="F50" s="122">
        <v>596.0</v>
      </c>
      <c r="G50" s="122">
        <v>670.0</v>
      </c>
      <c r="H50" s="122">
        <v>685.0</v>
      </c>
      <c r="I50" s="122">
        <v>633.0</v>
      </c>
      <c r="J50" s="122">
        <v>622.0</v>
      </c>
      <c r="K50" s="122">
        <v>558.0</v>
      </c>
      <c r="L50" s="122">
        <v>479.0</v>
      </c>
      <c r="M50" s="122">
        <v>747.0</v>
      </c>
      <c r="N50" s="122">
        <v>573.0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741.0</v>
      </c>
      <c r="G52" s="122">
        <v>850.0</v>
      </c>
      <c r="H52" s="122">
        <v>783.0</v>
      </c>
      <c r="I52" s="122">
        <v>695.0</v>
      </c>
      <c r="J52" s="122">
        <v>635.0</v>
      </c>
      <c r="K52" s="122">
        <v>604.0</v>
      </c>
      <c r="L52" s="122">
        <v>541.0</v>
      </c>
      <c r="M52" s="122">
        <v>729.0</v>
      </c>
      <c r="N52" s="122">
        <v>638.0</v>
      </c>
    </row>
    <row r="53">
      <c r="A53" s="120" t="s">
        <v>150</v>
      </c>
      <c r="B53" s="122">
        <v>357.0</v>
      </c>
      <c r="C53" s="122">
        <v>407.0</v>
      </c>
      <c r="D53" s="122">
        <v>542.0</v>
      </c>
      <c r="E53" s="122">
        <v>789.0</v>
      </c>
      <c r="F53" s="122">
        <v>908.0</v>
      </c>
      <c r="G53" s="122">
        <v>953.0</v>
      </c>
      <c r="H53" s="122">
        <v>954.0</v>
      </c>
      <c r="I53" s="122">
        <v>781.0</v>
      </c>
      <c r="J53" s="122">
        <v>761.0</v>
      </c>
      <c r="K53" s="122">
        <v>617.0</v>
      </c>
      <c r="L53" s="122">
        <v>499.0</v>
      </c>
      <c r="M53" s="122">
        <v>608.0</v>
      </c>
      <c r="N53" s="122">
        <v>723.0</v>
      </c>
    </row>
    <row r="54">
      <c r="A54" s="120" t="s">
        <v>151</v>
      </c>
      <c r="B54" s="122">
        <v>282.0</v>
      </c>
      <c r="C54" s="122">
        <v>405.0</v>
      </c>
      <c r="D54" s="122">
        <v>471.0</v>
      </c>
      <c r="E54" s="122">
        <v>671.0</v>
      </c>
      <c r="F54" s="122">
        <v>679.0</v>
      </c>
      <c r="G54" s="122">
        <v>655.0</v>
      </c>
      <c r="H54" s="122">
        <v>595.0</v>
      </c>
      <c r="I54" s="122">
        <v>617.0</v>
      </c>
      <c r="J54" s="122">
        <v>569.0</v>
      </c>
      <c r="K54" s="122">
        <v>445.0</v>
      </c>
      <c r="L54" s="122">
        <v>426.0</v>
      </c>
      <c r="M54" s="122">
        <v>562.0</v>
      </c>
      <c r="N54" s="122">
        <v>546.0</v>
      </c>
    </row>
    <row r="55">
      <c r="A55" s="120" t="s">
        <v>152</v>
      </c>
      <c r="B55" s="122">
        <v>256.0</v>
      </c>
      <c r="C55" s="122">
        <v>360.0</v>
      </c>
      <c r="D55" s="122">
        <v>383.0</v>
      </c>
      <c r="E55" s="122">
        <v>484.0</v>
      </c>
      <c r="F55" s="122">
        <v>556.0</v>
      </c>
      <c r="G55" s="122">
        <v>500.0</v>
      </c>
      <c r="H55" s="122">
        <v>538.0</v>
      </c>
      <c r="I55" s="122">
        <v>483.0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437.0</v>
      </c>
      <c r="I56" s="122">
        <v>395.0</v>
      </c>
      <c r="J56" s="122">
        <v>349.0</v>
      </c>
      <c r="K56" s="122">
        <v>348.0</v>
      </c>
      <c r="L56" s="122">
        <v>310.0</v>
      </c>
      <c r="M56" s="122">
        <v>382.0</v>
      </c>
      <c r="N56" s="122">
        <v>376.0</v>
      </c>
    </row>
    <row r="57">
      <c r="A57" s="120" t="s">
        <v>154</v>
      </c>
      <c r="B57" s="122">
        <v>168.0</v>
      </c>
      <c r="C57" s="122">
        <v>236.0</v>
      </c>
      <c r="D57" s="122">
        <v>198.0</v>
      </c>
      <c r="E57" s="122">
        <v>323.0</v>
      </c>
      <c r="F57" s="122">
        <v>478.0</v>
      </c>
      <c r="G57" s="122">
        <v>300.0</v>
      </c>
      <c r="H57" s="122">
        <v>326.0</v>
      </c>
      <c r="I57" s="122">
        <v>288.0</v>
      </c>
      <c r="J57" s="122">
        <v>265.0</v>
      </c>
      <c r="K57" s="122">
        <v>245.0</v>
      </c>
      <c r="L57" s="122">
        <v>255.0</v>
      </c>
      <c r="M57" s="122">
        <v>271.0</v>
      </c>
      <c r="N57" s="122">
        <v>288.0</v>
      </c>
    </row>
    <row r="58">
      <c r="A58" s="120" t="s">
        <v>155</v>
      </c>
      <c r="B58" s="122">
        <v>128.0</v>
      </c>
      <c r="C58" s="122">
        <v>174.0</v>
      </c>
      <c r="D58" s="122">
        <v>198.0</v>
      </c>
      <c r="E58" s="122">
        <v>280.0</v>
      </c>
      <c r="F58" s="122">
        <v>477.0</v>
      </c>
      <c r="G58" s="122">
        <v>283.0</v>
      </c>
      <c r="H58" s="122">
        <v>264.0</v>
      </c>
      <c r="I58" s="122">
        <v>214.0</v>
      </c>
      <c r="J58" s="122">
        <v>199.0</v>
      </c>
      <c r="K58" s="122">
        <v>174.0</v>
      </c>
      <c r="L58" s="122">
        <v>174.0</v>
      </c>
      <c r="M58" s="122">
        <v>156.0</v>
      </c>
      <c r="N58" s="122">
        <v>233.0</v>
      </c>
    </row>
    <row r="59">
      <c r="A59" s="120" t="s">
        <v>156</v>
      </c>
      <c r="B59" s="122">
        <v>121.0</v>
      </c>
      <c r="C59" s="122">
        <v>143.0</v>
      </c>
      <c r="D59" s="122">
        <v>127.0</v>
      </c>
      <c r="E59" s="122">
        <v>230.0</v>
      </c>
      <c r="F59" s="122">
        <v>443.0</v>
      </c>
      <c r="G59" s="122">
        <v>211.0</v>
      </c>
      <c r="H59" s="122">
        <v>228.0</v>
      </c>
      <c r="I59" s="122">
        <v>211.0</v>
      </c>
      <c r="J59" s="122">
        <v>195.0</v>
      </c>
      <c r="K59" s="122">
        <v>159.0</v>
      </c>
      <c r="L59" s="122">
        <v>127.0</v>
      </c>
      <c r="M59" s="122">
        <v>88.0</v>
      </c>
      <c r="N59" s="122">
        <v>202.0</v>
      </c>
    </row>
    <row r="60">
      <c r="A60" s="120" t="s">
        <v>157</v>
      </c>
      <c r="B60" s="122">
        <v>141.0</v>
      </c>
      <c r="C60" s="122">
        <v>171.0</v>
      </c>
      <c r="D60" s="122">
        <v>152.0</v>
      </c>
      <c r="E60" s="122">
        <v>392.0</v>
      </c>
      <c r="F60" s="122">
        <v>543.0</v>
      </c>
      <c r="G60" s="122">
        <v>234.0</v>
      </c>
      <c r="H60" s="122">
        <v>253.0</v>
      </c>
      <c r="I60" s="122">
        <v>233.0</v>
      </c>
      <c r="J60" s="122">
        <v>186.0</v>
      </c>
      <c r="K60" s="122">
        <v>165.0</v>
      </c>
      <c r="L60" s="122">
        <v>123.0</v>
      </c>
      <c r="M60" s="122">
        <v>78.0</v>
      </c>
      <c r="N60" s="122">
        <v>229.0</v>
      </c>
    </row>
    <row r="61">
      <c r="A61" s="120" t="s">
        <v>158</v>
      </c>
      <c r="B61" s="122">
        <v>115.0</v>
      </c>
      <c r="C61" s="122">
        <v>173.0</v>
      </c>
      <c r="D61" s="122">
        <v>205.0</v>
      </c>
      <c r="E61" s="122">
        <v>269.0</v>
      </c>
      <c r="F61" s="122">
        <v>538.0</v>
      </c>
      <c r="G61" s="122">
        <v>211.0</v>
      </c>
      <c r="H61" s="122">
        <v>229.0</v>
      </c>
      <c r="I61" s="122">
        <v>212.0</v>
      </c>
      <c r="J61" s="122">
        <v>174.0</v>
      </c>
      <c r="K61" s="122">
        <v>134.0</v>
      </c>
      <c r="L61" s="122">
        <v>98.0</v>
      </c>
      <c r="M61" s="122">
        <v>70.0</v>
      </c>
      <c r="N61" s="122">
        <v>209.0</v>
      </c>
    </row>
    <row r="62">
      <c r="A62" s="120" t="s">
        <v>159</v>
      </c>
      <c r="B62" s="122">
        <v>150.0</v>
      </c>
      <c r="C62" s="122">
        <v>218.0</v>
      </c>
      <c r="D62" s="122">
        <v>225.0</v>
      </c>
      <c r="E62" s="122">
        <v>387.0</v>
      </c>
      <c r="F62" s="122">
        <v>425.0</v>
      </c>
      <c r="G62" s="122">
        <v>227.0</v>
      </c>
      <c r="H62" s="122">
        <v>239.0</v>
      </c>
      <c r="I62" s="122">
        <v>193.0</v>
      </c>
      <c r="J62" s="122">
        <v>192.0</v>
      </c>
      <c r="K62" s="122">
        <v>148.0</v>
      </c>
      <c r="L62" s="122">
        <v>94.0</v>
      </c>
      <c r="M62" s="122">
        <v>88.0</v>
      </c>
      <c r="N62" s="122">
        <v>216.0</v>
      </c>
    </row>
    <row r="63">
      <c r="A63" s="120" t="s">
        <v>160</v>
      </c>
      <c r="B63" s="122">
        <v>113.0</v>
      </c>
      <c r="C63" s="122">
        <v>173.0</v>
      </c>
      <c r="D63" s="122">
        <v>257.0</v>
      </c>
      <c r="E63" s="122">
        <v>389.0</v>
      </c>
      <c r="F63" s="122">
        <v>367.0</v>
      </c>
      <c r="G63" s="122">
        <v>223.0</v>
      </c>
      <c r="H63" s="122">
        <v>248.0</v>
      </c>
      <c r="I63" s="122">
        <v>202.0</v>
      </c>
      <c r="J63" s="122">
        <v>186.0</v>
      </c>
      <c r="K63" s="122">
        <v>136.0</v>
      </c>
      <c r="L63" s="122">
        <v>85.0</v>
      </c>
      <c r="M63" s="122">
        <v>70.0</v>
      </c>
      <c r="N63" s="122">
        <v>206.0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166</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167</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168</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170</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171</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172</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164</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165</v>
      </c>
      <c r="I9" s="75">
        <v>0.0</v>
      </c>
      <c r="J9" s="75" t="s">
        <v>165</v>
      </c>
      <c r="K9" s="75" t="s">
        <v>165</v>
      </c>
      <c r="L9" s="75">
        <v>7.0</v>
      </c>
      <c r="M9" s="75" t="s">
        <v>165</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165</v>
      </c>
      <c r="H10" s="75" t="s">
        <v>165</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165</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165</v>
      </c>
      <c r="E12" s="75">
        <v>0.0</v>
      </c>
      <c r="F12" s="75">
        <v>0.0</v>
      </c>
      <c r="G12" s="75">
        <v>0.0</v>
      </c>
      <c r="H12" s="75">
        <v>0.0</v>
      </c>
      <c r="I12" s="75" t="s">
        <v>165</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165</v>
      </c>
      <c r="H13" s="75">
        <v>0.0</v>
      </c>
      <c r="I13" s="75" t="s">
        <v>165</v>
      </c>
      <c r="J13" s="75" t="s">
        <v>165</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165</v>
      </c>
      <c r="G14" s="75">
        <v>0.0</v>
      </c>
      <c r="H14" s="75">
        <v>0.0</v>
      </c>
      <c r="I14" s="75" t="s">
        <v>165</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165</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165</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165</v>
      </c>
      <c r="H17" s="75">
        <v>0.0</v>
      </c>
      <c r="I17" s="75" t="s">
        <v>165</v>
      </c>
      <c r="J17" s="75">
        <v>5.0</v>
      </c>
      <c r="K17" s="75">
        <v>22.0</v>
      </c>
      <c r="L17" s="75">
        <v>44.0</v>
      </c>
      <c r="M17" s="75">
        <v>261.0</v>
      </c>
      <c r="N17" s="75">
        <v>19.0</v>
      </c>
    </row>
    <row r="18">
      <c r="A18" s="128">
        <v>44166.0</v>
      </c>
      <c r="B18" s="75" t="s">
        <v>165</v>
      </c>
      <c r="C18" s="75">
        <v>0.0</v>
      </c>
      <c r="D18" s="75">
        <v>0.0</v>
      </c>
      <c r="E18" s="75">
        <v>0.0</v>
      </c>
      <c r="F18" s="75">
        <v>0.0</v>
      </c>
      <c r="G18" s="75" t="s">
        <v>165</v>
      </c>
      <c r="H18" s="75" t="s">
        <v>165</v>
      </c>
      <c r="I18" s="75">
        <v>6.0</v>
      </c>
      <c r="J18" s="75">
        <v>12.0</v>
      </c>
      <c r="K18" s="75">
        <v>47.0</v>
      </c>
      <c r="L18" s="75">
        <v>153.0</v>
      </c>
      <c r="M18" s="75">
        <v>632.0</v>
      </c>
      <c r="N18" s="75">
        <v>49.0</v>
      </c>
    </row>
    <row r="19">
      <c r="A19" s="128">
        <v>44197.0</v>
      </c>
      <c r="B19" s="75">
        <v>0.0</v>
      </c>
      <c r="C19" s="75">
        <v>0.0</v>
      </c>
      <c r="D19" s="75">
        <v>0.0</v>
      </c>
      <c r="E19" s="75">
        <v>0.0</v>
      </c>
      <c r="F19" s="75">
        <v>0.0</v>
      </c>
      <c r="G19" s="75">
        <v>0.0</v>
      </c>
      <c r="H19" s="75" t="s">
        <v>165</v>
      </c>
      <c r="I19" s="75" t="s">
        <v>165</v>
      </c>
      <c r="J19" s="75">
        <v>13.0</v>
      </c>
      <c r="K19" s="75">
        <v>46.0</v>
      </c>
      <c r="L19" s="75">
        <v>121.0</v>
      </c>
      <c r="M19" s="75">
        <v>509.0</v>
      </c>
      <c r="N19" s="75">
        <v>40.0</v>
      </c>
    </row>
    <row r="20">
      <c r="A20" s="128">
        <v>44228.0</v>
      </c>
      <c r="B20" s="75">
        <v>0.0</v>
      </c>
      <c r="C20" s="75">
        <v>0.0</v>
      </c>
      <c r="D20" s="75">
        <v>0.0</v>
      </c>
      <c r="E20" s="75">
        <v>0.0</v>
      </c>
      <c r="F20" s="75" t="s">
        <v>165</v>
      </c>
      <c r="G20" s="75">
        <v>0.0</v>
      </c>
      <c r="H20" s="75">
        <v>0.0</v>
      </c>
      <c r="I20" s="75" t="s">
        <v>165</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173</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175</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1397.0</v>
      </c>
      <c r="I9" s="140">
        <v>1172.0</v>
      </c>
      <c r="J9" s="140">
        <v>1533.0</v>
      </c>
      <c r="K9" s="140">
        <v>1087.0</v>
      </c>
      <c r="L9" s="122">
        <v>161.0</v>
      </c>
      <c r="M9" s="122">
        <v>23.0</v>
      </c>
      <c r="N9" s="140">
        <v>6298.0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1011.0</v>
      </c>
      <c r="H10" s="140">
        <v>2066.0</v>
      </c>
      <c r="I10" s="140">
        <v>2030.0</v>
      </c>
      <c r="J10" s="140">
        <v>2669.0</v>
      </c>
      <c r="K10" s="140">
        <v>2039.0</v>
      </c>
      <c r="L10" s="122">
        <v>661.0</v>
      </c>
      <c r="M10" s="122">
        <v>803.0</v>
      </c>
      <c r="N10" s="140">
        <v>11923.0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853.0</v>
      </c>
      <c r="H11" s="140">
        <v>1771.0</v>
      </c>
      <c r="I11" s="140">
        <v>1960.0</v>
      </c>
      <c r="J11" s="140">
        <v>2541.0</v>
      </c>
      <c r="K11" s="140">
        <v>2050.0</v>
      </c>
      <c r="L11" s="122">
        <v>923.0</v>
      </c>
      <c r="M11" s="140">
        <v>1246.0</v>
      </c>
      <c r="N11" s="140">
        <v>11964.0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627.0</v>
      </c>
      <c r="G12" s="122">
        <v>711.0</v>
      </c>
      <c r="H12" s="140">
        <v>1363.0</v>
      </c>
      <c r="I12" s="140">
        <v>1466.0</v>
      </c>
      <c r="J12" s="140">
        <v>2128.0</v>
      </c>
      <c r="K12" s="140">
        <v>1753.0</v>
      </c>
      <c r="L12" s="122">
        <v>807.0</v>
      </c>
      <c r="M12" s="140">
        <v>1123.0</v>
      </c>
      <c r="N12" s="140">
        <v>10040.0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723.0</v>
      </c>
      <c r="H13" s="140">
        <v>1517.0</v>
      </c>
      <c r="I13" s="140">
        <v>1592.0</v>
      </c>
      <c r="J13" s="140">
        <v>1999.0</v>
      </c>
      <c r="K13" s="140">
        <v>1948.0</v>
      </c>
      <c r="L13" s="140">
        <v>1089.0</v>
      </c>
      <c r="M13" s="140">
        <v>1384.0</v>
      </c>
      <c r="N13" s="140">
        <v>11193.0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639.0</v>
      </c>
      <c r="G14" s="122">
        <v>799.0</v>
      </c>
      <c r="H14" s="140">
        <v>1708.0</v>
      </c>
      <c r="I14" s="140">
        <v>1846.0</v>
      </c>
      <c r="J14" s="140">
        <v>2385.0</v>
      </c>
      <c r="K14" s="140">
        <v>2102.0</v>
      </c>
      <c r="L14" s="140">
        <v>2001.0</v>
      </c>
      <c r="M14" s="140">
        <v>2649.0</v>
      </c>
      <c r="N14" s="140">
        <v>14190.0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577.0</v>
      </c>
      <c r="H15" s="140">
        <v>1252.0</v>
      </c>
      <c r="I15" s="140">
        <v>1842.0</v>
      </c>
      <c r="J15" s="140">
        <v>2490.0</v>
      </c>
      <c r="K15" s="140">
        <v>2924.0</v>
      </c>
      <c r="L15" s="140">
        <v>3318.0</v>
      </c>
      <c r="M15" s="140">
        <v>3728.0</v>
      </c>
      <c r="N15" s="140">
        <v>16685.0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1740.0</v>
      </c>
      <c r="I16" s="140">
        <v>1352.0</v>
      </c>
      <c r="J16" s="140">
        <v>1718.0</v>
      </c>
      <c r="K16" s="140">
        <v>2050.0</v>
      </c>
      <c r="L16" s="140">
        <v>4312.0</v>
      </c>
      <c r="M16" s="140">
        <v>3823.0</v>
      </c>
      <c r="N16" s="140">
        <v>16442.0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685.0</v>
      </c>
      <c r="G17" s="122">
        <v>630.0</v>
      </c>
      <c r="H17" s="140">
        <v>1335.0</v>
      </c>
      <c r="I17" s="140">
        <v>1331.0</v>
      </c>
      <c r="J17" s="140">
        <v>1950.0</v>
      </c>
      <c r="K17" s="140">
        <v>4663.0</v>
      </c>
      <c r="L17" s="140">
        <v>12007.0</v>
      </c>
      <c r="M17" s="140">
        <v>9918.0</v>
      </c>
      <c r="N17" s="140">
        <v>32584.0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299.0</v>
      </c>
      <c r="G18" s="122">
        <v>287.0</v>
      </c>
      <c r="H18" s="122">
        <v>751.0</v>
      </c>
      <c r="I18" s="122">
        <v>954.0</v>
      </c>
      <c r="J18" s="140">
        <v>1495.0</v>
      </c>
      <c r="K18" s="140">
        <v>16776.0</v>
      </c>
      <c r="L18" s="140">
        <v>17924.0</v>
      </c>
      <c r="M18" s="140">
        <v>6011.0</v>
      </c>
      <c r="N18" s="140">
        <v>44548.0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71.0</v>
      </c>
      <c r="F19" s="122">
        <v>605.0</v>
      </c>
      <c r="G19" s="122">
        <v>745.0</v>
      </c>
      <c r="H19" s="140">
        <v>2053.0</v>
      </c>
      <c r="I19" s="140">
        <v>2540.0</v>
      </c>
      <c r="J19" s="140">
        <v>4122.0</v>
      </c>
      <c r="K19" s="140">
        <v>14880.0</v>
      </c>
      <c r="L19" s="140">
        <v>12195.0</v>
      </c>
      <c r="M19" s="140">
        <v>2754.0</v>
      </c>
      <c r="N19" s="140">
        <v>39965.0</v>
      </c>
    </row>
    <row r="20">
      <c r="A20" s="139" t="s">
        <v>159</v>
      </c>
      <c r="B20" s="122">
        <v>0.0</v>
      </c>
      <c r="C20" s="122">
        <v>0.0</v>
      </c>
      <c r="D20" s="122" t="s">
        <v>55</v>
      </c>
      <c r="E20" s="122">
        <v>149.0</v>
      </c>
      <c r="F20" s="140">
        <v>1232.0</v>
      </c>
      <c r="G20" s="140">
        <v>1297.0</v>
      </c>
      <c r="H20" s="140">
        <v>3456.0</v>
      </c>
      <c r="I20" s="140">
        <v>4472.0</v>
      </c>
      <c r="J20" s="140">
        <v>7034.0</v>
      </c>
      <c r="K20" s="140">
        <v>10445.0</v>
      </c>
      <c r="L20" s="140">
        <v>5257.0</v>
      </c>
      <c r="M20" s="140">
        <v>1439.0</v>
      </c>
      <c r="N20" s="140">
        <v>34783.0</v>
      </c>
    </row>
    <row r="21">
      <c r="A21" s="139" t="s">
        <v>160</v>
      </c>
      <c r="B21" s="122">
        <v>0.0</v>
      </c>
      <c r="C21" s="122">
        <v>0.0</v>
      </c>
      <c r="D21" s="122">
        <v>0.0</v>
      </c>
      <c r="E21" s="122">
        <v>212.0</v>
      </c>
      <c r="F21" s="122">
        <v>948.0</v>
      </c>
      <c r="G21" s="122">
        <v>819.0</v>
      </c>
      <c r="H21" s="140">
        <v>2308.0</v>
      </c>
      <c r="I21" s="140">
        <v>2730.0</v>
      </c>
      <c r="J21" s="140">
        <v>4389.0</v>
      </c>
      <c r="K21" s="140">
        <v>7216.0</v>
      </c>
      <c r="L21" s="140">
        <v>1133.0</v>
      </c>
      <c r="M21" s="122">
        <v>421.0</v>
      </c>
      <c r="N21" s="140">
        <v>20177.0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178</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165</v>
      </c>
      <c r="F9" s="137">
        <v>130.0</v>
      </c>
      <c r="G9" s="137">
        <v>534.0</v>
      </c>
      <c r="H9" s="137">
        <v>674.0</v>
      </c>
      <c r="I9" s="137">
        <v>567.0</v>
      </c>
      <c r="J9" s="137">
        <v>550.0</v>
      </c>
      <c r="K9" s="137">
        <v>422.0</v>
      </c>
      <c r="L9" s="137">
        <v>86.0</v>
      </c>
      <c r="M9" s="137" t="s">
        <v>165</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165</v>
      </c>
      <c r="F10" s="122">
        <v>284.0</v>
      </c>
      <c r="G10" s="122">
        <v>852.0</v>
      </c>
      <c r="H10" s="140">
        <v>1032.0</v>
      </c>
      <c r="I10" s="122">
        <v>939.0</v>
      </c>
      <c r="J10" s="140">
        <v>1020.0</v>
      </c>
      <c r="K10" s="122">
        <v>836.0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165</v>
      </c>
      <c r="E11" s="122">
        <v>75.0</v>
      </c>
      <c r="F11" s="122">
        <v>645.0</v>
      </c>
      <c r="G11" s="140">
        <v>1320.0</v>
      </c>
      <c r="H11" s="140">
        <v>1526.0</v>
      </c>
      <c r="I11" s="140">
        <v>1627.0</v>
      </c>
      <c r="J11" s="140">
        <v>1776.0</v>
      </c>
      <c r="K11" s="140">
        <v>1569.0</v>
      </c>
      <c r="L11" s="122">
        <v>877.0</v>
      </c>
      <c r="M11" s="140">
        <v>1648.0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1113.0</v>
      </c>
      <c r="H12" s="140">
        <v>1308.0</v>
      </c>
      <c r="I12" s="140">
        <v>1571.0</v>
      </c>
      <c r="J12" s="140">
        <v>1690.0</v>
      </c>
      <c r="K12" s="140">
        <v>1577.0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165</v>
      </c>
      <c r="E13" s="122">
        <v>148.0</v>
      </c>
      <c r="F13" s="122">
        <v>661.0</v>
      </c>
      <c r="G13" s="122">
        <v>928.0</v>
      </c>
      <c r="H13" s="140">
        <v>1007.0</v>
      </c>
      <c r="I13" s="140">
        <v>1175.0</v>
      </c>
      <c r="J13" s="140">
        <v>1416.0</v>
      </c>
      <c r="K13" s="140">
        <v>1349.0</v>
      </c>
      <c r="L13" s="140">
        <v>1070.0</v>
      </c>
      <c r="M13" s="140">
        <v>2305.0</v>
      </c>
      <c r="N13" s="122">
        <v>950.0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944.0</v>
      </c>
      <c r="H14" s="140">
        <v>1121.0</v>
      </c>
      <c r="I14" s="140">
        <v>1276.0</v>
      </c>
      <c r="J14" s="140">
        <v>1330.0</v>
      </c>
      <c r="K14" s="140">
        <v>1499.0</v>
      </c>
      <c r="L14" s="140">
        <v>1444.0</v>
      </c>
      <c r="M14" s="140">
        <v>2841.0</v>
      </c>
      <c r="N14" s="140">
        <v>1059.0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674.0</v>
      </c>
      <c r="G15" s="140">
        <v>1043.0</v>
      </c>
      <c r="H15" s="140">
        <v>1262.0</v>
      </c>
      <c r="I15" s="140">
        <v>1480.0</v>
      </c>
      <c r="J15" s="140">
        <v>1587.0</v>
      </c>
      <c r="K15" s="140">
        <v>1617.0</v>
      </c>
      <c r="L15" s="140">
        <v>2654.0</v>
      </c>
      <c r="M15" s="140">
        <v>5438.0</v>
      </c>
      <c r="N15" s="140">
        <v>1343.0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753.0</v>
      </c>
      <c r="H16" s="122">
        <v>925.0</v>
      </c>
      <c r="I16" s="140">
        <v>1476.0</v>
      </c>
      <c r="J16" s="140">
        <v>1656.0</v>
      </c>
      <c r="K16" s="140">
        <v>2249.0</v>
      </c>
      <c r="L16" s="140">
        <v>4401.0</v>
      </c>
      <c r="M16" s="140">
        <v>7653.0</v>
      </c>
      <c r="N16" s="140">
        <v>1579.0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1285.0</v>
      </c>
      <c r="I17" s="140">
        <v>1084.0</v>
      </c>
      <c r="J17" s="140">
        <v>1143.0</v>
      </c>
      <c r="K17" s="140">
        <v>1577.0</v>
      </c>
      <c r="L17" s="140">
        <v>5719.0</v>
      </c>
      <c r="M17" s="140">
        <v>7848.0</v>
      </c>
      <c r="N17" s="140">
        <v>1556.0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722.0</v>
      </c>
      <c r="G18" s="122">
        <v>822.0</v>
      </c>
      <c r="H18" s="122">
        <v>986.0</v>
      </c>
      <c r="I18" s="140">
        <v>1067.0</v>
      </c>
      <c r="J18" s="140">
        <v>1297.0</v>
      </c>
      <c r="K18" s="140">
        <v>3587.0</v>
      </c>
      <c r="L18" s="140">
        <v>15926.0</v>
      </c>
      <c r="M18" s="140">
        <v>20360.0</v>
      </c>
      <c r="N18" s="140">
        <v>3084.0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315.0</v>
      </c>
      <c r="G19" s="122">
        <v>375.0</v>
      </c>
      <c r="H19" s="122">
        <v>555.0</v>
      </c>
      <c r="I19" s="122">
        <v>765.0</v>
      </c>
      <c r="J19" s="122">
        <v>995.0</v>
      </c>
      <c r="K19" s="140">
        <v>12906.0</v>
      </c>
      <c r="L19" s="140">
        <v>23774.0</v>
      </c>
      <c r="M19" s="140">
        <v>12340.0</v>
      </c>
      <c r="N19" s="140">
        <v>4216.0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172.0</v>
      </c>
      <c r="F20" s="122">
        <v>638.0</v>
      </c>
      <c r="G20" s="122">
        <v>972.0</v>
      </c>
      <c r="H20" s="140">
        <v>1517.0</v>
      </c>
      <c r="I20" s="140">
        <v>2036.0</v>
      </c>
      <c r="J20" s="140">
        <v>2742.0</v>
      </c>
      <c r="K20" s="140">
        <v>11447.0</v>
      </c>
      <c r="L20" s="140">
        <v>16175.0</v>
      </c>
      <c r="M20" s="140">
        <v>5654.0</v>
      </c>
      <c r="N20" s="140">
        <v>3782.0</v>
      </c>
    </row>
    <row r="21">
      <c r="A21" s="139" t="s">
        <v>159</v>
      </c>
      <c r="B21" s="122">
        <v>0.0</v>
      </c>
      <c r="C21" s="122">
        <v>0.0</v>
      </c>
      <c r="D21" s="122" t="s">
        <v>165</v>
      </c>
      <c r="E21" s="122">
        <v>362.0</v>
      </c>
      <c r="F21" s="140">
        <v>1299.0</v>
      </c>
      <c r="G21" s="140">
        <v>1693.0</v>
      </c>
      <c r="H21" s="140">
        <v>2553.0</v>
      </c>
      <c r="I21" s="140">
        <v>3584.0</v>
      </c>
      <c r="J21" s="140">
        <v>4679.0</v>
      </c>
      <c r="K21" s="140">
        <v>8035.0</v>
      </c>
      <c r="L21" s="140">
        <v>6973.0</v>
      </c>
      <c r="M21" s="140">
        <v>2954.0</v>
      </c>
      <c r="N21" s="140">
        <v>3292.0</v>
      </c>
    </row>
    <row r="22">
      <c r="A22" s="139" t="s">
        <v>160</v>
      </c>
      <c r="B22" s="122">
        <v>0.0</v>
      </c>
      <c r="C22" s="122">
        <v>0.0</v>
      </c>
      <c r="D22" s="122">
        <v>0.0</v>
      </c>
      <c r="E22" s="122">
        <v>515.0</v>
      </c>
      <c r="F22" s="122">
        <v>1000.0</v>
      </c>
      <c r="G22" s="122">
        <v>1069.0</v>
      </c>
      <c r="H22" s="122">
        <v>1705.0</v>
      </c>
      <c r="I22" s="122">
        <v>2188.0</v>
      </c>
      <c r="J22" s="122">
        <v>2920.0</v>
      </c>
      <c r="K22" s="122">
        <v>5551.0</v>
      </c>
      <c r="L22" s="122">
        <v>1503.0</v>
      </c>
      <c r="M22" s="122">
        <v>864.0</v>
      </c>
      <c r="N22" s="122">
        <v>1910.0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181</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182</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561.0</v>
      </c>
      <c r="L11" s="122">
        <v>71.0</v>
      </c>
      <c r="M11" s="122" t="s">
        <v>55</v>
      </c>
      <c r="N11" s="140">
        <v>3500.0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339.0</v>
      </c>
      <c r="H13" s="122">
        <v>499.0</v>
      </c>
      <c r="I13" s="122">
        <v>486.0</v>
      </c>
      <c r="J13" s="122">
        <v>694.0</v>
      </c>
      <c r="K13" s="122">
        <v>623.0</v>
      </c>
      <c r="L13" s="122">
        <v>272.0</v>
      </c>
      <c r="M13" s="122">
        <v>534.0</v>
      </c>
      <c r="N13" s="140">
        <v>3651.0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2032.0</v>
      </c>
      <c r="J14" s="140">
        <v>2744.0</v>
      </c>
      <c r="K14" s="140">
        <v>2146.0</v>
      </c>
      <c r="L14" s="122">
        <v>854.0</v>
      </c>
      <c r="M14" s="140">
        <v>1131.0</v>
      </c>
      <c r="N14" s="140">
        <v>12330.0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714.0</v>
      </c>
      <c r="H15" s="140">
        <v>1467.0</v>
      </c>
      <c r="I15" s="140">
        <v>1545.0</v>
      </c>
      <c r="J15" s="140">
        <v>2023.0</v>
      </c>
      <c r="K15" s="140">
        <v>1575.0</v>
      </c>
      <c r="L15" s="122">
        <v>603.0</v>
      </c>
      <c r="M15" s="122">
        <v>787.0</v>
      </c>
      <c r="N15" s="140">
        <v>9248.0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762.0</v>
      </c>
      <c r="H16" s="140">
        <v>1586.0</v>
      </c>
      <c r="I16" s="140">
        <v>1648.0</v>
      </c>
      <c r="J16" s="140">
        <v>2344.0</v>
      </c>
      <c r="K16" s="140">
        <v>2117.0</v>
      </c>
      <c r="L16" s="140">
        <v>1061.0</v>
      </c>
      <c r="M16" s="140">
        <v>1357.0</v>
      </c>
      <c r="N16" s="140">
        <v>11586.0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809.0</v>
      </c>
      <c r="G17" s="122">
        <v>646.0</v>
      </c>
      <c r="H17" s="140">
        <v>1375.0</v>
      </c>
      <c r="I17" s="140">
        <v>1422.0</v>
      </c>
      <c r="J17" s="140">
        <v>1838.0</v>
      </c>
      <c r="K17" s="140">
        <v>1868.0</v>
      </c>
      <c r="L17" s="140">
        <v>1319.0</v>
      </c>
      <c r="M17" s="140">
        <v>1318.0</v>
      </c>
      <c r="N17" s="140">
        <v>10650.0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537.0</v>
      </c>
      <c r="G18" s="122">
        <v>676.0</v>
      </c>
      <c r="H18" s="140">
        <v>1529.0</v>
      </c>
      <c r="I18" s="140">
        <v>1717.0</v>
      </c>
      <c r="J18" s="140">
        <v>2243.0</v>
      </c>
      <c r="K18" s="140">
        <v>2164.0</v>
      </c>
      <c r="L18" s="140">
        <v>2108.0</v>
      </c>
      <c r="M18" s="140">
        <v>2727.0</v>
      </c>
      <c r="N18" s="140">
        <v>13768.0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1259.0</v>
      </c>
      <c r="I19" s="140">
        <v>1632.0</v>
      </c>
      <c r="J19" s="140">
        <v>2162.0</v>
      </c>
      <c r="K19" s="140">
        <v>2413.0</v>
      </c>
      <c r="L19" s="140">
        <v>3018.0</v>
      </c>
      <c r="M19" s="140">
        <v>3251.0</v>
      </c>
      <c r="N19" s="140">
        <v>14892.0</v>
      </c>
    </row>
    <row r="20">
      <c r="A20" s="139" t="s">
        <v>159</v>
      </c>
      <c r="B20" s="122">
        <v>0.0</v>
      </c>
      <c r="C20" s="122">
        <v>0.0</v>
      </c>
      <c r="D20" s="122">
        <v>0.0</v>
      </c>
      <c r="E20" s="122">
        <v>64.0</v>
      </c>
      <c r="F20" s="122">
        <v>612.0</v>
      </c>
      <c r="G20" s="122">
        <v>753.0</v>
      </c>
      <c r="H20" s="140">
        <v>1884.0</v>
      </c>
      <c r="I20" s="140">
        <v>2180.0</v>
      </c>
      <c r="J20" s="140">
        <v>3076.0</v>
      </c>
      <c r="K20" s="140">
        <v>4090.0</v>
      </c>
      <c r="L20" s="140">
        <v>5193.0</v>
      </c>
      <c r="M20" s="140">
        <v>3223.0</v>
      </c>
      <c r="N20" s="140">
        <v>21075.0</v>
      </c>
    </row>
    <row r="21">
      <c r="A21" s="139" t="s">
        <v>160</v>
      </c>
      <c r="B21" s="122">
        <v>0.0</v>
      </c>
      <c r="C21" s="122">
        <v>0.0</v>
      </c>
      <c r="D21" s="122">
        <v>0.0</v>
      </c>
      <c r="E21" s="122">
        <v>86.0</v>
      </c>
      <c r="F21" s="122">
        <v>778.0</v>
      </c>
      <c r="G21" s="122">
        <v>775.0</v>
      </c>
      <c r="H21" s="140">
        <v>1820.0</v>
      </c>
      <c r="I21" s="140">
        <v>1796.0</v>
      </c>
      <c r="J21" s="140">
        <v>3284.0</v>
      </c>
      <c r="K21" s="140">
        <v>15250.0</v>
      </c>
      <c r="L21" s="140">
        <v>17847.0</v>
      </c>
      <c r="M21" s="140">
        <v>8549.0</v>
      </c>
      <c r="N21" s="140">
        <v>50185.0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184</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165</v>
      </c>
      <c r="H11" s="122">
        <v>4.0</v>
      </c>
      <c r="I11" s="122" t="s">
        <v>165</v>
      </c>
      <c r="J11" s="122" t="s">
        <v>165</v>
      </c>
      <c r="K11" s="122" t="s">
        <v>165</v>
      </c>
      <c r="L11" s="122" t="s">
        <v>165</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165</v>
      </c>
      <c r="F12" s="122">
        <v>118.0</v>
      </c>
      <c r="G12" s="122">
        <v>475.0</v>
      </c>
      <c r="H12" s="122">
        <v>646.0</v>
      </c>
      <c r="I12" s="122">
        <v>559.0</v>
      </c>
      <c r="J12" s="122">
        <v>542.0</v>
      </c>
      <c r="K12" s="122">
        <v>432.0</v>
      </c>
      <c r="L12" s="122">
        <v>94.0</v>
      </c>
      <c r="M12" s="122" t="s">
        <v>165</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165</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442.0</v>
      </c>
      <c r="H14" s="122">
        <v>369.0</v>
      </c>
      <c r="I14" s="122">
        <v>390.0</v>
      </c>
      <c r="J14" s="122">
        <v>462.0</v>
      </c>
      <c r="K14" s="122">
        <v>479.0</v>
      </c>
      <c r="L14" s="122">
        <v>361.0</v>
      </c>
      <c r="M14" s="140">
        <v>1096.0</v>
      </c>
      <c r="N14" s="122">
        <v>346.0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165</v>
      </c>
      <c r="E15" s="122">
        <v>104.0</v>
      </c>
      <c r="F15" s="122">
        <v>605.0</v>
      </c>
      <c r="G15" s="140">
        <v>1133.0</v>
      </c>
      <c r="H15" s="140">
        <v>1431.0</v>
      </c>
      <c r="I15" s="140">
        <v>1629.0</v>
      </c>
      <c r="J15" s="140">
        <v>1825.0</v>
      </c>
      <c r="K15" s="140">
        <v>1651.0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932.0</v>
      </c>
      <c r="H16" s="140">
        <v>1084.0</v>
      </c>
      <c r="I16" s="140">
        <v>1238.0</v>
      </c>
      <c r="J16" s="140">
        <v>1346.0</v>
      </c>
      <c r="K16" s="140">
        <v>1212.0</v>
      </c>
      <c r="L16" s="122">
        <v>800.0</v>
      </c>
      <c r="M16" s="140">
        <v>1616.0</v>
      </c>
      <c r="N16" s="122">
        <v>875.0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995.0</v>
      </c>
      <c r="H17" s="140">
        <v>1172.0</v>
      </c>
      <c r="I17" s="140">
        <v>1321.0</v>
      </c>
      <c r="J17" s="140">
        <v>1559.0</v>
      </c>
      <c r="K17" s="140">
        <v>1629.0</v>
      </c>
      <c r="L17" s="140">
        <v>1407.0</v>
      </c>
      <c r="M17" s="140">
        <v>2786.0</v>
      </c>
      <c r="N17" s="140">
        <v>1097.0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853.0</v>
      </c>
      <c r="G18" s="122">
        <v>843.0</v>
      </c>
      <c r="H18" s="140">
        <v>1016.0</v>
      </c>
      <c r="I18" s="140">
        <v>1140.0</v>
      </c>
      <c r="J18" s="140">
        <v>1223.0</v>
      </c>
      <c r="K18" s="140">
        <v>1437.0</v>
      </c>
      <c r="L18" s="140">
        <v>1749.0</v>
      </c>
      <c r="M18" s="140">
        <v>2706.0</v>
      </c>
      <c r="N18" s="140">
        <v>1008.0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566.0</v>
      </c>
      <c r="G19" s="122">
        <v>882.0</v>
      </c>
      <c r="H19" s="140">
        <v>1129.0</v>
      </c>
      <c r="I19" s="140">
        <v>1376.0</v>
      </c>
      <c r="J19" s="140">
        <v>1492.0</v>
      </c>
      <c r="K19" s="140">
        <v>1665.0</v>
      </c>
      <c r="L19" s="140">
        <v>2796.0</v>
      </c>
      <c r="M19" s="140">
        <v>5598.0</v>
      </c>
      <c r="N19" s="140">
        <v>1303.0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930.0</v>
      </c>
      <c r="I20" s="140">
        <v>1308.0</v>
      </c>
      <c r="J20" s="140">
        <v>1438.0</v>
      </c>
      <c r="K20" s="140">
        <v>1856.0</v>
      </c>
      <c r="L20" s="140">
        <v>4003.0</v>
      </c>
      <c r="M20" s="140">
        <v>6674.0</v>
      </c>
      <c r="N20" s="140">
        <v>1409.0</v>
      </c>
    </row>
    <row r="21">
      <c r="A21" s="139" t="s">
        <v>159</v>
      </c>
      <c r="B21" s="122">
        <v>0.0</v>
      </c>
      <c r="C21" s="122">
        <v>0.0</v>
      </c>
      <c r="D21" s="122">
        <v>0.0</v>
      </c>
      <c r="E21" s="122">
        <v>155.0</v>
      </c>
      <c r="F21" s="122">
        <v>645.0</v>
      </c>
      <c r="G21" s="122">
        <v>983.0</v>
      </c>
      <c r="H21" s="140">
        <v>1392.0</v>
      </c>
      <c r="I21" s="140">
        <v>1747.0</v>
      </c>
      <c r="J21" s="140">
        <v>2046.0</v>
      </c>
      <c r="K21" s="140">
        <v>3146.0</v>
      </c>
      <c r="L21" s="140">
        <v>6888.0</v>
      </c>
      <c r="M21" s="140">
        <v>6616.0</v>
      </c>
      <c r="N21" s="140">
        <v>1995.0</v>
      </c>
    </row>
    <row r="22">
      <c r="A22" s="139" t="s">
        <v>160</v>
      </c>
      <c r="B22" s="122">
        <v>0.0</v>
      </c>
      <c r="C22" s="122">
        <v>0.0</v>
      </c>
      <c r="D22" s="122">
        <v>0.0</v>
      </c>
      <c r="E22" s="122">
        <v>209.0</v>
      </c>
      <c r="F22" s="122">
        <v>820.0</v>
      </c>
      <c r="G22" s="140">
        <v>1012.0</v>
      </c>
      <c r="H22" s="140">
        <v>1344.0</v>
      </c>
      <c r="I22" s="140">
        <v>1440.0</v>
      </c>
      <c r="J22" s="140">
        <v>2185.0</v>
      </c>
      <c r="K22" s="140">
        <v>11732.0</v>
      </c>
      <c r="L22" s="140">
        <v>23672.0</v>
      </c>
      <c r="M22" s="140">
        <v>17550.0</v>
      </c>
      <c r="N22" s="140">
        <v>4750.0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185</v>
      </c>
      <c r="H1" s="103"/>
      <c r="I1" s="103"/>
      <c r="J1" s="103"/>
      <c r="K1" s="103"/>
      <c r="L1" s="104"/>
    </row>
    <row r="2">
      <c r="A2" s="107" t="s">
        <v>101</v>
      </c>
      <c r="F2" s="105"/>
      <c r="G2" s="105"/>
      <c r="H2" s="105"/>
      <c r="I2" s="105"/>
      <c r="J2" s="105"/>
      <c r="K2" s="105"/>
      <c r="L2" s="108"/>
    </row>
    <row r="3">
      <c r="A3" s="107" t="s">
        <v>0</v>
      </c>
      <c r="B3" s="109">
        <v>44279.0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186</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187</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745.0</v>
      </c>
      <c r="C14" s="75">
        <v>11.0</v>
      </c>
      <c r="D14" s="75">
        <v>24.0</v>
      </c>
      <c r="E14" s="75">
        <v>212.0</v>
      </c>
      <c r="F14" s="75">
        <v>0.0</v>
      </c>
      <c r="G14" s="75">
        <v>614.0</v>
      </c>
      <c r="H14" s="75">
        <v>12.0</v>
      </c>
      <c r="I14" s="75">
        <v>11.0</v>
      </c>
      <c r="J14" s="75">
        <v>26.0</v>
      </c>
      <c r="K14" s="75">
        <v>279.0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121.0</v>
      </c>
      <c r="F19" s="75">
        <v>0.0</v>
      </c>
      <c r="G19" s="75">
        <v>300.0</v>
      </c>
      <c r="H19" s="75">
        <v>22.0</v>
      </c>
      <c r="I19" s="75">
        <v>5.0</v>
      </c>
      <c r="J19" s="75">
        <v>8.0</v>
      </c>
      <c r="K19" s="75">
        <v>113.0</v>
      </c>
      <c r="L19" s="121">
        <v>1090.0</v>
      </c>
    </row>
    <row r="20">
      <c r="A20" s="120" t="s">
        <v>118</v>
      </c>
      <c r="B20" s="75">
        <v>418.0</v>
      </c>
      <c r="C20" s="75" t="s">
        <v>55</v>
      </c>
      <c r="D20" s="75">
        <v>13.0</v>
      </c>
      <c r="E20" s="75">
        <v>98.0</v>
      </c>
      <c r="F20" s="75">
        <v>0.0</v>
      </c>
      <c r="G20" s="75">
        <v>189.0</v>
      </c>
      <c r="H20" s="75">
        <v>10.0</v>
      </c>
      <c r="I20" s="75">
        <v>6.0</v>
      </c>
      <c r="J20" s="75" t="s">
        <v>55</v>
      </c>
      <c r="K20" s="75">
        <v>95.0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169.0</v>
      </c>
      <c r="H27" s="75">
        <v>8.0</v>
      </c>
      <c r="I27" s="75">
        <v>10.0</v>
      </c>
      <c r="J27" s="75">
        <v>9.0</v>
      </c>
      <c r="K27" s="75">
        <v>32.0</v>
      </c>
      <c r="L27" s="75">
        <v>436.0</v>
      </c>
    </row>
    <row r="28">
      <c r="A28" s="120" t="s">
        <v>126</v>
      </c>
      <c r="B28" s="75">
        <v>241.0</v>
      </c>
      <c r="C28" s="75" t="s">
        <v>55</v>
      </c>
      <c r="D28" s="75">
        <v>13.0</v>
      </c>
      <c r="E28" s="75">
        <v>89.0</v>
      </c>
      <c r="F28" s="75">
        <v>0.0</v>
      </c>
      <c r="G28" s="75">
        <v>208.0</v>
      </c>
      <c r="H28" s="75">
        <v>22.0</v>
      </c>
      <c r="I28" s="75">
        <v>13.0</v>
      </c>
      <c r="J28" s="75">
        <v>11.0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80.0</v>
      </c>
      <c r="F30" s="75">
        <v>0.0</v>
      </c>
      <c r="G30" s="75">
        <v>202.0</v>
      </c>
      <c r="H30" s="75">
        <v>6.0</v>
      </c>
      <c r="I30" s="75">
        <v>8.0</v>
      </c>
      <c r="J30" s="75">
        <v>6.0</v>
      </c>
      <c r="K30" s="75">
        <v>53.0</v>
      </c>
      <c r="L30" s="75">
        <v>696.0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232.0</v>
      </c>
      <c r="H32" s="75">
        <v>9.0</v>
      </c>
      <c r="I32" s="75">
        <v>12.0</v>
      </c>
      <c r="J32" s="75">
        <v>5.0</v>
      </c>
      <c r="K32" s="75">
        <v>54.0</v>
      </c>
      <c r="L32" s="75">
        <v>669.0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102.0</v>
      </c>
      <c r="F39" s="151">
        <v>0.0</v>
      </c>
      <c r="G39" s="151">
        <v>615.0</v>
      </c>
      <c r="H39" s="151">
        <v>19.0</v>
      </c>
      <c r="I39" s="151">
        <v>12.0</v>
      </c>
      <c r="J39" s="151">
        <v>16.0</v>
      </c>
      <c r="K39" s="151">
        <v>89.0</v>
      </c>
      <c r="L39" s="151">
        <v>1222.0</v>
      </c>
    </row>
    <row r="40">
      <c r="A40" s="120" t="s">
        <v>138</v>
      </c>
      <c r="B40" s="151">
        <v>471.0</v>
      </c>
      <c r="C40" s="151">
        <v>5.0</v>
      </c>
      <c r="D40" s="151">
        <v>13.0</v>
      </c>
      <c r="E40" s="151">
        <v>100.0</v>
      </c>
      <c r="F40" s="151">
        <v>0.0</v>
      </c>
      <c r="G40" s="151">
        <v>698.0</v>
      </c>
      <c r="H40" s="151">
        <v>26.0</v>
      </c>
      <c r="I40" s="151">
        <v>11.0</v>
      </c>
      <c r="J40" s="151">
        <v>18.0</v>
      </c>
      <c r="K40" s="151">
        <v>196.0</v>
      </c>
      <c r="L40" s="151">
        <v>1538.0</v>
      </c>
    </row>
    <row r="41">
      <c r="A41" s="120" t="s">
        <v>139</v>
      </c>
      <c r="B41" s="151">
        <v>761.0</v>
      </c>
      <c r="C41" s="151" t="s">
        <v>55</v>
      </c>
      <c r="D41" s="151">
        <v>37.0</v>
      </c>
      <c r="E41" s="151">
        <v>156.0</v>
      </c>
      <c r="F41" s="151">
        <v>0.0</v>
      </c>
      <c r="G41" s="151">
        <v>1050.0</v>
      </c>
      <c r="H41" s="151">
        <v>57.0</v>
      </c>
      <c r="I41" s="151">
        <v>19.0</v>
      </c>
      <c r="J41" s="151">
        <v>43.0</v>
      </c>
      <c r="K41" s="151">
        <v>346.0</v>
      </c>
      <c r="L41" s="151">
        <v>2471.0</v>
      </c>
    </row>
    <row r="42">
      <c r="A42" s="120" t="s">
        <v>140</v>
      </c>
      <c r="B42" s="151">
        <v>848.0</v>
      </c>
      <c r="C42" s="151" t="s">
        <v>55</v>
      </c>
      <c r="D42" s="151">
        <v>45.0</v>
      </c>
      <c r="E42" s="151">
        <v>172.0</v>
      </c>
      <c r="F42" s="151">
        <v>0.0</v>
      </c>
      <c r="G42" s="151">
        <v>1225.0</v>
      </c>
      <c r="H42" s="151">
        <v>55.0</v>
      </c>
      <c r="I42" s="151">
        <v>18.0</v>
      </c>
      <c r="J42" s="151">
        <v>37.0</v>
      </c>
      <c r="K42" s="151">
        <v>450.0</v>
      </c>
      <c r="L42" s="151">
        <v>2854.0</v>
      </c>
    </row>
    <row r="43">
      <c r="A43" s="120" t="s">
        <v>141</v>
      </c>
      <c r="B43" s="151">
        <v>1022.0</v>
      </c>
      <c r="C43" s="151">
        <v>5.0</v>
      </c>
      <c r="D43" s="151">
        <v>79.0</v>
      </c>
      <c r="E43" s="151">
        <v>223.0</v>
      </c>
      <c r="F43" s="151">
        <v>0.0</v>
      </c>
      <c r="G43" s="151">
        <v>1724.0</v>
      </c>
      <c r="H43" s="151">
        <v>92.0</v>
      </c>
      <c r="I43" s="151">
        <v>27.0</v>
      </c>
      <c r="J43" s="151">
        <v>67.0</v>
      </c>
      <c r="K43" s="151">
        <v>503.0</v>
      </c>
      <c r="L43" s="151">
        <v>3742.0</v>
      </c>
    </row>
    <row r="44">
      <c r="A44" s="120" t="s">
        <v>142</v>
      </c>
      <c r="B44" s="151">
        <v>1532.0</v>
      </c>
      <c r="C44" s="151">
        <v>6.0</v>
      </c>
      <c r="D44" s="151">
        <v>90.0</v>
      </c>
      <c r="E44" s="151">
        <v>347.0</v>
      </c>
      <c r="F44" s="151">
        <v>0.0</v>
      </c>
      <c r="G44" s="151">
        <v>2750.0</v>
      </c>
      <c r="H44" s="151">
        <v>100.0</v>
      </c>
      <c r="I44" s="151">
        <v>58.0</v>
      </c>
      <c r="J44" s="151">
        <v>104.0</v>
      </c>
      <c r="K44" s="151">
        <v>578.0</v>
      </c>
      <c r="L44" s="151">
        <v>5565.0</v>
      </c>
    </row>
    <row r="45">
      <c r="A45" s="120" t="s">
        <v>143</v>
      </c>
      <c r="B45" s="151">
        <v>1644.0</v>
      </c>
      <c r="C45" s="151">
        <v>13.0</v>
      </c>
      <c r="D45" s="151">
        <v>127.0</v>
      </c>
      <c r="E45" s="151">
        <v>358.0</v>
      </c>
      <c r="F45" s="151">
        <v>0.0</v>
      </c>
      <c r="G45" s="151">
        <v>3286.0</v>
      </c>
      <c r="H45" s="151">
        <v>128.0</v>
      </c>
      <c r="I45" s="151">
        <v>52.0</v>
      </c>
      <c r="J45" s="151">
        <v>148.0</v>
      </c>
      <c r="K45" s="151">
        <v>752.0</v>
      </c>
      <c r="L45" s="151">
        <v>6508.0</v>
      </c>
    </row>
    <row r="46">
      <c r="A46" s="120" t="s">
        <v>144</v>
      </c>
      <c r="B46" s="151">
        <v>1369.0</v>
      </c>
      <c r="C46" s="151">
        <v>12.0</v>
      </c>
      <c r="D46" s="151">
        <v>89.0</v>
      </c>
      <c r="E46" s="151">
        <v>289.0</v>
      </c>
      <c r="F46" s="151">
        <v>0.0</v>
      </c>
      <c r="G46" s="151">
        <v>2947.0</v>
      </c>
      <c r="H46" s="151">
        <v>125.0</v>
      </c>
      <c r="I46" s="151">
        <v>49.0</v>
      </c>
      <c r="J46" s="151">
        <v>141.0</v>
      </c>
      <c r="K46" s="151">
        <v>874.0</v>
      </c>
      <c r="L46" s="151">
        <v>5895.0</v>
      </c>
    </row>
    <row r="47">
      <c r="A47" s="120" t="s">
        <v>145</v>
      </c>
      <c r="B47" s="151">
        <v>2115.0</v>
      </c>
      <c r="C47" s="151">
        <v>13.0</v>
      </c>
      <c r="D47" s="151">
        <v>168.0</v>
      </c>
      <c r="E47" s="151">
        <v>464.0</v>
      </c>
      <c r="F47" s="151">
        <v>0.0</v>
      </c>
      <c r="G47" s="151">
        <v>4501.0</v>
      </c>
      <c r="H47" s="151">
        <v>177.0</v>
      </c>
      <c r="I47" s="151">
        <v>78.0</v>
      </c>
      <c r="J47" s="151">
        <v>192.0</v>
      </c>
      <c r="K47" s="151">
        <v>1073.0</v>
      </c>
      <c r="L47" s="151">
        <v>8781.0</v>
      </c>
    </row>
    <row r="48">
      <c r="A48" s="120" t="s">
        <v>146</v>
      </c>
      <c r="B48" s="151">
        <v>1862.0</v>
      </c>
      <c r="C48" s="151">
        <v>15.0</v>
      </c>
      <c r="D48" s="151">
        <v>168.0</v>
      </c>
      <c r="E48" s="151">
        <v>464.0</v>
      </c>
      <c r="F48" s="151">
        <v>0.0</v>
      </c>
      <c r="G48" s="151">
        <v>4235.0</v>
      </c>
      <c r="H48" s="151">
        <v>169.0</v>
      </c>
      <c r="I48" s="151">
        <v>81.0</v>
      </c>
      <c r="J48" s="151">
        <v>202.0</v>
      </c>
      <c r="K48" s="151">
        <v>944.0</v>
      </c>
      <c r="L48" s="151">
        <v>8140.0</v>
      </c>
    </row>
    <row r="49">
      <c r="A49" s="120" t="s">
        <v>147</v>
      </c>
      <c r="B49" s="151">
        <v>1338.0</v>
      </c>
      <c r="C49" s="151">
        <v>10.0</v>
      </c>
      <c r="D49" s="151">
        <v>125.0</v>
      </c>
      <c r="E49" s="151">
        <v>310.0</v>
      </c>
      <c r="F49" s="151">
        <v>0.0</v>
      </c>
      <c r="G49" s="151">
        <v>3347.0</v>
      </c>
      <c r="H49" s="151">
        <v>109.0</v>
      </c>
      <c r="I49" s="151">
        <v>64.0</v>
      </c>
      <c r="J49" s="151">
        <v>142.0</v>
      </c>
      <c r="K49" s="151">
        <v>614.0</v>
      </c>
      <c r="L49" s="151">
        <v>6059.0</v>
      </c>
    </row>
    <row r="50">
      <c r="A50" s="120" t="s">
        <v>148</v>
      </c>
      <c r="B50" s="151">
        <v>913.0</v>
      </c>
      <c r="C50" s="151">
        <v>11.0</v>
      </c>
      <c r="D50" s="151">
        <v>126.0</v>
      </c>
      <c r="E50" s="151">
        <v>218.0</v>
      </c>
      <c r="F50" s="151">
        <v>0.0</v>
      </c>
      <c r="G50" s="151">
        <v>2812.0</v>
      </c>
      <c r="H50" s="151">
        <v>133.0</v>
      </c>
      <c r="I50" s="151">
        <v>57.0</v>
      </c>
      <c r="J50" s="151">
        <v>123.0</v>
      </c>
      <c r="K50" s="151">
        <v>522.0</v>
      </c>
      <c r="L50" s="151">
        <v>4915.0</v>
      </c>
    </row>
    <row r="51">
      <c r="A51" s="120" t="s">
        <v>149</v>
      </c>
      <c r="B51" s="151">
        <v>1255.0</v>
      </c>
      <c r="C51" s="151" t="s">
        <v>55</v>
      </c>
      <c r="D51" s="151">
        <v>165.0</v>
      </c>
      <c r="E51" s="151">
        <v>272.0</v>
      </c>
      <c r="F51" s="151">
        <v>0.0</v>
      </c>
      <c r="G51" s="151">
        <v>4026.0</v>
      </c>
      <c r="H51" s="151">
        <v>130.0</v>
      </c>
      <c r="I51" s="151">
        <v>79.0</v>
      </c>
      <c r="J51" s="151">
        <v>185.0</v>
      </c>
      <c r="K51" s="151">
        <v>623.0</v>
      </c>
      <c r="L51" s="151">
        <v>6739.0</v>
      </c>
    </row>
    <row r="52">
      <c r="A52" s="120" t="s">
        <v>150</v>
      </c>
      <c r="B52" s="151">
        <v>1589.0</v>
      </c>
      <c r="C52" s="151">
        <v>24.0</v>
      </c>
      <c r="D52" s="151">
        <v>182.0</v>
      </c>
      <c r="E52" s="151">
        <v>392.0</v>
      </c>
      <c r="F52" s="151">
        <v>0.0</v>
      </c>
      <c r="G52" s="151">
        <v>4353.0</v>
      </c>
      <c r="H52" s="151">
        <v>178.0</v>
      </c>
      <c r="I52" s="151">
        <v>83.0</v>
      </c>
      <c r="J52" s="151">
        <v>237.0</v>
      </c>
      <c r="K52" s="151">
        <v>598.0</v>
      </c>
      <c r="L52" s="151">
        <v>7636.0</v>
      </c>
    </row>
    <row r="53">
      <c r="A53" s="120" t="s">
        <v>151</v>
      </c>
      <c r="B53" s="151">
        <v>1228.0</v>
      </c>
      <c r="C53" s="151">
        <v>14.0</v>
      </c>
      <c r="D53" s="151">
        <v>148.0</v>
      </c>
      <c r="E53" s="151">
        <v>359.0</v>
      </c>
      <c r="F53" s="151">
        <v>0.0</v>
      </c>
      <c r="G53" s="151">
        <v>3239.0</v>
      </c>
      <c r="H53" s="151">
        <v>147.0</v>
      </c>
      <c r="I53" s="151">
        <v>79.0</v>
      </c>
      <c r="J53" s="151">
        <v>162.0</v>
      </c>
      <c r="K53" s="151">
        <v>388.0</v>
      </c>
      <c r="L53" s="151">
        <v>5764.0</v>
      </c>
    </row>
    <row r="54">
      <c r="A54" s="120" t="s">
        <v>152</v>
      </c>
      <c r="B54" s="151">
        <v>893.0</v>
      </c>
      <c r="C54" s="151">
        <v>18.0</v>
      </c>
      <c r="D54" s="151">
        <v>83.0</v>
      </c>
      <c r="E54" s="151">
        <v>269.0</v>
      </c>
      <c r="F54" s="151">
        <v>0.0</v>
      </c>
      <c r="G54" s="151">
        <v>2979.0</v>
      </c>
      <c r="H54" s="151">
        <v>108.0</v>
      </c>
      <c r="I54" s="151">
        <v>71.0</v>
      </c>
      <c r="J54" s="151">
        <v>121.0</v>
      </c>
      <c r="K54" s="151">
        <v>392.0</v>
      </c>
      <c r="L54" s="151">
        <v>4934.0</v>
      </c>
    </row>
    <row r="55">
      <c r="A55" s="120" t="s">
        <v>153</v>
      </c>
      <c r="B55" s="151">
        <v>715.0</v>
      </c>
      <c r="C55" s="151">
        <v>17.0</v>
      </c>
      <c r="D55" s="151">
        <v>64.0</v>
      </c>
      <c r="E55" s="151">
        <v>245.0</v>
      </c>
      <c r="F55" s="151">
        <v>0.0</v>
      </c>
      <c r="G55" s="151">
        <v>2313.0</v>
      </c>
      <c r="H55" s="151">
        <v>63.0</v>
      </c>
      <c r="I55" s="151">
        <v>62.0</v>
      </c>
      <c r="J55" s="151">
        <v>92.0</v>
      </c>
      <c r="K55" s="151">
        <v>398.0</v>
      </c>
      <c r="L55" s="151">
        <v>3969.0</v>
      </c>
    </row>
    <row r="56">
      <c r="A56" s="120" t="s">
        <v>154</v>
      </c>
      <c r="B56" s="151">
        <v>549.0</v>
      </c>
      <c r="C56" s="151">
        <v>10.0</v>
      </c>
      <c r="D56" s="151">
        <v>85.0</v>
      </c>
      <c r="E56" s="151">
        <v>167.0</v>
      </c>
      <c r="F56" s="151">
        <v>0.0</v>
      </c>
      <c r="G56" s="151">
        <v>1744.0</v>
      </c>
      <c r="H56" s="151">
        <v>66.0</v>
      </c>
      <c r="I56" s="151">
        <v>34.0</v>
      </c>
      <c r="J56" s="151">
        <v>69.0</v>
      </c>
      <c r="K56" s="151">
        <v>314.0</v>
      </c>
      <c r="L56" s="151">
        <v>3038.0</v>
      </c>
    </row>
    <row r="57">
      <c r="A57" s="120" t="s">
        <v>155</v>
      </c>
      <c r="B57" s="151">
        <v>511.0</v>
      </c>
      <c r="C57" s="151">
        <v>16.0</v>
      </c>
      <c r="D57" s="151">
        <v>60.0</v>
      </c>
      <c r="E57" s="151">
        <v>128.0</v>
      </c>
      <c r="F57" s="151">
        <v>0.0</v>
      </c>
      <c r="G57" s="151">
        <v>1337.0</v>
      </c>
      <c r="H57" s="151">
        <v>46.0</v>
      </c>
      <c r="I57" s="151">
        <v>33.0</v>
      </c>
      <c r="J57" s="151">
        <v>50.0</v>
      </c>
      <c r="K57" s="151">
        <v>279.0</v>
      </c>
      <c r="L57" s="151">
        <v>2460.0</v>
      </c>
    </row>
    <row r="58">
      <c r="A58" s="120" t="s">
        <v>156</v>
      </c>
      <c r="B58" s="151">
        <v>430.0</v>
      </c>
      <c r="C58" s="151">
        <v>8.0</v>
      </c>
      <c r="D58" s="151">
        <v>49.0</v>
      </c>
      <c r="E58" s="151">
        <v>112.0</v>
      </c>
      <c r="F58" s="151">
        <v>0.0</v>
      </c>
      <c r="G58" s="151">
        <v>1147.0</v>
      </c>
      <c r="H58" s="151">
        <v>47.0</v>
      </c>
      <c r="I58" s="151">
        <v>26.0</v>
      </c>
      <c r="J58" s="151">
        <v>44.0</v>
      </c>
      <c r="K58" s="151">
        <v>273.0</v>
      </c>
      <c r="L58" s="151">
        <v>2136.0</v>
      </c>
    </row>
    <row r="59">
      <c r="A59" s="120" t="s">
        <v>157</v>
      </c>
      <c r="B59" s="151">
        <v>444.0</v>
      </c>
      <c r="C59" s="151">
        <v>20.0</v>
      </c>
      <c r="D59" s="151">
        <v>56.0</v>
      </c>
      <c r="E59" s="151">
        <v>107.0</v>
      </c>
      <c r="F59" s="151">
        <v>0.0</v>
      </c>
      <c r="G59" s="151">
        <v>1326.0</v>
      </c>
      <c r="H59" s="151">
        <v>45.0</v>
      </c>
      <c r="I59" s="151">
        <v>39.0</v>
      </c>
      <c r="J59" s="151">
        <v>40.0</v>
      </c>
      <c r="K59" s="151">
        <v>347.0</v>
      </c>
      <c r="L59" s="151">
        <v>2424.0</v>
      </c>
    </row>
    <row r="60">
      <c r="A60" s="120" t="s">
        <v>158</v>
      </c>
      <c r="B60" s="151">
        <v>423.0</v>
      </c>
      <c r="C60" s="151">
        <v>15.0</v>
      </c>
      <c r="D60" s="151">
        <v>37.0</v>
      </c>
      <c r="E60" s="151">
        <v>101.0</v>
      </c>
      <c r="F60" s="151">
        <v>0.0</v>
      </c>
      <c r="G60" s="151">
        <v>1243.0</v>
      </c>
      <c r="H60" s="151">
        <v>37.0</v>
      </c>
      <c r="I60" s="151">
        <v>27.0</v>
      </c>
      <c r="J60" s="151">
        <v>45.0</v>
      </c>
      <c r="K60" s="151">
        <v>285.0</v>
      </c>
      <c r="L60" s="151">
        <v>2213.0</v>
      </c>
    </row>
    <row r="61">
      <c r="A61" s="120" t="s">
        <v>159</v>
      </c>
      <c r="B61" s="151">
        <v>444.0</v>
      </c>
      <c r="C61" s="151">
        <v>9.0</v>
      </c>
      <c r="D61" s="151">
        <v>28.0</v>
      </c>
      <c r="E61" s="151">
        <v>95.0</v>
      </c>
      <c r="F61" s="151">
        <v>0.0</v>
      </c>
      <c r="G61" s="151">
        <v>1240.0</v>
      </c>
      <c r="H61" s="151">
        <v>41.0</v>
      </c>
      <c r="I61" s="151">
        <v>36.0</v>
      </c>
      <c r="J61" s="151">
        <v>58.0</v>
      </c>
      <c r="K61" s="151">
        <v>326.0</v>
      </c>
      <c r="L61" s="151">
        <v>2277.0</v>
      </c>
    </row>
    <row r="62">
      <c r="A62" s="120" t="s">
        <v>160</v>
      </c>
      <c r="B62" s="151">
        <v>422.0</v>
      </c>
      <c r="C62" s="151">
        <v>5.0</v>
      </c>
      <c r="D62" s="151">
        <v>27.0</v>
      </c>
      <c r="E62" s="151">
        <v>88.0</v>
      </c>
      <c r="F62" s="151">
        <v>0.0</v>
      </c>
      <c r="G62" s="151">
        <v>1150.0</v>
      </c>
      <c r="H62" s="151">
        <v>43.0</v>
      </c>
      <c r="I62" s="151">
        <v>45.0</v>
      </c>
      <c r="J62" s="151">
        <v>48.0</v>
      </c>
      <c r="K62" s="151">
        <v>351.0</v>
      </c>
      <c r="L62" s="151">
        <v>2179.0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188</v>
      </c>
      <c r="I1" s="103"/>
      <c r="J1" s="104"/>
    </row>
    <row r="2">
      <c r="A2" s="107" t="s">
        <v>189</v>
      </c>
    </row>
    <row r="3">
      <c r="A3" s="107" t="s">
        <v>0</v>
      </c>
      <c r="B3" s="109">
        <v>44279.0</v>
      </c>
      <c r="C3" s="105"/>
      <c r="D3" s="105"/>
      <c r="E3" s="105"/>
      <c r="F3" s="105"/>
      <c r="G3" s="105"/>
      <c r="H3" s="105"/>
      <c r="I3" s="105"/>
      <c r="J3" s="105"/>
    </row>
    <row r="4">
      <c r="A4" s="110"/>
      <c r="B4" s="148"/>
      <c r="C4" s="105"/>
      <c r="D4" s="105"/>
      <c r="E4" s="105"/>
      <c r="F4" s="105"/>
      <c r="G4" s="105"/>
      <c r="H4" s="105"/>
      <c r="I4" s="105"/>
      <c r="J4" s="105"/>
    </row>
    <row r="5" ht="45.75" customHeight="1">
      <c r="A5" s="111" t="s">
        <v>190</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187</v>
      </c>
      <c r="G7" s="150" t="s">
        <v>74</v>
      </c>
      <c r="H7" s="150" t="s">
        <v>75</v>
      </c>
      <c r="I7" s="150" t="s">
        <v>76</v>
      </c>
      <c r="J7" s="150" t="s">
        <v>105</v>
      </c>
    </row>
    <row r="8">
      <c r="A8" s="123" t="s">
        <v>164</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165</v>
      </c>
      <c r="H9" s="119" t="s">
        <v>165</v>
      </c>
      <c r="I9" s="119">
        <v>0.0</v>
      </c>
      <c r="J9" s="119" t="s">
        <v>165</v>
      </c>
    </row>
    <row r="10">
      <c r="A10" s="120" t="s">
        <v>107</v>
      </c>
      <c r="B10" s="75">
        <v>0.0</v>
      </c>
      <c r="C10" s="75">
        <v>0.0</v>
      </c>
      <c r="D10" s="75" t="s">
        <v>165</v>
      </c>
      <c r="E10" s="75">
        <v>0.0</v>
      </c>
      <c r="F10" s="75">
        <v>0.0</v>
      </c>
      <c r="G10" s="75">
        <v>1.0</v>
      </c>
      <c r="H10" s="75" t="s">
        <v>165</v>
      </c>
      <c r="I10" s="75">
        <v>0.0</v>
      </c>
      <c r="J10" s="75">
        <v>1.0</v>
      </c>
    </row>
    <row r="11">
      <c r="A11" s="120" t="s">
        <v>108</v>
      </c>
      <c r="B11" s="75">
        <v>4.0</v>
      </c>
      <c r="C11" s="75">
        <v>0.0</v>
      </c>
      <c r="D11" s="75" t="s">
        <v>165</v>
      </c>
      <c r="E11" s="75" t="s">
        <v>165</v>
      </c>
      <c r="F11" s="75">
        <v>0.0</v>
      </c>
      <c r="G11" s="75">
        <v>4.0</v>
      </c>
      <c r="H11" s="75">
        <v>0.0</v>
      </c>
      <c r="I11" s="75">
        <v>0.0</v>
      </c>
      <c r="J11" s="75">
        <v>6.0</v>
      </c>
    </row>
    <row r="12">
      <c r="A12" s="120" t="s">
        <v>109</v>
      </c>
      <c r="B12" s="75">
        <v>17.0</v>
      </c>
      <c r="C12" s="75" t="s">
        <v>165</v>
      </c>
      <c r="D12" s="75" t="s">
        <v>165</v>
      </c>
      <c r="E12" s="75">
        <v>29.0</v>
      </c>
      <c r="F12" s="75">
        <v>0.0</v>
      </c>
      <c r="G12" s="75">
        <v>11.0</v>
      </c>
      <c r="H12" s="75" t="s">
        <v>165</v>
      </c>
      <c r="I12" s="75">
        <v>0.0</v>
      </c>
      <c r="J12" s="75">
        <v>20.0</v>
      </c>
    </row>
    <row r="13">
      <c r="A13" s="120" t="s">
        <v>110</v>
      </c>
      <c r="B13" s="75">
        <v>55.0</v>
      </c>
      <c r="C13" s="75" t="s">
        <v>165</v>
      </c>
      <c r="D13" s="75" t="s">
        <v>165</v>
      </c>
      <c r="E13" s="75">
        <v>93.0</v>
      </c>
      <c r="F13" s="75">
        <v>0.0</v>
      </c>
      <c r="G13" s="75">
        <v>33.0</v>
      </c>
      <c r="H13" s="75">
        <v>85.0</v>
      </c>
      <c r="I13" s="75" t="s">
        <v>165</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469.0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165</v>
      </c>
      <c r="J18" s="75">
        <v>175.0</v>
      </c>
    </row>
    <row r="19">
      <c r="A19" s="120" t="s">
        <v>116</v>
      </c>
      <c r="B19" s="75">
        <v>392.0</v>
      </c>
      <c r="C19" s="75" t="s">
        <v>165</v>
      </c>
      <c r="D19" s="75">
        <v>105.0</v>
      </c>
      <c r="E19" s="75">
        <v>273.0</v>
      </c>
      <c r="F19" s="75">
        <v>0.0</v>
      </c>
      <c r="G19" s="75">
        <v>53.0</v>
      </c>
      <c r="H19" s="75">
        <v>367.0</v>
      </c>
      <c r="I19" s="75">
        <v>20.0</v>
      </c>
      <c r="J19" s="75">
        <v>138.0</v>
      </c>
    </row>
    <row r="20">
      <c r="A20" s="120" t="s">
        <v>117</v>
      </c>
      <c r="B20" s="75">
        <v>311.0</v>
      </c>
      <c r="C20" s="75" t="s">
        <v>165</v>
      </c>
      <c r="D20" s="75">
        <v>74.0</v>
      </c>
      <c r="E20" s="75">
        <v>205.0</v>
      </c>
      <c r="F20" s="75">
        <v>0.0</v>
      </c>
      <c r="G20" s="75">
        <v>39.0</v>
      </c>
      <c r="H20" s="75">
        <v>310.0</v>
      </c>
      <c r="I20" s="75">
        <v>20.0</v>
      </c>
      <c r="J20" s="75">
        <v>103.0</v>
      </c>
    </row>
    <row r="21">
      <c r="A21" s="120" t="s">
        <v>118</v>
      </c>
      <c r="B21" s="75">
        <v>263.0</v>
      </c>
      <c r="C21" s="75" t="s">
        <v>165</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165</v>
      </c>
      <c r="I22" s="75" t="s">
        <v>165</v>
      </c>
      <c r="J22" s="75">
        <v>58.0</v>
      </c>
    </row>
    <row r="23">
      <c r="A23" s="120" t="s">
        <v>120</v>
      </c>
      <c r="B23" s="75">
        <v>122.0</v>
      </c>
      <c r="C23" s="75" t="s">
        <v>165</v>
      </c>
      <c r="D23" s="75">
        <v>37.0</v>
      </c>
      <c r="E23" s="75">
        <v>81.0</v>
      </c>
      <c r="F23" s="75">
        <v>0.0</v>
      </c>
      <c r="G23" s="75">
        <v>18.0</v>
      </c>
      <c r="H23" s="75">
        <v>99.0</v>
      </c>
      <c r="I23" s="75" t="s">
        <v>165</v>
      </c>
      <c r="J23" s="75">
        <v>43.0</v>
      </c>
    </row>
    <row r="24">
      <c r="A24" s="120" t="s">
        <v>121</v>
      </c>
      <c r="B24" s="75">
        <v>99.0</v>
      </c>
      <c r="C24" s="75" t="s">
        <v>165</v>
      </c>
      <c r="D24" s="75" t="s">
        <v>165</v>
      </c>
      <c r="E24" s="75">
        <v>56.0</v>
      </c>
      <c r="F24" s="75">
        <v>0.0</v>
      </c>
      <c r="G24" s="75">
        <v>14.0</v>
      </c>
      <c r="H24" s="75">
        <v>71.0</v>
      </c>
      <c r="I24" s="75">
        <v>0.0</v>
      </c>
      <c r="J24" s="75">
        <v>34.0</v>
      </c>
    </row>
    <row r="25">
      <c r="A25" s="120" t="s">
        <v>122</v>
      </c>
      <c r="B25" s="75">
        <v>89.0</v>
      </c>
      <c r="C25" s="75" t="s">
        <v>165</v>
      </c>
      <c r="D25" s="75" t="s">
        <v>165</v>
      </c>
      <c r="E25" s="75">
        <v>78.0</v>
      </c>
      <c r="F25" s="75">
        <v>0.0</v>
      </c>
      <c r="G25" s="75">
        <v>16.0</v>
      </c>
      <c r="H25" s="75" t="s">
        <v>165</v>
      </c>
      <c r="I25" s="75">
        <v>25.0</v>
      </c>
      <c r="J25" s="75">
        <v>34.0</v>
      </c>
    </row>
    <row r="26">
      <c r="A26" s="120" t="s">
        <v>123</v>
      </c>
      <c r="B26" s="75">
        <v>69.0</v>
      </c>
      <c r="C26" s="75" t="s">
        <v>165</v>
      </c>
      <c r="D26" s="75">
        <v>31.0</v>
      </c>
      <c r="E26" s="75">
        <v>46.0</v>
      </c>
      <c r="F26" s="75">
        <v>0.0</v>
      </c>
      <c r="G26" s="75">
        <v>13.0</v>
      </c>
      <c r="H26" s="75" t="s">
        <v>165</v>
      </c>
      <c r="I26" s="75">
        <v>20.0</v>
      </c>
      <c r="J26" s="75">
        <v>26.0</v>
      </c>
    </row>
    <row r="27">
      <c r="A27" s="120" t="s">
        <v>124</v>
      </c>
      <c r="B27" s="75">
        <v>75.0</v>
      </c>
      <c r="C27" s="75" t="s">
        <v>165</v>
      </c>
      <c r="D27" s="75">
        <v>26.0</v>
      </c>
      <c r="E27" s="75">
        <v>51.0</v>
      </c>
      <c r="F27" s="75">
        <v>0.0</v>
      </c>
      <c r="G27" s="75">
        <v>20.0</v>
      </c>
      <c r="H27" s="75">
        <v>85.0</v>
      </c>
      <c r="I27" s="75" t="s">
        <v>165</v>
      </c>
      <c r="J27" s="75">
        <v>32.0</v>
      </c>
    </row>
    <row r="28">
      <c r="A28" s="120" t="s">
        <v>125</v>
      </c>
      <c r="B28" s="75">
        <v>88.0</v>
      </c>
      <c r="C28" s="75" t="s">
        <v>165</v>
      </c>
      <c r="D28" s="75">
        <v>14.0</v>
      </c>
      <c r="E28" s="75">
        <v>103.0</v>
      </c>
      <c r="F28" s="75">
        <v>0.0</v>
      </c>
      <c r="G28" s="75">
        <v>22.0</v>
      </c>
      <c r="H28" s="75">
        <v>113.0</v>
      </c>
      <c r="I28" s="75">
        <v>41.0</v>
      </c>
      <c r="J28" s="75">
        <v>41.0</v>
      </c>
    </row>
    <row r="29">
      <c r="A29" s="120" t="s">
        <v>126</v>
      </c>
      <c r="B29" s="75">
        <v>152.0</v>
      </c>
      <c r="C29" s="75" t="s">
        <v>165</v>
      </c>
      <c r="D29" s="75">
        <v>37.0</v>
      </c>
      <c r="E29" s="75">
        <v>151.0</v>
      </c>
      <c r="F29" s="75">
        <v>0.0</v>
      </c>
      <c r="G29" s="75">
        <v>27.0</v>
      </c>
      <c r="H29" s="75">
        <v>310.0</v>
      </c>
      <c r="I29" s="75">
        <v>53.0</v>
      </c>
      <c r="J29" s="75">
        <v>61.0</v>
      </c>
    </row>
    <row r="30">
      <c r="A30" s="120" t="s">
        <v>127</v>
      </c>
      <c r="B30" s="75">
        <v>195.0</v>
      </c>
      <c r="C30" s="75" t="s">
        <v>165</v>
      </c>
      <c r="D30" s="75">
        <v>57.0</v>
      </c>
      <c r="E30" s="75">
        <v>125.0</v>
      </c>
      <c r="F30" s="75">
        <v>0.0</v>
      </c>
      <c r="G30" s="75">
        <v>26.0</v>
      </c>
      <c r="H30" s="75">
        <v>197.0</v>
      </c>
      <c r="I30" s="75">
        <v>33.0</v>
      </c>
      <c r="J30" s="75">
        <v>65.0</v>
      </c>
    </row>
    <row r="31">
      <c r="A31" s="120" t="s">
        <v>128</v>
      </c>
      <c r="B31" s="75">
        <v>204.0</v>
      </c>
      <c r="C31" s="75" t="s">
        <v>165</v>
      </c>
      <c r="D31" s="75">
        <v>43.0</v>
      </c>
      <c r="E31" s="75">
        <v>136.0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165</v>
      </c>
      <c r="D33" s="75">
        <v>31.0</v>
      </c>
      <c r="E33" s="75">
        <v>76.0</v>
      </c>
      <c r="F33" s="75">
        <v>0.0</v>
      </c>
      <c r="G33" s="75">
        <v>30.0</v>
      </c>
      <c r="H33" s="75">
        <v>127.0</v>
      </c>
      <c r="I33" s="75">
        <v>49.0</v>
      </c>
      <c r="J33" s="75">
        <v>63.0</v>
      </c>
    </row>
    <row r="34">
      <c r="A34" s="120" t="s">
        <v>131</v>
      </c>
      <c r="B34" s="75">
        <v>146.0</v>
      </c>
      <c r="C34" s="75" t="s">
        <v>165</v>
      </c>
      <c r="D34" s="75">
        <v>26.0</v>
      </c>
      <c r="E34" s="75">
        <v>58.0</v>
      </c>
      <c r="F34" s="75">
        <v>0.0</v>
      </c>
      <c r="G34" s="75">
        <v>23.0</v>
      </c>
      <c r="H34" s="75">
        <v>99.0</v>
      </c>
      <c r="I34" s="75">
        <v>41.0</v>
      </c>
      <c r="J34" s="75">
        <v>51.0</v>
      </c>
    </row>
    <row r="35">
      <c r="A35" s="120" t="s">
        <v>132</v>
      </c>
      <c r="B35" s="122">
        <v>132.0</v>
      </c>
      <c r="C35" s="122" t="s">
        <v>165</v>
      </c>
      <c r="D35" s="122">
        <v>48.0</v>
      </c>
      <c r="E35" s="122">
        <v>88.0</v>
      </c>
      <c r="F35" s="122">
        <v>0.0</v>
      </c>
      <c r="G35" s="122">
        <v>19.0</v>
      </c>
      <c r="H35" s="122">
        <v>99.0</v>
      </c>
      <c r="I35" s="122" t="s">
        <v>165</v>
      </c>
      <c r="J35" s="122">
        <v>46.0</v>
      </c>
    </row>
    <row r="36">
      <c r="A36" s="120" t="s">
        <v>133</v>
      </c>
      <c r="B36" s="122">
        <v>108.0</v>
      </c>
      <c r="C36" s="122">
        <v>0.0</v>
      </c>
      <c r="D36" s="122">
        <v>14.0</v>
      </c>
      <c r="E36" s="122">
        <v>107.0</v>
      </c>
      <c r="F36" s="122">
        <v>0.0</v>
      </c>
      <c r="G36" s="122">
        <v>29.0</v>
      </c>
      <c r="H36" s="122">
        <v>141.0</v>
      </c>
      <c r="I36" s="122" t="s">
        <v>165</v>
      </c>
      <c r="J36" s="122">
        <v>51.0</v>
      </c>
    </row>
    <row r="37">
      <c r="A37" s="120" t="s">
        <v>134</v>
      </c>
      <c r="B37" s="122">
        <v>145.0</v>
      </c>
      <c r="C37" s="122" t="s">
        <v>165</v>
      </c>
      <c r="D37" s="122">
        <v>26.0</v>
      </c>
      <c r="E37" s="122">
        <v>75.0</v>
      </c>
      <c r="F37" s="122">
        <v>0.0</v>
      </c>
      <c r="G37" s="122">
        <v>46.0</v>
      </c>
      <c r="H37" s="122">
        <v>226.0</v>
      </c>
      <c r="I37" s="122">
        <v>29.0</v>
      </c>
      <c r="J37" s="122">
        <v>68.0</v>
      </c>
    </row>
    <row r="38">
      <c r="A38" s="120" t="s">
        <v>135</v>
      </c>
      <c r="B38" s="151">
        <v>142.0</v>
      </c>
      <c r="C38" s="151" t="s">
        <v>165</v>
      </c>
      <c r="D38" s="151">
        <v>23.0</v>
      </c>
      <c r="E38" s="151">
        <v>117.0</v>
      </c>
      <c r="F38" s="151">
        <v>0.0</v>
      </c>
      <c r="G38" s="151">
        <v>43.0</v>
      </c>
      <c r="H38" s="151">
        <v>155.0</v>
      </c>
      <c r="I38" s="151">
        <v>45.0</v>
      </c>
      <c r="J38" s="151">
        <v>67.0</v>
      </c>
    </row>
    <row r="39">
      <c r="A39" s="120" t="s">
        <v>136</v>
      </c>
      <c r="B39" s="151">
        <v>175.0</v>
      </c>
      <c r="C39" s="151" t="s">
        <v>165</v>
      </c>
      <c r="D39" s="151">
        <v>23.0</v>
      </c>
      <c r="E39" s="151">
        <v>154.0</v>
      </c>
      <c r="F39" s="151">
        <v>0.0</v>
      </c>
      <c r="G39" s="151">
        <v>60.0</v>
      </c>
      <c r="H39" s="151">
        <v>324.0</v>
      </c>
      <c r="I39" s="151">
        <v>57.0</v>
      </c>
      <c r="J39" s="151">
        <v>91.0</v>
      </c>
    </row>
    <row r="40">
      <c r="A40" s="120" t="s">
        <v>137</v>
      </c>
      <c r="B40" s="151">
        <v>222.0</v>
      </c>
      <c r="C40" s="151">
        <v>216.0</v>
      </c>
      <c r="D40" s="151">
        <v>26.0</v>
      </c>
      <c r="E40" s="151">
        <v>173.0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165</v>
      </c>
      <c r="D42" s="151">
        <v>105.0</v>
      </c>
      <c r="E42" s="151">
        <v>264.0</v>
      </c>
      <c r="F42" s="151">
        <v>0.0</v>
      </c>
      <c r="G42" s="151">
        <v>137.0</v>
      </c>
      <c r="H42" s="151">
        <v>804.0</v>
      </c>
      <c r="I42" s="151">
        <v>78.0</v>
      </c>
      <c r="J42" s="151">
        <v>234.0</v>
      </c>
    </row>
    <row r="43">
      <c r="A43" s="120" t="s">
        <v>140</v>
      </c>
      <c r="B43" s="151">
        <v>534.0</v>
      </c>
      <c r="C43" s="151" t="s">
        <v>165</v>
      </c>
      <c r="D43" s="151">
        <v>128.0</v>
      </c>
      <c r="E43" s="151">
        <v>292.0</v>
      </c>
      <c r="F43" s="151">
        <v>0.0</v>
      </c>
      <c r="G43" s="151">
        <v>160.0</v>
      </c>
      <c r="H43" s="151">
        <v>776.0</v>
      </c>
      <c r="I43" s="151">
        <v>74.0</v>
      </c>
      <c r="J43" s="151">
        <v>270.0</v>
      </c>
    </row>
    <row r="44">
      <c r="A44" s="120" t="s">
        <v>141</v>
      </c>
      <c r="B44" s="151">
        <v>643.0</v>
      </c>
      <c r="C44" s="151">
        <v>135.0</v>
      </c>
      <c r="D44" s="151">
        <v>225.0</v>
      </c>
      <c r="E44" s="151">
        <v>378.0</v>
      </c>
      <c r="F44" s="151">
        <v>0.0</v>
      </c>
      <c r="G44" s="151">
        <v>225.0</v>
      </c>
      <c r="H44" s="151">
        <v>1298.0</v>
      </c>
      <c r="I44" s="151">
        <v>111.0</v>
      </c>
      <c r="J44" s="151">
        <v>354.0</v>
      </c>
    </row>
    <row r="45">
      <c r="A45" s="120" t="s">
        <v>142</v>
      </c>
      <c r="B45" s="151">
        <v>964.0</v>
      </c>
      <c r="C45" s="151">
        <v>162.0</v>
      </c>
      <c r="D45" s="151">
        <v>256.0</v>
      </c>
      <c r="E45" s="151">
        <v>588.0</v>
      </c>
      <c r="F45" s="151">
        <v>0.0</v>
      </c>
      <c r="G45" s="151">
        <v>358.0</v>
      </c>
      <c r="H45" s="151">
        <v>1410.0</v>
      </c>
      <c r="I45" s="151">
        <v>238.0</v>
      </c>
      <c r="J45" s="151">
        <v>527.0</v>
      </c>
    </row>
    <row r="46">
      <c r="A46" s="120" t="s">
        <v>143</v>
      </c>
      <c r="B46" s="151">
        <v>1035.0</v>
      </c>
      <c r="C46" s="151">
        <v>351.0</v>
      </c>
      <c r="D46" s="151">
        <v>362.0</v>
      </c>
      <c r="E46" s="151">
        <v>607.0</v>
      </c>
      <c r="F46" s="151">
        <v>0.0</v>
      </c>
      <c r="G46" s="151">
        <v>428.0</v>
      </c>
      <c r="H46" s="151">
        <v>1805.0</v>
      </c>
      <c r="I46" s="151">
        <v>213.0</v>
      </c>
      <c r="J46" s="151">
        <v>616.0</v>
      </c>
    </row>
    <row r="47">
      <c r="A47" s="120" t="s">
        <v>144</v>
      </c>
      <c r="B47" s="151">
        <v>862.0</v>
      </c>
      <c r="C47" s="151">
        <v>324.0</v>
      </c>
      <c r="D47" s="151">
        <v>253.0</v>
      </c>
      <c r="E47" s="151">
        <v>490.0</v>
      </c>
      <c r="F47" s="151">
        <v>0.0</v>
      </c>
      <c r="G47" s="151">
        <v>384.0</v>
      </c>
      <c r="H47" s="151">
        <v>1763.0</v>
      </c>
      <c r="I47" s="151">
        <v>201.0</v>
      </c>
      <c r="J47" s="151">
        <v>558.0</v>
      </c>
    </row>
    <row r="48">
      <c r="A48" s="120" t="s">
        <v>145</v>
      </c>
      <c r="B48" s="151">
        <v>1331.0</v>
      </c>
      <c r="C48" s="151">
        <v>351.0</v>
      </c>
      <c r="D48" s="151">
        <v>478.0</v>
      </c>
      <c r="E48" s="151">
        <v>786.0</v>
      </c>
      <c r="F48" s="151">
        <v>0.0</v>
      </c>
      <c r="G48" s="151">
        <v>586.0</v>
      </c>
      <c r="H48" s="151">
        <v>2496.0</v>
      </c>
      <c r="I48" s="151">
        <v>319.0</v>
      </c>
      <c r="J48" s="151">
        <v>831.0</v>
      </c>
    </row>
    <row r="49">
      <c r="A49" s="120" t="s">
        <v>146</v>
      </c>
      <c r="B49" s="151">
        <v>1172.0</v>
      </c>
      <c r="C49" s="151">
        <v>405.0</v>
      </c>
      <c r="D49" s="151">
        <v>478.0</v>
      </c>
      <c r="E49" s="151">
        <v>786.0</v>
      </c>
      <c r="F49" s="151">
        <v>0.0</v>
      </c>
      <c r="G49" s="151">
        <v>552.0</v>
      </c>
      <c r="H49" s="151">
        <v>2384.0</v>
      </c>
      <c r="I49" s="151">
        <v>332.0</v>
      </c>
      <c r="J49" s="151">
        <v>770.0</v>
      </c>
    </row>
    <row r="50">
      <c r="A50" s="120" t="s">
        <v>147</v>
      </c>
      <c r="B50" s="151">
        <v>842.0</v>
      </c>
      <c r="C50" s="151">
        <v>270.0</v>
      </c>
      <c r="D50" s="151">
        <v>356.0</v>
      </c>
      <c r="E50" s="151">
        <v>525.0</v>
      </c>
      <c r="F50" s="151">
        <v>0.0</v>
      </c>
      <c r="G50" s="151">
        <v>436.0</v>
      </c>
      <c r="H50" s="151">
        <v>1537.0</v>
      </c>
      <c r="I50" s="151">
        <v>262.0</v>
      </c>
      <c r="J50" s="151">
        <v>573.0</v>
      </c>
    </row>
    <row r="51">
      <c r="A51" s="120" t="s">
        <v>148</v>
      </c>
      <c r="B51" s="151">
        <v>575.0</v>
      </c>
      <c r="C51" s="151">
        <v>297.0</v>
      </c>
      <c r="D51" s="151">
        <v>359.0</v>
      </c>
      <c r="E51" s="151">
        <v>369.0</v>
      </c>
      <c r="F51" s="151">
        <v>0.0</v>
      </c>
      <c r="G51" s="151">
        <v>366.0</v>
      </c>
      <c r="H51" s="151">
        <v>1876.0</v>
      </c>
      <c r="I51" s="151">
        <v>233.0</v>
      </c>
      <c r="J51" s="151">
        <v>465.0</v>
      </c>
    </row>
    <row r="52">
      <c r="A52" s="120" t="s">
        <v>149</v>
      </c>
      <c r="B52" s="151">
        <v>790.0</v>
      </c>
      <c r="C52" s="151" t="s">
        <v>165</v>
      </c>
      <c r="D52" s="151">
        <v>470.0</v>
      </c>
      <c r="E52" s="151">
        <v>461.0</v>
      </c>
      <c r="F52" s="151">
        <v>0.0</v>
      </c>
      <c r="G52" s="151">
        <v>524.0</v>
      </c>
      <c r="H52" s="151">
        <v>1834.0</v>
      </c>
      <c r="I52" s="151">
        <v>324.0</v>
      </c>
      <c r="J52" s="151">
        <v>638.0</v>
      </c>
    </row>
    <row r="53">
      <c r="A53" s="120" t="s">
        <v>150</v>
      </c>
      <c r="B53" s="151">
        <v>1000.0</v>
      </c>
      <c r="C53" s="151">
        <v>647.0</v>
      </c>
      <c r="D53" s="151">
        <v>518.0</v>
      </c>
      <c r="E53" s="151">
        <v>664.0</v>
      </c>
      <c r="F53" s="151">
        <v>0.0</v>
      </c>
      <c r="G53" s="151">
        <v>567.0</v>
      </c>
      <c r="H53" s="151">
        <v>2511.0</v>
      </c>
      <c r="I53" s="151">
        <v>340.0</v>
      </c>
      <c r="J53" s="151">
        <v>723.0</v>
      </c>
    </row>
    <row r="54">
      <c r="A54" s="120" t="s">
        <v>151</v>
      </c>
      <c r="B54" s="151">
        <v>773.0</v>
      </c>
      <c r="C54" s="151">
        <v>378.0</v>
      </c>
      <c r="D54" s="151">
        <v>421.0</v>
      </c>
      <c r="E54" s="151">
        <v>608.0</v>
      </c>
      <c r="F54" s="151">
        <v>0.0</v>
      </c>
      <c r="G54" s="151">
        <v>422.0</v>
      </c>
      <c r="H54" s="151">
        <v>2073.0</v>
      </c>
      <c r="I54" s="151">
        <v>324.0</v>
      </c>
      <c r="J54" s="151">
        <v>546.0</v>
      </c>
    </row>
    <row r="55">
      <c r="A55" s="120" t="s">
        <v>152</v>
      </c>
      <c r="B55" s="151">
        <v>562.0</v>
      </c>
      <c r="C55" s="151">
        <v>485.0</v>
      </c>
      <c r="D55" s="151">
        <v>236.0</v>
      </c>
      <c r="E55" s="151">
        <v>456.0</v>
      </c>
      <c r="F55" s="151">
        <v>0.0</v>
      </c>
      <c r="G55" s="151">
        <v>388.0</v>
      </c>
      <c r="H55" s="151">
        <v>1523.0</v>
      </c>
      <c r="I55" s="151">
        <v>291.0</v>
      </c>
      <c r="J55" s="151">
        <v>467.0</v>
      </c>
    </row>
    <row r="56">
      <c r="A56" s="120" t="s">
        <v>153</v>
      </c>
      <c r="B56" s="151">
        <v>450.0</v>
      </c>
      <c r="C56" s="151">
        <v>458.0</v>
      </c>
      <c r="D56" s="151">
        <v>182.0</v>
      </c>
      <c r="E56" s="151">
        <v>415.0</v>
      </c>
      <c r="F56" s="151">
        <v>0.0</v>
      </c>
      <c r="G56" s="151">
        <v>301.0</v>
      </c>
      <c r="H56" s="151">
        <v>889.0</v>
      </c>
      <c r="I56" s="151">
        <v>254.0</v>
      </c>
      <c r="J56" s="151">
        <v>376.0</v>
      </c>
    </row>
    <row r="57">
      <c r="A57" s="120" t="s">
        <v>154</v>
      </c>
      <c r="B57" s="151">
        <v>346.0</v>
      </c>
      <c r="C57" s="151">
        <v>270.0</v>
      </c>
      <c r="D57" s="151">
        <v>242.0</v>
      </c>
      <c r="E57" s="151">
        <v>283.0</v>
      </c>
      <c r="F57" s="151">
        <v>0.0</v>
      </c>
      <c r="G57" s="151">
        <v>227.0</v>
      </c>
      <c r="H57" s="151">
        <v>931.0</v>
      </c>
      <c r="I57" s="151">
        <v>139.0</v>
      </c>
      <c r="J57" s="151">
        <v>288.0</v>
      </c>
    </row>
    <row r="58">
      <c r="A58" s="120" t="s">
        <v>155</v>
      </c>
      <c r="B58" s="151">
        <v>322.0</v>
      </c>
      <c r="C58" s="151">
        <v>431.0</v>
      </c>
      <c r="D58" s="151">
        <v>171.0</v>
      </c>
      <c r="E58" s="151">
        <v>217.0</v>
      </c>
      <c r="F58" s="151">
        <v>0.0</v>
      </c>
      <c r="G58" s="151">
        <v>174.0</v>
      </c>
      <c r="H58" s="151">
        <v>649.0</v>
      </c>
      <c r="I58" s="151">
        <v>135.0</v>
      </c>
      <c r="J58" s="151">
        <v>233.0</v>
      </c>
    </row>
    <row r="59">
      <c r="A59" s="120" t="s">
        <v>156</v>
      </c>
      <c r="B59" s="151">
        <v>271.0</v>
      </c>
      <c r="C59" s="151">
        <v>216.0</v>
      </c>
      <c r="D59" s="151">
        <v>139.0</v>
      </c>
      <c r="E59" s="151">
        <v>190.0</v>
      </c>
      <c r="F59" s="151">
        <v>0.0</v>
      </c>
      <c r="G59" s="151">
        <v>149.0</v>
      </c>
      <c r="H59" s="151">
        <v>663.0</v>
      </c>
      <c r="I59" s="151">
        <v>106.0</v>
      </c>
      <c r="J59" s="151">
        <v>202.0</v>
      </c>
    </row>
    <row r="60">
      <c r="A60" s="120" t="s">
        <v>157</v>
      </c>
      <c r="B60" s="151">
        <v>279.0</v>
      </c>
      <c r="C60" s="151">
        <v>539.0</v>
      </c>
      <c r="D60" s="151">
        <v>159.0</v>
      </c>
      <c r="E60" s="151">
        <v>181.0</v>
      </c>
      <c r="F60" s="151">
        <v>0.0</v>
      </c>
      <c r="G60" s="151">
        <v>173.0</v>
      </c>
      <c r="H60" s="151">
        <v>635.0</v>
      </c>
      <c r="I60" s="151">
        <v>160.0</v>
      </c>
      <c r="J60" s="151">
        <v>229.0</v>
      </c>
    </row>
    <row r="61">
      <c r="A61" s="120" t="s">
        <v>158</v>
      </c>
      <c r="B61" s="151">
        <v>266.0</v>
      </c>
      <c r="C61" s="151">
        <v>405.0</v>
      </c>
      <c r="D61" s="151">
        <v>105.0</v>
      </c>
      <c r="E61" s="151">
        <v>171.0</v>
      </c>
      <c r="F61" s="151">
        <v>0.0</v>
      </c>
      <c r="G61" s="151">
        <v>162.0</v>
      </c>
      <c r="H61" s="151">
        <v>522.0</v>
      </c>
      <c r="I61" s="151">
        <v>111.0</v>
      </c>
      <c r="J61" s="151">
        <v>209.0</v>
      </c>
    </row>
    <row r="62">
      <c r="A62" s="120" t="s">
        <v>159</v>
      </c>
      <c r="B62" s="151">
        <v>279.0</v>
      </c>
      <c r="C62" s="151">
        <v>243.0</v>
      </c>
      <c r="D62" s="151">
        <v>80.0</v>
      </c>
      <c r="E62" s="151">
        <v>161.0</v>
      </c>
      <c r="F62" s="151">
        <v>0.0</v>
      </c>
      <c r="G62" s="151">
        <v>162.0</v>
      </c>
      <c r="H62" s="151">
        <v>578.0</v>
      </c>
      <c r="I62" s="151">
        <v>147.0</v>
      </c>
      <c r="J62" s="151">
        <v>216.0</v>
      </c>
    </row>
    <row r="63">
      <c r="A63" s="120" t="s">
        <v>160</v>
      </c>
      <c r="B63" s="151">
        <v>266.0</v>
      </c>
      <c r="C63" s="151">
        <v>135.0</v>
      </c>
      <c r="D63" s="151">
        <v>77.0</v>
      </c>
      <c r="E63" s="151">
        <v>149.0</v>
      </c>
      <c r="F63" s="151">
        <v>0.0</v>
      </c>
      <c r="G63" s="151">
        <v>150.0</v>
      </c>
      <c r="H63" s="151">
        <v>606.0</v>
      </c>
      <c r="I63" s="151">
        <v>184.0</v>
      </c>
      <c r="J63" s="151">
        <v>206.0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191</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192</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176</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125.0</v>
      </c>
      <c r="E9" s="122">
        <v>221.0</v>
      </c>
      <c r="F9" s="122">
        <v>8.0</v>
      </c>
      <c r="G9" s="140">
        <v>4471.0</v>
      </c>
      <c r="H9" s="122">
        <v>654.0</v>
      </c>
      <c r="I9" s="122">
        <v>502.0</v>
      </c>
      <c r="J9" s="140">
        <v>6298.0</v>
      </c>
      <c r="K9" s="105"/>
      <c r="L9" s="105"/>
      <c r="M9" s="105"/>
      <c r="N9" s="105"/>
      <c r="O9" s="105"/>
      <c r="P9" s="105"/>
    </row>
    <row r="10">
      <c r="A10" s="139" t="s">
        <v>149</v>
      </c>
      <c r="B10" s="122">
        <v>922.0</v>
      </c>
      <c r="C10" s="122">
        <v>14.0</v>
      </c>
      <c r="D10" s="122">
        <v>154.0</v>
      </c>
      <c r="E10" s="122">
        <v>295.0</v>
      </c>
      <c r="F10" s="122">
        <v>11.0</v>
      </c>
      <c r="G10" s="140">
        <v>7124.0</v>
      </c>
      <c r="H10" s="122">
        <v>725.0</v>
      </c>
      <c r="I10" s="140">
        <v>2678.0</v>
      </c>
      <c r="J10" s="140">
        <v>11923.0</v>
      </c>
      <c r="K10" s="105"/>
      <c r="L10" s="105"/>
      <c r="M10" s="105"/>
      <c r="N10" s="105"/>
      <c r="O10" s="105"/>
      <c r="P10" s="105"/>
    </row>
    <row r="11">
      <c r="A11" s="139" t="s">
        <v>150</v>
      </c>
      <c r="B11" s="122">
        <v>894.0</v>
      </c>
      <c r="C11" s="122">
        <v>10.0</v>
      </c>
      <c r="D11" s="122">
        <v>182.0</v>
      </c>
      <c r="E11" s="122">
        <v>366.0</v>
      </c>
      <c r="F11" s="122">
        <v>13.0</v>
      </c>
      <c r="G11" s="140">
        <v>6118.0</v>
      </c>
      <c r="H11" s="122">
        <v>541.0</v>
      </c>
      <c r="I11" s="140">
        <v>3840.0</v>
      </c>
      <c r="J11" s="140">
        <v>11964.0</v>
      </c>
      <c r="K11" s="105"/>
      <c r="L11" s="105"/>
      <c r="M11" s="105"/>
      <c r="N11" s="105"/>
      <c r="O11" s="105"/>
      <c r="P11" s="105"/>
    </row>
    <row r="12">
      <c r="A12" s="139" t="s">
        <v>151</v>
      </c>
      <c r="B12" s="122">
        <v>814.0</v>
      </c>
      <c r="C12" s="122">
        <v>27.0</v>
      </c>
      <c r="D12" s="122">
        <v>146.0</v>
      </c>
      <c r="E12" s="122">
        <v>396.0</v>
      </c>
      <c r="F12" s="122">
        <v>10.0</v>
      </c>
      <c r="G12" s="140">
        <v>4992.0</v>
      </c>
      <c r="H12" s="122">
        <v>518.0</v>
      </c>
      <c r="I12" s="140">
        <v>3137.0</v>
      </c>
      <c r="J12" s="140">
        <v>10040.0</v>
      </c>
      <c r="K12" s="105"/>
      <c r="L12" s="105"/>
      <c r="M12" s="105"/>
      <c r="N12" s="105"/>
      <c r="O12" s="105"/>
      <c r="P12" s="105"/>
    </row>
    <row r="13">
      <c r="A13" s="139" t="s">
        <v>152</v>
      </c>
      <c r="B13" s="140">
        <v>1224.0</v>
      </c>
      <c r="C13" s="122">
        <v>22.0</v>
      </c>
      <c r="D13" s="122">
        <v>163.0</v>
      </c>
      <c r="E13" s="122">
        <v>478.0</v>
      </c>
      <c r="F13" s="122">
        <v>8.0</v>
      </c>
      <c r="G13" s="140">
        <v>6334.0</v>
      </c>
      <c r="H13" s="122">
        <v>417.0</v>
      </c>
      <c r="I13" s="140">
        <v>2547.0</v>
      </c>
      <c r="J13" s="140">
        <v>11193.0</v>
      </c>
      <c r="K13" s="105"/>
      <c r="L13" s="105"/>
      <c r="M13" s="105"/>
      <c r="N13" s="105"/>
      <c r="O13" s="105"/>
      <c r="P13" s="105"/>
    </row>
    <row r="14">
      <c r="A14" s="139" t="s">
        <v>153</v>
      </c>
      <c r="B14" s="140">
        <v>1072.0</v>
      </c>
      <c r="C14" s="122">
        <v>42.0</v>
      </c>
      <c r="D14" s="122">
        <v>214.0</v>
      </c>
      <c r="E14" s="122">
        <v>624.0</v>
      </c>
      <c r="F14" s="122">
        <v>17.0</v>
      </c>
      <c r="G14" s="140">
        <v>8658.0</v>
      </c>
      <c r="H14" s="122">
        <v>459.0</v>
      </c>
      <c r="I14" s="140">
        <v>3104.0</v>
      </c>
      <c r="J14" s="140">
        <v>14190.0</v>
      </c>
      <c r="K14" s="105"/>
      <c r="L14" s="105"/>
      <c r="M14" s="105"/>
      <c r="N14" s="105"/>
      <c r="O14" s="105"/>
      <c r="P14" s="105"/>
    </row>
    <row r="15">
      <c r="A15" s="139" t="s">
        <v>154</v>
      </c>
      <c r="B15" s="140">
        <v>1326.0</v>
      </c>
      <c r="C15" s="122">
        <v>37.0</v>
      </c>
      <c r="D15" s="122">
        <v>156.0</v>
      </c>
      <c r="E15" s="122">
        <v>648.0</v>
      </c>
      <c r="F15" s="122">
        <v>19.0</v>
      </c>
      <c r="G15" s="140">
        <v>10952.0</v>
      </c>
      <c r="H15" s="122">
        <v>911.0</v>
      </c>
      <c r="I15" s="140">
        <v>2636.0</v>
      </c>
      <c r="J15" s="140">
        <v>16685.0</v>
      </c>
      <c r="K15" s="105"/>
      <c r="L15" s="105"/>
      <c r="M15" s="105"/>
      <c r="N15" s="105"/>
      <c r="O15" s="105"/>
      <c r="P15" s="105"/>
    </row>
    <row r="16">
      <c r="A16" s="139" t="s">
        <v>155</v>
      </c>
      <c r="B16" s="140">
        <v>1362.0</v>
      </c>
      <c r="C16" s="122">
        <v>38.0</v>
      </c>
      <c r="D16" s="122">
        <v>248.0</v>
      </c>
      <c r="E16" s="122">
        <v>542.0</v>
      </c>
      <c r="F16" s="122">
        <v>23.0</v>
      </c>
      <c r="G16" s="140">
        <v>11561.0</v>
      </c>
      <c r="H16" s="122">
        <v>812.0</v>
      </c>
      <c r="I16" s="140">
        <v>1856.0</v>
      </c>
      <c r="J16" s="140">
        <v>16442.0</v>
      </c>
      <c r="K16" s="105"/>
      <c r="L16" s="105"/>
      <c r="M16" s="105"/>
      <c r="N16" s="105"/>
      <c r="O16" s="105"/>
      <c r="P16" s="105"/>
    </row>
    <row r="17">
      <c r="A17" s="139" t="s">
        <v>156</v>
      </c>
      <c r="B17" s="140">
        <v>1968.0</v>
      </c>
      <c r="C17" s="122">
        <v>95.0</v>
      </c>
      <c r="D17" s="122">
        <v>541.0</v>
      </c>
      <c r="E17" s="122">
        <v>929.0</v>
      </c>
      <c r="F17" s="122">
        <v>39.0</v>
      </c>
      <c r="G17" s="140">
        <v>26209.0</v>
      </c>
      <c r="H17" s="140">
        <v>1272.0</v>
      </c>
      <c r="I17" s="140">
        <v>1531.0</v>
      </c>
      <c r="J17" s="140">
        <v>32584.0</v>
      </c>
      <c r="K17" s="105"/>
      <c r="L17" s="105"/>
      <c r="M17" s="105"/>
      <c r="N17" s="105"/>
      <c r="O17" s="105"/>
      <c r="P17" s="105"/>
    </row>
    <row r="18">
      <c r="A18" s="139" t="s">
        <v>157</v>
      </c>
      <c r="B18" s="140">
        <v>1920.0</v>
      </c>
      <c r="C18" s="122">
        <v>89.0</v>
      </c>
      <c r="D18" s="122">
        <v>605.0</v>
      </c>
      <c r="E18" s="122">
        <v>942.0</v>
      </c>
      <c r="F18" s="122">
        <v>85.0</v>
      </c>
      <c r="G18" s="140">
        <v>35705.0</v>
      </c>
      <c r="H18" s="140">
        <v>1382.0</v>
      </c>
      <c r="I18" s="140">
        <v>3820.0</v>
      </c>
      <c r="J18" s="140">
        <v>44548.0</v>
      </c>
      <c r="K18" s="105"/>
      <c r="L18" s="105"/>
      <c r="M18" s="105"/>
      <c r="N18" s="105"/>
      <c r="O18" s="105"/>
      <c r="P18" s="105"/>
    </row>
    <row r="19">
      <c r="A19" s="139" t="s">
        <v>158</v>
      </c>
      <c r="B19" s="140">
        <v>3513.0</v>
      </c>
      <c r="C19" s="140">
        <v>104.0</v>
      </c>
      <c r="D19" s="140">
        <v>663.0</v>
      </c>
      <c r="E19" s="140">
        <v>1130.0</v>
      </c>
      <c r="F19" s="140">
        <v>71.0</v>
      </c>
      <c r="G19" s="140">
        <v>29318.0</v>
      </c>
      <c r="H19" s="140">
        <v>1545.0</v>
      </c>
      <c r="I19" s="140">
        <v>3621.0</v>
      </c>
      <c r="J19" s="140">
        <v>39965.0</v>
      </c>
    </row>
    <row r="20">
      <c r="A20" s="139" t="s">
        <v>159</v>
      </c>
      <c r="B20" s="140">
        <v>3974.0</v>
      </c>
      <c r="C20" s="122">
        <v>103.0</v>
      </c>
      <c r="D20" s="122">
        <v>649.0</v>
      </c>
      <c r="E20" s="140">
        <v>1174.0</v>
      </c>
      <c r="F20" s="122">
        <v>52.0</v>
      </c>
      <c r="G20" s="140">
        <v>25903.0</v>
      </c>
      <c r="H20" s="140">
        <v>1654.0</v>
      </c>
      <c r="I20" s="140">
        <v>1274.0</v>
      </c>
      <c r="J20" s="140">
        <v>34783.0</v>
      </c>
    </row>
    <row r="21">
      <c r="A21" s="139" t="s">
        <v>160</v>
      </c>
      <c r="B21" s="140">
        <v>1922.0</v>
      </c>
      <c r="C21" s="122">
        <v>71.0</v>
      </c>
      <c r="D21" s="122">
        <v>475.0</v>
      </c>
      <c r="E21" s="122">
        <v>638.0</v>
      </c>
      <c r="F21" s="122">
        <v>24.0</v>
      </c>
      <c r="G21" s="140">
        <v>15455.0</v>
      </c>
      <c r="H21" s="122">
        <v>985.0</v>
      </c>
      <c r="I21" s="122">
        <v>607.0</v>
      </c>
      <c r="J21" s="140">
        <v>20177.0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193</v>
      </c>
      <c r="H1" s="102"/>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195</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176</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165</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356.0</v>
      </c>
      <c r="E10" s="122">
        <v>375.0</v>
      </c>
      <c r="F10" s="140">
        <v>1170.0</v>
      </c>
      <c r="G10" s="122">
        <v>582.0</v>
      </c>
      <c r="H10" s="140">
        <v>9224.0</v>
      </c>
      <c r="I10" s="122">
        <v>596.0</v>
      </c>
      <c r="J10" s="105"/>
      <c r="K10" s="105"/>
      <c r="L10" s="105"/>
      <c r="M10" s="105"/>
      <c r="N10" s="105"/>
      <c r="O10" s="105"/>
    </row>
    <row r="11">
      <c r="A11" s="139" t="s">
        <v>149</v>
      </c>
      <c r="B11" s="122">
        <v>580.0</v>
      </c>
      <c r="C11" s="122">
        <v>378.0</v>
      </c>
      <c r="D11" s="122">
        <v>438.0</v>
      </c>
      <c r="E11" s="122">
        <v>500.0</v>
      </c>
      <c r="F11" s="140">
        <v>1608.0</v>
      </c>
      <c r="G11" s="122">
        <v>928.0</v>
      </c>
      <c r="H11" s="140">
        <v>10226.0</v>
      </c>
      <c r="I11" s="140">
        <v>1128.0</v>
      </c>
      <c r="J11" s="105"/>
      <c r="K11" s="105"/>
      <c r="L11" s="105"/>
      <c r="M11" s="105"/>
      <c r="N11" s="105"/>
      <c r="O11" s="105"/>
    </row>
    <row r="12">
      <c r="A12" s="139" t="s">
        <v>150</v>
      </c>
      <c r="B12" s="122">
        <v>563.0</v>
      </c>
      <c r="C12" s="122">
        <v>270.0</v>
      </c>
      <c r="D12" s="122">
        <v>518.0</v>
      </c>
      <c r="E12" s="122">
        <v>620.0</v>
      </c>
      <c r="F12" s="140">
        <v>1901.0</v>
      </c>
      <c r="G12" s="122">
        <v>797.0</v>
      </c>
      <c r="H12" s="140">
        <v>7630.0</v>
      </c>
      <c r="I12" s="140">
        <v>1132.0</v>
      </c>
      <c r="J12" s="105"/>
      <c r="K12" s="105"/>
      <c r="L12" s="105"/>
      <c r="M12" s="105"/>
      <c r="N12" s="105"/>
      <c r="O12" s="105"/>
    </row>
    <row r="13">
      <c r="A13" s="139" t="s">
        <v>151</v>
      </c>
      <c r="B13" s="122">
        <v>512.0</v>
      </c>
      <c r="C13" s="122">
        <v>728.0</v>
      </c>
      <c r="D13" s="122">
        <v>416.0</v>
      </c>
      <c r="E13" s="122">
        <v>671.0</v>
      </c>
      <c r="F13" s="140">
        <v>1462.0</v>
      </c>
      <c r="G13" s="122">
        <v>650.0</v>
      </c>
      <c r="H13" s="140">
        <v>7306.0</v>
      </c>
      <c r="I13" s="122">
        <v>950.0</v>
      </c>
      <c r="J13" s="105"/>
      <c r="K13" s="105"/>
      <c r="L13" s="105"/>
      <c r="M13" s="105"/>
      <c r="N13" s="105"/>
      <c r="O13" s="105"/>
    </row>
    <row r="14">
      <c r="A14" s="139" t="s">
        <v>152</v>
      </c>
      <c r="B14" s="122">
        <v>770.0</v>
      </c>
      <c r="C14" s="122">
        <v>593.0</v>
      </c>
      <c r="D14" s="122">
        <v>464.0</v>
      </c>
      <c r="E14" s="122">
        <v>810.0</v>
      </c>
      <c r="F14" s="140">
        <v>1170.0</v>
      </c>
      <c r="G14" s="122">
        <v>825.0</v>
      </c>
      <c r="H14" s="140">
        <v>5882.0</v>
      </c>
      <c r="I14" s="140">
        <v>1059.0</v>
      </c>
      <c r="J14" s="105"/>
      <c r="K14" s="105"/>
      <c r="L14" s="105"/>
      <c r="M14" s="105"/>
      <c r="N14" s="105"/>
      <c r="O14" s="105"/>
    </row>
    <row r="15">
      <c r="A15" s="139" t="s">
        <v>153</v>
      </c>
      <c r="B15" s="122">
        <v>675.0</v>
      </c>
      <c r="C15" s="140">
        <v>1133.0</v>
      </c>
      <c r="D15" s="122">
        <v>609.0</v>
      </c>
      <c r="E15" s="140">
        <v>1058.0</v>
      </c>
      <c r="F15" s="140">
        <v>2485.0</v>
      </c>
      <c r="G15" s="140">
        <v>1128.0</v>
      </c>
      <c r="H15" s="140">
        <v>6474.0</v>
      </c>
      <c r="I15" s="140">
        <v>1343.0</v>
      </c>
      <c r="J15" s="105"/>
      <c r="K15" s="105"/>
      <c r="L15" s="105"/>
      <c r="M15" s="105"/>
      <c r="N15" s="105"/>
      <c r="O15" s="105"/>
    </row>
    <row r="16">
      <c r="A16" s="139" t="s">
        <v>154</v>
      </c>
      <c r="B16" s="122">
        <v>835.0</v>
      </c>
      <c r="C16" s="122">
        <v>998.0</v>
      </c>
      <c r="D16" s="122">
        <v>444.0</v>
      </c>
      <c r="E16" s="140">
        <v>1098.0</v>
      </c>
      <c r="F16" s="140">
        <v>2778.0</v>
      </c>
      <c r="G16" s="140">
        <v>1427.0</v>
      </c>
      <c r="H16" s="140">
        <v>12849.0</v>
      </c>
      <c r="I16" s="140">
        <v>1579.0</v>
      </c>
      <c r="J16" s="105"/>
      <c r="K16" s="105"/>
      <c r="L16" s="105"/>
      <c r="M16" s="105"/>
      <c r="N16" s="105"/>
      <c r="O16" s="105"/>
    </row>
    <row r="17">
      <c r="A17" s="139" t="s">
        <v>155</v>
      </c>
      <c r="B17" s="122">
        <v>857.0</v>
      </c>
      <c r="C17" s="140">
        <v>1025.0</v>
      </c>
      <c r="D17" s="122">
        <v>706.0</v>
      </c>
      <c r="E17" s="122">
        <v>919.0</v>
      </c>
      <c r="F17" s="140">
        <v>3363.0</v>
      </c>
      <c r="G17" s="140">
        <v>1506.0</v>
      </c>
      <c r="H17" s="140">
        <v>11453.0</v>
      </c>
      <c r="I17" s="140">
        <v>1556.0</v>
      </c>
      <c r="J17" s="105"/>
      <c r="K17" s="105"/>
      <c r="L17" s="105"/>
      <c r="M17" s="105"/>
      <c r="N17" s="105"/>
      <c r="O17" s="105"/>
    </row>
    <row r="18">
      <c r="A18" s="139" t="s">
        <v>156</v>
      </c>
      <c r="B18" s="140">
        <v>1239.0</v>
      </c>
      <c r="C18" s="140">
        <v>2562.0</v>
      </c>
      <c r="D18" s="140">
        <v>1540.0</v>
      </c>
      <c r="E18" s="140">
        <v>1575.0</v>
      </c>
      <c r="F18" s="140">
        <v>5702.0</v>
      </c>
      <c r="G18" s="140">
        <v>3414.0</v>
      </c>
      <c r="H18" s="140">
        <v>17941.0</v>
      </c>
      <c r="I18" s="140">
        <v>3084.0</v>
      </c>
      <c r="J18" s="105"/>
      <c r="K18" s="105"/>
      <c r="L18" s="105"/>
      <c r="M18" s="105"/>
      <c r="N18" s="105"/>
      <c r="O18" s="105"/>
    </row>
    <row r="19">
      <c r="A19" s="139" t="s">
        <v>157</v>
      </c>
      <c r="B19" s="140">
        <v>1209.0</v>
      </c>
      <c r="C19" s="140">
        <v>2400.0</v>
      </c>
      <c r="D19" s="140">
        <v>1722.0</v>
      </c>
      <c r="E19" s="140">
        <v>1597.0</v>
      </c>
      <c r="F19" s="140">
        <v>12427.0</v>
      </c>
      <c r="G19" s="140">
        <v>4651.0</v>
      </c>
      <c r="H19" s="140">
        <v>19492.0</v>
      </c>
      <c r="I19" s="140">
        <v>4216.0</v>
      </c>
      <c r="J19" s="105"/>
      <c r="K19" s="105"/>
      <c r="L19" s="105"/>
      <c r="M19" s="105"/>
      <c r="N19" s="105"/>
      <c r="O19" s="105"/>
    </row>
    <row r="20">
      <c r="A20" s="139" t="s">
        <v>158</v>
      </c>
      <c r="B20" s="140">
        <v>2211.0</v>
      </c>
      <c r="C20" s="140">
        <v>2805.0</v>
      </c>
      <c r="D20" s="140">
        <v>1887.0</v>
      </c>
      <c r="E20" s="140">
        <v>1915.0</v>
      </c>
      <c r="F20" s="140">
        <v>10380.0</v>
      </c>
      <c r="G20" s="140">
        <v>3819.0</v>
      </c>
      <c r="H20" s="140">
        <v>21791.0</v>
      </c>
      <c r="I20" s="140">
        <v>3782.0</v>
      </c>
    </row>
    <row r="21">
      <c r="A21" s="139" t="s">
        <v>159</v>
      </c>
      <c r="B21" s="140">
        <v>2502.0</v>
      </c>
      <c r="C21" s="140">
        <v>2778.0</v>
      </c>
      <c r="D21" s="140">
        <v>1848.0</v>
      </c>
      <c r="E21" s="140">
        <v>1990.0</v>
      </c>
      <c r="F21" s="140">
        <v>7602.0</v>
      </c>
      <c r="G21" s="140">
        <v>3374.0</v>
      </c>
      <c r="H21" s="140">
        <v>23329.0</v>
      </c>
      <c r="I21" s="140">
        <v>3292.0</v>
      </c>
    </row>
    <row r="22">
      <c r="A22" s="139" t="s">
        <v>160</v>
      </c>
      <c r="B22" s="140">
        <v>1210.0</v>
      </c>
      <c r="C22" s="140">
        <v>1915.0</v>
      </c>
      <c r="D22" s="140">
        <v>1352.0</v>
      </c>
      <c r="E22" s="140">
        <v>1081.0</v>
      </c>
      <c r="F22" s="140">
        <v>3509.0</v>
      </c>
      <c r="G22" s="140">
        <v>2013.0</v>
      </c>
      <c r="H22" s="140">
        <v>13893.0</v>
      </c>
      <c r="I22" s="140">
        <v>1910.0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196</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197</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183</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2522.0</v>
      </c>
      <c r="H11" s="122">
        <v>298.0</v>
      </c>
      <c r="I11" s="122">
        <v>351.0</v>
      </c>
      <c r="J11" s="140">
        <v>3500.0</v>
      </c>
      <c r="K11" s="105"/>
      <c r="L11" s="105"/>
      <c r="M11" s="105"/>
      <c r="N11" s="105"/>
      <c r="O11" s="105"/>
      <c r="P11" s="105"/>
    </row>
    <row r="12">
      <c r="A12" s="139" t="s">
        <v>151</v>
      </c>
      <c r="B12" s="122">
        <v>272.0</v>
      </c>
      <c r="C12" s="122">
        <v>7.0</v>
      </c>
      <c r="D12" s="122">
        <v>128.0</v>
      </c>
      <c r="E12" s="122">
        <v>187.0</v>
      </c>
      <c r="F12" s="122">
        <v>7.0</v>
      </c>
      <c r="G12" s="140">
        <v>4059.0</v>
      </c>
      <c r="H12" s="122">
        <v>593.0</v>
      </c>
      <c r="I12" s="122">
        <v>435.0</v>
      </c>
      <c r="J12" s="140">
        <v>5688.0</v>
      </c>
      <c r="K12" s="105"/>
      <c r="L12" s="105"/>
      <c r="M12" s="105"/>
      <c r="N12" s="105"/>
      <c r="O12" s="105"/>
      <c r="P12" s="105"/>
    </row>
    <row r="13">
      <c r="A13" s="139" t="s">
        <v>152</v>
      </c>
      <c r="B13" s="122">
        <v>117.0</v>
      </c>
      <c r="C13" s="122" t="s">
        <v>55</v>
      </c>
      <c r="D13" s="122">
        <v>34.0</v>
      </c>
      <c r="E13" s="122">
        <v>79.0</v>
      </c>
      <c r="F13" s="122" t="s">
        <v>55</v>
      </c>
      <c r="G13" s="140">
        <v>1304.0</v>
      </c>
      <c r="H13" s="122">
        <v>185.0</v>
      </c>
      <c r="I13" s="140">
        <v>1927.0</v>
      </c>
      <c r="J13" s="140">
        <v>3651.0</v>
      </c>
      <c r="K13" s="105"/>
      <c r="L13" s="105"/>
      <c r="M13" s="105"/>
      <c r="N13" s="105"/>
      <c r="O13" s="105"/>
      <c r="P13" s="105"/>
    </row>
    <row r="14">
      <c r="A14" s="139" t="s">
        <v>153</v>
      </c>
      <c r="B14" s="122">
        <v>811.0</v>
      </c>
      <c r="C14" s="122">
        <v>14.0</v>
      </c>
      <c r="D14" s="122">
        <v>127.0</v>
      </c>
      <c r="E14" s="122">
        <v>260.0</v>
      </c>
      <c r="F14" s="122">
        <v>12.0</v>
      </c>
      <c r="G14" s="140">
        <v>6727.0</v>
      </c>
      <c r="H14" s="122">
        <v>641.0</v>
      </c>
      <c r="I14" s="140">
        <v>3738.0</v>
      </c>
      <c r="J14" s="140">
        <v>12330.0</v>
      </c>
      <c r="K14" s="105"/>
      <c r="L14" s="105"/>
      <c r="M14" s="105"/>
      <c r="N14" s="105"/>
      <c r="O14" s="105"/>
      <c r="P14" s="105"/>
    </row>
    <row r="15">
      <c r="A15" s="139" t="s">
        <v>154</v>
      </c>
      <c r="B15" s="122">
        <v>843.0</v>
      </c>
      <c r="C15" s="122">
        <v>11.0</v>
      </c>
      <c r="D15" s="122">
        <v>170.0</v>
      </c>
      <c r="E15" s="122">
        <v>316.0</v>
      </c>
      <c r="F15" s="122">
        <v>8.0</v>
      </c>
      <c r="G15" s="140">
        <v>5115.0</v>
      </c>
      <c r="H15" s="122">
        <v>481.0</v>
      </c>
      <c r="I15" s="140">
        <v>2304.0</v>
      </c>
      <c r="J15" s="140">
        <v>9248.0</v>
      </c>
      <c r="K15" s="105"/>
      <c r="L15" s="105"/>
      <c r="M15" s="105"/>
      <c r="N15" s="105"/>
      <c r="O15" s="105"/>
      <c r="P15" s="105"/>
    </row>
    <row r="16">
      <c r="A16" s="139" t="s">
        <v>155</v>
      </c>
      <c r="B16" s="122">
        <v>853.0</v>
      </c>
      <c r="C16" s="122">
        <v>25.0</v>
      </c>
      <c r="D16" s="122">
        <v>159.0</v>
      </c>
      <c r="E16" s="122">
        <v>451.0</v>
      </c>
      <c r="F16" s="122">
        <v>12.0</v>
      </c>
      <c r="G16" s="140">
        <v>7066.0</v>
      </c>
      <c r="H16" s="122">
        <v>576.0</v>
      </c>
      <c r="I16" s="140">
        <v>2444.0</v>
      </c>
      <c r="J16" s="140">
        <v>11586.0</v>
      </c>
      <c r="K16" s="105"/>
      <c r="L16" s="105"/>
      <c r="M16" s="105"/>
      <c r="N16" s="105"/>
      <c r="O16" s="105"/>
      <c r="P16" s="105"/>
    </row>
    <row r="17">
      <c r="A17" s="139" t="s">
        <v>156</v>
      </c>
      <c r="B17" s="140">
        <v>1130.0</v>
      </c>
      <c r="C17" s="122">
        <v>31.0</v>
      </c>
      <c r="D17" s="122">
        <v>162.0</v>
      </c>
      <c r="E17" s="122">
        <v>440.0</v>
      </c>
      <c r="F17" s="122">
        <v>7.0</v>
      </c>
      <c r="G17" s="140">
        <v>5592.0</v>
      </c>
      <c r="H17" s="122">
        <v>356.0</v>
      </c>
      <c r="I17" s="140">
        <v>2932.0</v>
      </c>
      <c r="J17" s="140">
        <v>10650.0</v>
      </c>
      <c r="K17" s="105"/>
      <c r="L17" s="105"/>
      <c r="M17" s="105"/>
      <c r="N17" s="105"/>
      <c r="O17" s="105"/>
      <c r="P17" s="105"/>
    </row>
    <row r="18">
      <c r="A18" s="139" t="s">
        <v>157</v>
      </c>
      <c r="B18" s="140">
        <v>1189.0</v>
      </c>
      <c r="C18" s="122">
        <v>37.0</v>
      </c>
      <c r="D18" s="122">
        <v>191.0</v>
      </c>
      <c r="E18" s="122">
        <v>606.0</v>
      </c>
      <c r="F18" s="122">
        <v>22.0</v>
      </c>
      <c r="G18" s="140">
        <v>8743.0</v>
      </c>
      <c r="H18" s="122">
        <v>646.0</v>
      </c>
      <c r="I18" s="140">
        <v>2334.0</v>
      </c>
      <c r="J18" s="140">
        <v>13768.0</v>
      </c>
      <c r="K18" s="105"/>
      <c r="L18" s="105"/>
      <c r="M18" s="105"/>
      <c r="N18" s="105"/>
      <c r="O18" s="105"/>
      <c r="P18" s="105"/>
    </row>
    <row r="19">
      <c r="A19" s="139" t="s">
        <v>158</v>
      </c>
      <c r="B19" s="140">
        <v>1132.0</v>
      </c>
      <c r="C19" s="140">
        <v>28.0</v>
      </c>
      <c r="D19" s="140">
        <v>165.0</v>
      </c>
      <c r="E19" s="140">
        <v>574.0</v>
      </c>
      <c r="F19" s="140">
        <v>18.0</v>
      </c>
      <c r="G19" s="140">
        <v>10487.0</v>
      </c>
      <c r="H19" s="140">
        <v>1031.0</v>
      </c>
      <c r="I19" s="140">
        <v>1457.0</v>
      </c>
      <c r="J19" s="140">
        <v>14892.0</v>
      </c>
    </row>
    <row r="20">
      <c r="A20" s="139" t="s">
        <v>159</v>
      </c>
      <c r="B20" s="140">
        <v>1915.0</v>
      </c>
      <c r="C20" s="122">
        <v>56.0</v>
      </c>
      <c r="D20" s="122">
        <v>337.0</v>
      </c>
      <c r="E20" s="122">
        <v>675.0</v>
      </c>
      <c r="F20" s="122">
        <v>24.0</v>
      </c>
      <c r="G20" s="140">
        <v>15759.0</v>
      </c>
      <c r="H20" s="122">
        <v>979.0</v>
      </c>
      <c r="I20" s="140">
        <v>1330.0</v>
      </c>
      <c r="J20" s="140">
        <v>21075.0</v>
      </c>
    </row>
    <row r="21">
      <c r="A21" s="139" t="s">
        <v>160</v>
      </c>
      <c r="B21" s="140">
        <v>3138.0</v>
      </c>
      <c r="C21" s="122">
        <v>125.0</v>
      </c>
      <c r="D21" s="122">
        <v>911.0</v>
      </c>
      <c r="E21" s="140">
        <v>1326.0</v>
      </c>
      <c r="F21" s="122">
        <v>75.0</v>
      </c>
      <c r="G21" s="140">
        <v>42097.0</v>
      </c>
      <c r="H21" s="140">
        <v>1422.0</v>
      </c>
      <c r="I21" s="140">
        <v>1091.0</v>
      </c>
      <c r="J21" s="140">
        <v>50185.0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198</v>
      </c>
      <c r="H1" s="103"/>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199</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183</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165</v>
      </c>
      <c r="C11" s="122">
        <v>0.0</v>
      </c>
      <c r="D11" s="122" t="s">
        <v>165</v>
      </c>
      <c r="E11" s="122" t="s">
        <v>165</v>
      </c>
      <c r="F11" s="122">
        <v>0.0</v>
      </c>
      <c r="G11" s="122">
        <v>1.0</v>
      </c>
      <c r="H11" s="122" t="s">
        <v>165</v>
      </c>
      <c r="I11" s="122">
        <v>2.0</v>
      </c>
      <c r="J11" s="105"/>
      <c r="K11" s="105"/>
      <c r="L11" s="105"/>
      <c r="M11" s="105"/>
      <c r="N11" s="105"/>
      <c r="O11" s="105"/>
    </row>
    <row r="12">
      <c r="A12" s="139" t="s">
        <v>150</v>
      </c>
      <c r="B12" s="122">
        <v>76.0</v>
      </c>
      <c r="C12" s="122" t="s">
        <v>165</v>
      </c>
      <c r="D12" s="122">
        <v>302.0</v>
      </c>
      <c r="E12" s="122">
        <v>161.0</v>
      </c>
      <c r="F12" s="122">
        <v>731.0</v>
      </c>
      <c r="G12" s="122">
        <v>329.0</v>
      </c>
      <c r="H12" s="140">
        <v>4203.0</v>
      </c>
      <c r="I12" s="122">
        <v>331.0</v>
      </c>
      <c r="J12" s="105"/>
      <c r="K12" s="105"/>
      <c r="L12" s="105"/>
      <c r="M12" s="105"/>
      <c r="N12" s="105"/>
      <c r="O12" s="105"/>
    </row>
    <row r="13">
      <c r="A13" s="139" t="s">
        <v>151</v>
      </c>
      <c r="B13" s="122">
        <v>171.0</v>
      </c>
      <c r="C13" s="122">
        <v>189.0</v>
      </c>
      <c r="D13" s="122">
        <v>364.0</v>
      </c>
      <c r="E13" s="122">
        <v>317.0</v>
      </c>
      <c r="F13" s="140">
        <v>1023.0</v>
      </c>
      <c r="G13" s="122">
        <v>529.0</v>
      </c>
      <c r="H13" s="140">
        <v>8364.0</v>
      </c>
      <c r="I13" s="122">
        <v>538.0</v>
      </c>
      <c r="J13" s="105"/>
      <c r="K13" s="105"/>
      <c r="L13" s="105"/>
      <c r="M13" s="105"/>
      <c r="N13" s="105"/>
      <c r="O13" s="105"/>
    </row>
    <row r="14">
      <c r="A14" s="139" t="s">
        <v>152</v>
      </c>
      <c r="B14" s="122">
        <v>74.0</v>
      </c>
      <c r="C14" s="122" t="s">
        <v>165</v>
      </c>
      <c r="D14" s="122">
        <v>97.0</v>
      </c>
      <c r="E14" s="122">
        <v>134.0</v>
      </c>
      <c r="F14" s="122" t="s">
        <v>165</v>
      </c>
      <c r="G14" s="122">
        <v>170.0</v>
      </c>
      <c r="H14" s="140">
        <v>2609.0</v>
      </c>
      <c r="I14" s="122">
        <v>346.0</v>
      </c>
      <c r="J14" s="105"/>
      <c r="K14" s="105"/>
      <c r="L14" s="105"/>
      <c r="M14" s="105"/>
      <c r="N14" s="105"/>
      <c r="O14" s="105"/>
    </row>
    <row r="15">
      <c r="A15" s="139" t="s">
        <v>153</v>
      </c>
      <c r="B15" s="122">
        <v>511.0</v>
      </c>
      <c r="C15" s="122">
        <v>378.0</v>
      </c>
      <c r="D15" s="122">
        <v>362.0</v>
      </c>
      <c r="E15" s="122">
        <v>441.0</v>
      </c>
      <c r="F15" s="140">
        <v>1754.0</v>
      </c>
      <c r="G15" s="122">
        <v>876.0</v>
      </c>
      <c r="H15" s="140">
        <v>9041.0</v>
      </c>
      <c r="I15" s="140">
        <v>1167.0</v>
      </c>
      <c r="J15" s="105"/>
      <c r="K15" s="105"/>
      <c r="L15" s="105"/>
      <c r="M15" s="105"/>
      <c r="N15" s="105"/>
      <c r="O15" s="105"/>
    </row>
    <row r="16">
      <c r="A16" s="139" t="s">
        <v>154</v>
      </c>
      <c r="B16" s="122">
        <v>531.0</v>
      </c>
      <c r="C16" s="122">
        <v>297.0</v>
      </c>
      <c r="D16" s="122">
        <v>484.0</v>
      </c>
      <c r="E16" s="122">
        <v>536.0</v>
      </c>
      <c r="F16" s="140">
        <v>1170.0</v>
      </c>
      <c r="G16" s="122">
        <v>666.0</v>
      </c>
      <c r="H16" s="140">
        <v>6784.0</v>
      </c>
      <c r="I16" s="122">
        <v>875.0</v>
      </c>
      <c r="J16" s="105"/>
      <c r="K16" s="105"/>
      <c r="L16" s="105"/>
      <c r="M16" s="105"/>
      <c r="N16" s="105"/>
      <c r="O16" s="105"/>
    </row>
    <row r="17">
      <c r="A17" s="139" t="s">
        <v>155</v>
      </c>
      <c r="B17" s="122">
        <v>537.0</v>
      </c>
      <c r="C17" s="122">
        <v>674.0</v>
      </c>
      <c r="D17" s="122">
        <v>453.0</v>
      </c>
      <c r="E17" s="122">
        <v>764.0</v>
      </c>
      <c r="F17" s="140">
        <v>1754.0</v>
      </c>
      <c r="G17" s="122">
        <v>920.0</v>
      </c>
      <c r="H17" s="140">
        <v>8124.0</v>
      </c>
      <c r="I17" s="140">
        <v>1097.0</v>
      </c>
      <c r="J17" s="105"/>
      <c r="K17" s="105"/>
      <c r="L17" s="105"/>
      <c r="M17" s="105"/>
      <c r="N17" s="105"/>
      <c r="O17" s="105"/>
    </row>
    <row r="18">
      <c r="A18" s="139" t="s">
        <v>156</v>
      </c>
      <c r="B18" s="122">
        <v>711.0</v>
      </c>
      <c r="C18" s="122">
        <v>836.0</v>
      </c>
      <c r="D18" s="122">
        <v>461.0</v>
      </c>
      <c r="E18" s="122">
        <v>746.0</v>
      </c>
      <c r="F18" s="140">
        <v>1023.0</v>
      </c>
      <c r="G18" s="122">
        <v>728.0</v>
      </c>
      <c r="H18" s="140">
        <v>5021.0</v>
      </c>
      <c r="I18" s="140">
        <v>1008.0</v>
      </c>
      <c r="J18" s="105"/>
      <c r="K18" s="105"/>
      <c r="L18" s="105"/>
      <c r="M18" s="105"/>
      <c r="N18" s="105"/>
      <c r="O18" s="105"/>
    </row>
    <row r="19">
      <c r="A19" s="139" t="s">
        <v>157</v>
      </c>
      <c r="B19" s="122">
        <v>748.0</v>
      </c>
      <c r="C19" s="122">
        <v>998.0</v>
      </c>
      <c r="D19" s="122">
        <v>544.0</v>
      </c>
      <c r="E19" s="140">
        <v>1027.0</v>
      </c>
      <c r="F19" s="140">
        <v>3216.0</v>
      </c>
      <c r="G19" s="140">
        <v>1139.0</v>
      </c>
      <c r="H19" s="140">
        <v>9111.0</v>
      </c>
      <c r="I19" s="140">
        <v>1303.0</v>
      </c>
      <c r="J19" s="105"/>
      <c r="K19" s="105"/>
      <c r="L19" s="105"/>
      <c r="M19" s="105"/>
      <c r="N19" s="105"/>
      <c r="O19" s="105"/>
    </row>
    <row r="20">
      <c r="A20" s="139" t="s">
        <v>158</v>
      </c>
      <c r="B20" s="122">
        <v>713.0</v>
      </c>
      <c r="C20" s="122">
        <v>755.0</v>
      </c>
      <c r="D20" s="122">
        <v>470.0</v>
      </c>
      <c r="E20" s="122">
        <v>973.0</v>
      </c>
      <c r="F20" s="140">
        <v>2632.0</v>
      </c>
      <c r="G20" s="140">
        <v>1366.0</v>
      </c>
      <c r="H20" s="140">
        <v>14542.0</v>
      </c>
      <c r="I20" s="140">
        <v>1409.0</v>
      </c>
    </row>
    <row r="21">
      <c r="A21" s="139" t="s">
        <v>159</v>
      </c>
      <c r="B21" s="140">
        <v>1205.0</v>
      </c>
      <c r="C21" s="140">
        <v>1510.0</v>
      </c>
      <c r="D21" s="122">
        <v>959.0</v>
      </c>
      <c r="E21" s="140">
        <v>1144.0</v>
      </c>
      <c r="F21" s="140">
        <v>3509.0</v>
      </c>
      <c r="G21" s="140">
        <v>2053.0</v>
      </c>
      <c r="H21" s="140">
        <v>13808.0</v>
      </c>
      <c r="I21" s="140">
        <v>1995.0</v>
      </c>
    </row>
    <row r="22">
      <c r="A22" s="139" t="s">
        <v>160</v>
      </c>
      <c r="B22" s="140">
        <v>1975.0</v>
      </c>
      <c r="C22" s="140">
        <v>3371.0</v>
      </c>
      <c r="D22" s="140">
        <v>2593.0</v>
      </c>
      <c r="E22" s="140">
        <v>2247.0</v>
      </c>
      <c r="F22" s="140">
        <v>10965.0</v>
      </c>
      <c r="G22" s="140">
        <v>5483.0</v>
      </c>
      <c r="H22" s="140">
        <v>20056.0</v>
      </c>
      <c r="I22" s="140">
        <v>4750.0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200</v>
      </c>
      <c r="H1" s="105"/>
      <c r="I1" s="105"/>
      <c r="J1" s="105"/>
      <c r="K1" s="105"/>
      <c r="L1" s="105"/>
      <c r="M1" s="105"/>
      <c r="N1" s="105"/>
      <c r="O1" s="105"/>
      <c r="P1" s="105"/>
      <c r="Q1" s="105"/>
      <c r="R1" s="105"/>
      <c r="S1" s="105"/>
      <c r="T1" s="105"/>
      <c r="U1" s="105"/>
    </row>
    <row r="2">
      <c r="A2" s="167" t="s">
        <v>201</v>
      </c>
      <c r="M2" s="105"/>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203</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204</v>
      </c>
      <c r="C7" s="43"/>
      <c r="D7" s="172" t="s">
        <v>205</v>
      </c>
      <c r="E7" s="43"/>
      <c r="F7" s="173" t="s">
        <v>206</v>
      </c>
      <c r="G7" s="43"/>
      <c r="H7" s="172"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31.0</v>
      </c>
      <c r="C9" s="122">
        <v>38.0</v>
      </c>
      <c r="D9" s="122" t="s">
        <v>55</v>
      </c>
      <c r="E9" s="122" t="s">
        <v>165</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t="s">
        <v>165</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t="s">
        <v>165</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215</v>
      </c>
      <c r="J1" s="105"/>
      <c r="K1" s="105"/>
      <c r="L1" s="105"/>
      <c r="M1" s="105"/>
      <c r="N1" s="105"/>
      <c r="O1" s="105"/>
      <c r="P1" s="105"/>
      <c r="Q1" s="105"/>
      <c r="R1" s="105"/>
      <c r="S1" s="105"/>
      <c r="T1" s="105"/>
      <c r="U1" s="105"/>
    </row>
    <row r="2">
      <c r="A2" s="181" t="s">
        <v>216</v>
      </c>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217</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t="s">
        <v>165</v>
      </c>
      <c r="F10" s="122">
        <v>25.0</v>
      </c>
      <c r="G10" s="122">
        <v>35.0</v>
      </c>
      <c r="H10" s="122">
        <v>136.0</v>
      </c>
      <c r="I10" s="122">
        <v>170.0</v>
      </c>
      <c r="J10" s="122">
        <v>0.0</v>
      </c>
      <c r="K10" s="122">
        <v>0.0</v>
      </c>
      <c r="L10" s="122">
        <v>45.0</v>
      </c>
      <c r="M10" s="122">
        <v>30.0</v>
      </c>
      <c r="N10" s="122">
        <v>15.0</v>
      </c>
      <c r="O10" s="122">
        <v>26.0</v>
      </c>
      <c r="P10" s="122" t="s">
        <v>55</v>
      </c>
      <c r="Q10" s="122" t="s">
        <v>165</v>
      </c>
      <c r="R10" s="105"/>
      <c r="S10" s="105"/>
      <c r="T10" s="105"/>
      <c r="U10" s="105"/>
    </row>
    <row r="11">
      <c r="A11" s="176">
        <v>43952.0</v>
      </c>
      <c r="B11" s="122">
        <v>106.0</v>
      </c>
      <c r="C11" s="122">
        <v>169.0</v>
      </c>
      <c r="D11" s="122" t="s">
        <v>55</v>
      </c>
      <c r="E11" s="122" t="s">
        <v>165</v>
      </c>
      <c r="F11" s="122">
        <v>34.0</v>
      </c>
      <c r="G11" s="122">
        <v>41.0</v>
      </c>
      <c r="H11" s="122">
        <v>94.0</v>
      </c>
      <c r="I11" s="122">
        <v>111.0</v>
      </c>
      <c r="J11" s="122">
        <v>0.0</v>
      </c>
      <c r="K11" s="122">
        <v>0.0</v>
      </c>
      <c r="L11" s="122">
        <v>33.0</v>
      </c>
      <c r="M11" s="122">
        <v>23.0</v>
      </c>
      <c r="N11" s="122">
        <v>15.0</v>
      </c>
      <c r="O11" s="122">
        <v>27.0</v>
      </c>
      <c r="P11" s="122" t="s">
        <v>55</v>
      </c>
      <c r="Q11" s="122" t="s">
        <v>165</v>
      </c>
      <c r="R11" s="105"/>
      <c r="S11" s="105"/>
      <c r="T11" s="105"/>
      <c r="U11" s="105"/>
    </row>
    <row r="12">
      <c r="A12" s="176">
        <v>43983.0</v>
      </c>
      <c r="B12" s="122">
        <v>54.0</v>
      </c>
      <c r="C12" s="122">
        <v>73.0</v>
      </c>
      <c r="D12" s="122">
        <v>0.0</v>
      </c>
      <c r="E12" s="122">
        <v>0.0</v>
      </c>
      <c r="F12" s="122" t="s">
        <v>55</v>
      </c>
      <c r="G12" s="122" t="s">
        <v>165</v>
      </c>
      <c r="H12" s="122">
        <v>32.0</v>
      </c>
      <c r="I12" s="122">
        <v>36.0</v>
      </c>
      <c r="J12" s="122">
        <v>0.0</v>
      </c>
      <c r="K12" s="122">
        <v>0.0</v>
      </c>
      <c r="L12" s="122">
        <v>8.0</v>
      </c>
      <c r="M12" s="122">
        <v>6.0</v>
      </c>
      <c r="N12" s="122" t="s">
        <v>55</v>
      </c>
      <c r="O12" s="122" t="s">
        <v>165</v>
      </c>
      <c r="P12" s="122">
        <v>0.0</v>
      </c>
      <c r="Q12" s="122">
        <v>0.0</v>
      </c>
      <c r="R12" s="105"/>
      <c r="S12" s="105"/>
      <c r="T12" s="105"/>
      <c r="U12" s="105"/>
    </row>
    <row r="13">
      <c r="A13" s="176">
        <v>44013.0</v>
      </c>
      <c r="B13" s="122">
        <v>38.0</v>
      </c>
      <c r="C13" s="122">
        <v>49.0</v>
      </c>
      <c r="D13" s="122" t="s">
        <v>55</v>
      </c>
      <c r="E13" s="122" t="s">
        <v>165</v>
      </c>
      <c r="F13" s="122">
        <v>22.0</v>
      </c>
      <c r="G13" s="122">
        <v>25.0</v>
      </c>
      <c r="H13" s="122">
        <v>27.0</v>
      </c>
      <c r="I13" s="122">
        <v>32.0</v>
      </c>
      <c r="J13" s="122">
        <v>0.0</v>
      </c>
      <c r="K13" s="122">
        <v>0.0</v>
      </c>
      <c r="L13" s="122">
        <v>9.0</v>
      </c>
      <c r="M13" s="122">
        <v>6.0</v>
      </c>
      <c r="N13" s="122" t="s">
        <v>55</v>
      </c>
      <c r="O13" s="122" t="s">
        <v>165</v>
      </c>
      <c r="P13" s="122" t="s">
        <v>55</v>
      </c>
      <c r="Q13" s="122" t="s">
        <v>165</v>
      </c>
      <c r="R13" s="105"/>
      <c r="S13" s="105"/>
      <c r="T13" s="105"/>
      <c r="U13" s="105"/>
    </row>
    <row r="14">
      <c r="A14" s="176">
        <v>44044.0</v>
      </c>
      <c r="B14" s="122">
        <v>64.0</v>
      </c>
      <c r="C14" s="122">
        <v>79.0</v>
      </c>
      <c r="D14" s="122" t="s">
        <v>55</v>
      </c>
      <c r="E14" s="122" t="s">
        <v>165</v>
      </c>
      <c r="F14" s="122" t="s">
        <v>55</v>
      </c>
      <c r="G14" s="122" t="s">
        <v>165</v>
      </c>
      <c r="H14" s="122">
        <v>26.0</v>
      </c>
      <c r="I14" s="122">
        <v>29.0</v>
      </c>
      <c r="J14" s="122">
        <v>0.0</v>
      </c>
      <c r="K14" s="122">
        <v>0.0</v>
      </c>
      <c r="L14" s="122">
        <v>11.0</v>
      </c>
      <c r="M14" s="122">
        <v>9.0</v>
      </c>
      <c r="N14" s="122">
        <v>9.0</v>
      </c>
      <c r="O14" s="122">
        <v>16.0</v>
      </c>
      <c r="P14" s="122" t="s">
        <v>55</v>
      </c>
      <c r="Q14" s="122" t="s">
        <v>165</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t="s">
        <v>165</v>
      </c>
      <c r="F16" s="122">
        <v>25.0</v>
      </c>
      <c r="G16" s="122">
        <v>28.0</v>
      </c>
      <c r="H16" s="122">
        <v>64.0</v>
      </c>
      <c r="I16" s="122">
        <v>78.0</v>
      </c>
      <c r="J16" s="122">
        <v>0.0</v>
      </c>
      <c r="K16" s="122">
        <v>0.0</v>
      </c>
      <c r="L16" s="122">
        <v>30.0</v>
      </c>
      <c r="M16" s="122">
        <v>21.0</v>
      </c>
      <c r="N16" s="122">
        <v>31.0</v>
      </c>
      <c r="O16" s="122">
        <v>50.0</v>
      </c>
      <c r="P16" s="122" t="s">
        <v>55</v>
      </c>
      <c r="Q16" s="122" t="s">
        <v>165</v>
      </c>
      <c r="R16" s="105"/>
      <c r="S16" s="105"/>
      <c r="T16" s="105"/>
      <c r="U16" s="105"/>
    </row>
    <row r="17">
      <c r="A17" s="176">
        <v>44136.0</v>
      </c>
      <c r="B17" s="122">
        <v>141.0</v>
      </c>
      <c r="C17" s="122">
        <v>222.0</v>
      </c>
      <c r="D17" s="122" t="s">
        <v>55</v>
      </c>
      <c r="E17" s="122" t="s">
        <v>165</v>
      </c>
      <c r="F17" s="122">
        <v>67.0</v>
      </c>
      <c r="G17" s="122">
        <v>83.0</v>
      </c>
      <c r="H17" s="122">
        <v>114.0</v>
      </c>
      <c r="I17" s="122">
        <v>145.0</v>
      </c>
      <c r="J17" s="122">
        <v>0.0</v>
      </c>
      <c r="K17" s="122">
        <v>0.0</v>
      </c>
      <c r="L17" s="122">
        <v>81.0</v>
      </c>
      <c r="M17" s="122">
        <v>56.0</v>
      </c>
      <c r="N17" s="122">
        <v>53.0</v>
      </c>
      <c r="O17" s="122">
        <v>95.0</v>
      </c>
      <c r="P17" s="122" t="s">
        <v>55</v>
      </c>
      <c r="Q17" s="122" t="s">
        <v>165</v>
      </c>
      <c r="R17" s="105"/>
      <c r="S17" s="105"/>
      <c r="T17" s="105"/>
      <c r="U17" s="105"/>
    </row>
    <row r="18">
      <c r="A18" s="184">
        <v>44166.0</v>
      </c>
      <c r="B18" s="122">
        <v>178.0</v>
      </c>
      <c r="C18" s="140">
        <v>273.0</v>
      </c>
      <c r="D18" s="122" t="s">
        <v>55</v>
      </c>
      <c r="E18" s="122" t="s">
        <v>165</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t="s">
        <v>165</v>
      </c>
      <c r="F19" s="122">
        <v>87.0</v>
      </c>
      <c r="G19" s="122">
        <v>115.0</v>
      </c>
      <c r="H19" s="122">
        <v>95.0</v>
      </c>
      <c r="I19" s="122">
        <v>119.0</v>
      </c>
      <c r="J19" s="122">
        <v>0.0</v>
      </c>
      <c r="K19" s="122">
        <v>0.0</v>
      </c>
      <c r="L19" s="122">
        <v>105.0</v>
      </c>
      <c r="M19" s="122">
        <v>74.0</v>
      </c>
      <c r="N19" s="122">
        <v>62.0</v>
      </c>
      <c r="O19" s="122">
        <v>103.0</v>
      </c>
      <c r="P19" s="122" t="s">
        <v>55</v>
      </c>
      <c r="Q19" s="122" t="s">
        <v>165</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218</v>
      </c>
      <c r="J1" s="105"/>
      <c r="K1" s="105"/>
      <c r="L1" s="105"/>
      <c r="M1" s="105"/>
      <c r="N1" s="105"/>
      <c r="O1" s="105"/>
      <c r="P1" s="105"/>
      <c r="Q1" s="105"/>
      <c r="R1" s="105"/>
      <c r="S1" s="105"/>
      <c r="T1" s="105"/>
      <c r="U1" s="105"/>
    </row>
    <row r="2">
      <c r="A2" s="167" t="s">
        <v>219</v>
      </c>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220</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t="s">
        <v>55</v>
      </c>
      <c r="C9" s="122" t="s">
        <v>165</v>
      </c>
      <c r="D9" s="122">
        <v>0.0</v>
      </c>
      <c r="E9" s="122">
        <v>0.0</v>
      </c>
      <c r="F9" s="122">
        <v>0.0</v>
      </c>
      <c r="G9" s="122">
        <v>0.0</v>
      </c>
      <c r="H9" s="122" t="s">
        <v>55</v>
      </c>
      <c r="I9" s="122" t="s">
        <v>165</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t="s">
        <v>165</v>
      </c>
      <c r="F10" s="122" t="s">
        <v>55</v>
      </c>
      <c r="G10" s="122" t="s">
        <v>165</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t="s">
        <v>165</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t="s">
        <v>165</v>
      </c>
      <c r="H13" s="122" t="s">
        <v>55</v>
      </c>
      <c r="I13" s="122" t="s">
        <v>165</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t="s">
        <v>165</v>
      </c>
      <c r="J14" s="122">
        <v>0.0</v>
      </c>
      <c r="K14" s="122">
        <v>0.0</v>
      </c>
      <c r="L14" s="122">
        <v>4.0</v>
      </c>
      <c r="M14" s="122">
        <v>2.0</v>
      </c>
      <c r="N14" s="122">
        <v>0.0</v>
      </c>
      <c r="O14" s="122">
        <v>0.0</v>
      </c>
      <c r="P14" s="122">
        <v>0.0</v>
      </c>
      <c r="Q14" s="122">
        <v>0.0</v>
      </c>
      <c r="R14" s="105"/>
      <c r="S14" s="105"/>
      <c r="T14" s="105"/>
      <c r="U14" s="105"/>
    </row>
    <row r="15">
      <c r="A15" s="176">
        <v>44075.0</v>
      </c>
      <c r="B15" s="122" t="s">
        <v>55</v>
      </c>
      <c r="C15" s="122" t="s">
        <v>165</v>
      </c>
      <c r="D15" s="122">
        <v>0.0</v>
      </c>
      <c r="E15" s="122">
        <v>0.0</v>
      </c>
      <c r="F15" s="122" t="s">
        <v>55</v>
      </c>
      <c r="G15" s="122" t="s">
        <v>165</v>
      </c>
      <c r="H15" s="122" t="s">
        <v>55</v>
      </c>
      <c r="I15" s="122" t="s">
        <v>165</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t="s">
        <v>165</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t="s">
        <v>165</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t="s">
        <v>165</v>
      </c>
      <c r="F18" s="122">
        <v>25.0</v>
      </c>
      <c r="G18" s="122">
        <v>41.0</v>
      </c>
      <c r="H18" s="122">
        <v>22.0</v>
      </c>
      <c r="I18" s="122">
        <v>38.0</v>
      </c>
      <c r="J18" s="122">
        <v>0.0</v>
      </c>
      <c r="K18" s="122">
        <v>0.0</v>
      </c>
      <c r="L18" s="122">
        <v>52.0</v>
      </c>
      <c r="M18" s="122">
        <v>30.0</v>
      </c>
      <c r="N18" s="122" t="s">
        <v>55</v>
      </c>
      <c r="O18" s="122" t="s">
        <v>165</v>
      </c>
      <c r="P18" s="122" t="s">
        <v>55</v>
      </c>
      <c r="Q18" s="122" t="s">
        <v>165</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t="s">
        <v>165</v>
      </c>
      <c r="F20" s="122" t="s">
        <v>55</v>
      </c>
      <c r="G20" s="122" t="s">
        <v>165</v>
      </c>
      <c r="H20" s="122" t="s">
        <v>55</v>
      </c>
      <c r="I20" s="122" t="s">
        <v>165</v>
      </c>
      <c r="J20" s="122">
        <v>0.0</v>
      </c>
      <c r="K20" s="122">
        <v>0.0</v>
      </c>
      <c r="L20" s="122">
        <v>18.0</v>
      </c>
      <c r="M20" s="122">
        <v>11.0</v>
      </c>
      <c r="N20" s="122" t="s">
        <v>55</v>
      </c>
      <c r="O20" s="122" t="s">
        <v>165</v>
      </c>
      <c r="P20" s="122">
        <v>0.0</v>
      </c>
      <c r="Q20" s="122">
        <v>0.0</v>
      </c>
      <c r="R20" s="105"/>
      <c r="S20" s="105"/>
      <c r="T20" s="105"/>
      <c r="U20" s="105"/>
    </row>
    <row r="21">
      <c r="A21" s="178" t="s">
        <v>105</v>
      </c>
      <c r="B21" s="180">
        <v>130.0</v>
      </c>
      <c r="C21" s="180">
        <v>293.0</v>
      </c>
      <c r="D21" s="180" t="s">
        <v>55</v>
      </c>
      <c r="E21" s="180" t="s">
        <v>165</v>
      </c>
      <c r="F21" s="180">
        <v>107.0</v>
      </c>
      <c r="G21" s="180">
        <v>167.0</v>
      </c>
      <c r="H21" s="180">
        <v>152.0</v>
      </c>
      <c r="I21" s="180">
        <v>234.0</v>
      </c>
      <c r="J21" s="180">
        <v>0.0</v>
      </c>
      <c r="K21" s="180">
        <v>0.0</v>
      </c>
      <c r="L21" s="180">
        <v>237.0</v>
      </c>
      <c r="M21" s="180">
        <v>140.0</v>
      </c>
      <c r="N21" s="180" t="s">
        <v>55</v>
      </c>
      <c r="O21" s="180" t="s">
        <v>165</v>
      </c>
      <c r="P21" s="180" t="s">
        <v>55</v>
      </c>
      <c r="Q21" s="180" t="s">
        <v>165</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221</v>
      </c>
      <c r="B1" s="187" t="s">
        <v>222</v>
      </c>
      <c r="C1" s="187" t="s">
        <v>223</v>
      </c>
      <c r="D1" s="187" t="s">
        <v>224</v>
      </c>
      <c r="E1" s="187" t="s">
        <v>225</v>
      </c>
      <c r="F1" s="187" t="s">
        <v>25</v>
      </c>
      <c r="G1" s="187" t="s">
        <v>226</v>
      </c>
      <c r="H1" s="187" t="s">
        <v>227</v>
      </c>
      <c r="I1" s="187" t="s">
        <v>228</v>
      </c>
    </row>
    <row r="2" ht="14.25" customHeight="1">
      <c r="A2" s="188" t="s">
        <v>229</v>
      </c>
      <c r="B2" s="189">
        <v>1190.0</v>
      </c>
      <c r="C2" s="190">
        <v>7356.0</v>
      </c>
      <c r="D2" s="191">
        <v>69.0</v>
      </c>
      <c r="E2" s="190">
        <v>427.0</v>
      </c>
      <c r="F2" s="190">
        <v>16.0</v>
      </c>
      <c r="G2" s="190">
        <v>99.0</v>
      </c>
      <c r="H2" s="190">
        <v>3021.0</v>
      </c>
      <c r="I2" s="190">
        <v>18674.0</v>
      </c>
    </row>
    <row r="3" ht="14.25" customHeight="1">
      <c r="A3" s="188" t="s">
        <v>230</v>
      </c>
      <c r="B3" s="189">
        <v>2202.0</v>
      </c>
      <c r="C3" s="190">
        <v>9904.0</v>
      </c>
      <c r="D3" s="191">
        <v>123.0</v>
      </c>
      <c r="E3" s="190">
        <v>553.0</v>
      </c>
      <c r="F3" s="190">
        <v>73.0</v>
      </c>
      <c r="G3" s="190">
        <v>328.0</v>
      </c>
      <c r="H3" s="190">
        <v>3302.0</v>
      </c>
      <c r="I3" s="190">
        <v>14851.0</v>
      </c>
    </row>
    <row r="4" ht="14.25" customHeight="1">
      <c r="A4" s="188" t="s">
        <v>231</v>
      </c>
      <c r="B4" s="189">
        <v>1769.0</v>
      </c>
      <c r="C4" s="190">
        <v>10752.0</v>
      </c>
      <c r="D4" s="191">
        <v>67.0</v>
      </c>
      <c r="E4" s="190">
        <v>407.0</v>
      </c>
      <c r="F4" s="190">
        <v>66.0</v>
      </c>
      <c r="G4" s="190">
        <v>401.0</v>
      </c>
      <c r="H4" s="190">
        <v>2039.0</v>
      </c>
      <c r="I4" s="190">
        <v>12393.0</v>
      </c>
    </row>
    <row r="5" ht="14.25" customHeight="1">
      <c r="A5" s="188" t="s">
        <v>232</v>
      </c>
      <c r="B5" s="189">
        <v>4127.0</v>
      </c>
      <c r="C5" s="190">
        <v>21293.0</v>
      </c>
      <c r="D5" s="191">
        <v>225.0</v>
      </c>
      <c r="E5" s="190">
        <v>1161.0</v>
      </c>
      <c r="F5" s="190">
        <v>25.0</v>
      </c>
      <c r="G5" s="190">
        <v>129.0</v>
      </c>
      <c r="H5" s="190">
        <v>4619.0</v>
      </c>
      <c r="I5" s="190">
        <v>23831.0</v>
      </c>
    </row>
    <row r="6" ht="14.25" customHeight="1">
      <c r="A6" s="188" t="s">
        <v>233</v>
      </c>
      <c r="B6" s="189">
        <v>521.0</v>
      </c>
      <c r="C6" s="190">
        <v>6697.0</v>
      </c>
      <c r="D6" s="191">
        <v>24.0</v>
      </c>
      <c r="E6" s="190">
        <v>308.0</v>
      </c>
      <c r="F6" s="190" t="s">
        <v>55</v>
      </c>
      <c r="G6" s="190" t="s">
        <v>38</v>
      </c>
      <c r="H6" s="190">
        <v>1202.0</v>
      </c>
      <c r="I6" s="190">
        <v>15450.0</v>
      </c>
    </row>
    <row r="7" ht="14.25" customHeight="1">
      <c r="A7" s="188" t="s">
        <v>234</v>
      </c>
      <c r="B7" s="189">
        <v>3581.0</v>
      </c>
      <c r="C7" s="190">
        <v>10357.0</v>
      </c>
      <c r="D7" s="191">
        <v>214.0</v>
      </c>
      <c r="E7" s="190">
        <v>619.0</v>
      </c>
      <c r="F7" s="190">
        <v>96.0</v>
      </c>
      <c r="G7" s="190">
        <v>278.0</v>
      </c>
      <c r="H7" s="190">
        <v>5593.0</v>
      </c>
      <c r="I7" s="190">
        <v>16176.0</v>
      </c>
    </row>
    <row r="8" ht="14.25" customHeight="1">
      <c r="A8" s="188" t="s">
        <v>235</v>
      </c>
      <c r="B8" s="189">
        <v>11589.0</v>
      </c>
      <c r="C8" s="190">
        <v>14273.0</v>
      </c>
      <c r="D8" s="191">
        <v>693.0</v>
      </c>
      <c r="E8" s="190">
        <v>853.0</v>
      </c>
      <c r="F8" s="190">
        <v>137.0</v>
      </c>
      <c r="G8" s="190">
        <v>169.0</v>
      </c>
      <c r="H8" s="190">
        <v>13298.0</v>
      </c>
      <c r="I8" s="190">
        <v>16378.0</v>
      </c>
    </row>
    <row r="9" ht="14.25" customHeight="1">
      <c r="A9" s="188" t="s">
        <v>236</v>
      </c>
      <c r="B9" s="189">
        <v>3735.0</v>
      </c>
      <c r="C9" s="190">
        <v>10779.0</v>
      </c>
      <c r="D9" s="191">
        <v>217.0</v>
      </c>
      <c r="E9" s="190">
        <v>626.0</v>
      </c>
      <c r="F9" s="190">
        <v>78.0</v>
      </c>
      <c r="G9" s="190">
        <v>225.0</v>
      </c>
      <c r="H9" s="190">
        <v>5381.0</v>
      </c>
      <c r="I9" s="190">
        <v>15529.0</v>
      </c>
    </row>
    <row r="10" ht="14.25" customHeight="1">
      <c r="A10" s="188" t="s">
        <v>237</v>
      </c>
      <c r="B10" s="189">
        <v>1561.0</v>
      </c>
      <c r="C10" s="190">
        <v>11941.0</v>
      </c>
      <c r="D10" s="191">
        <v>77.0</v>
      </c>
      <c r="E10" s="190">
        <v>589.0</v>
      </c>
      <c r="F10" s="190">
        <v>26.0</v>
      </c>
      <c r="G10" s="190">
        <v>199.0</v>
      </c>
      <c r="H10" s="190">
        <v>2808.0</v>
      </c>
      <c r="I10" s="190">
        <v>21479.0</v>
      </c>
    </row>
    <row r="11" ht="14.25" customHeight="1">
      <c r="A11" s="188" t="s">
        <v>238</v>
      </c>
      <c r="B11" s="189">
        <v>5107.0</v>
      </c>
      <c r="C11" s="190">
        <v>10763.0</v>
      </c>
      <c r="D11" s="191">
        <v>380.0</v>
      </c>
      <c r="E11" s="190">
        <v>801.0</v>
      </c>
      <c r="F11" s="190">
        <v>197.0</v>
      </c>
      <c r="G11" s="190">
        <v>415.0</v>
      </c>
      <c r="H11" s="190">
        <v>7370.0</v>
      </c>
      <c r="I11" s="190">
        <v>15532.0</v>
      </c>
    </row>
    <row r="12" ht="14.25" customHeight="1">
      <c r="A12" s="188" t="s">
        <v>239</v>
      </c>
      <c r="B12" s="189">
        <v>498.0</v>
      </c>
      <c r="C12" s="190">
        <v>7343.0</v>
      </c>
      <c r="D12" s="191">
        <v>34.0</v>
      </c>
      <c r="E12" s="190">
        <v>501.0</v>
      </c>
      <c r="F12" s="190">
        <v>7.0</v>
      </c>
      <c r="G12" s="190">
        <v>103.0</v>
      </c>
      <c r="H12" s="190">
        <v>998.0</v>
      </c>
      <c r="I12" s="190">
        <v>14715.0</v>
      </c>
    </row>
    <row r="13" ht="14.25" customHeight="1">
      <c r="A13" s="188" t="s">
        <v>240</v>
      </c>
      <c r="B13" s="189">
        <v>448.0</v>
      </c>
      <c r="C13" s="190">
        <v>9554.0</v>
      </c>
      <c r="D13" s="191">
        <v>15.0</v>
      </c>
      <c r="E13" s="190">
        <v>320.0</v>
      </c>
      <c r="F13" s="190">
        <v>6.0</v>
      </c>
      <c r="G13" s="190">
        <v>128.0</v>
      </c>
      <c r="H13" s="190">
        <v>632.0</v>
      </c>
      <c r="I13" s="190">
        <v>13478.0</v>
      </c>
    </row>
    <row r="14" ht="14.25" customHeight="1">
      <c r="A14" s="188" t="s">
        <v>241</v>
      </c>
      <c r="B14" s="189">
        <v>758.0</v>
      </c>
      <c r="C14" s="190">
        <v>7533.0</v>
      </c>
      <c r="D14" s="191">
        <v>27.0</v>
      </c>
      <c r="E14" s="190">
        <v>268.0</v>
      </c>
      <c r="F14" s="190">
        <v>7.0</v>
      </c>
      <c r="G14" s="190">
        <v>70.0</v>
      </c>
      <c r="H14" s="190">
        <v>1427.0</v>
      </c>
      <c r="I14" s="190">
        <v>14182.0</v>
      </c>
    </row>
    <row r="15" ht="14.25" customHeight="1">
      <c r="A15" s="188" t="s">
        <v>242</v>
      </c>
      <c r="B15" s="189">
        <v>556.0</v>
      </c>
      <c r="C15" s="190">
        <v>6855.0</v>
      </c>
      <c r="D15" s="191">
        <v>32.0</v>
      </c>
      <c r="E15" s="190">
        <v>395.0</v>
      </c>
      <c r="F15" s="190" t="s">
        <v>55</v>
      </c>
      <c r="G15" s="190" t="s">
        <v>38</v>
      </c>
      <c r="H15" s="190">
        <v>1104.0</v>
      </c>
      <c r="I15" s="190">
        <v>13611.0</v>
      </c>
    </row>
    <row r="16" ht="14.25" customHeight="1">
      <c r="A16" s="188" t="s">
        <v>243</v>
      </c>
      <c r="B16" s="189">
        <v>308.0</v>
      </c>
      <c r="C16" s="190">
        <v>5604.0</v>
      </c>
      <c r="D16" s="191">
        <v>10.0</v>
      </c>
      <c r="E16" s="190">
        <v>182.0</v>
      </c>
      <c r="F16" s="190" t="s">
        <v>55</v>
      </c>
      <c r="G16" s="190" t="s">
        <v>38</v>
      </c>
      <c r="H16" s="190">
        <v>1124.0</v>
      </c>
      <c r="I16" s="190">
        <v>20451.0</v>
      </c>
    </row>
    <row r="17" ht="14.25" customHeight="1">
      <c r="A17" s="188" t="s">
        <v>244</v>
      </c>
      <c r="B17" s="189">
        <v>4245.0</v>
      </c>
      <c r="C17" s="190">
        <v>14520.0</v>
      </c>
      <c r="D17" s="191">
        <v>280.0</v>
      </c>
      <c r="E17" s="190">
        <v>958.0</v>
      </c>
      <c r="F17" s="190">
        <v>154.0</v>
      </c>
      <c r="G17" s="190">
        <v>527.0</v>
      </c>
      <c r="H17" s="190">
        <v>4490.0</v>
      </c>
      <c r="I17" s="190">
        <v>15358.0</v>
      </c>
    </row>
    <row r="18" ht="14.25" customHeight="1">
      <c r="A18" s="188" t="s">
        <v>245</v>
      </c>
      <c r="B18" s="189">
        <v>2441.0</v>
      </c>
      <c r="C18" s="190">
        <v>11278.0</v>
      </c>
      <c r="D18" s="191">
        <v>179.0</v>
      </c>
      <c r="E18" s="190">
        <v>827.0</v>
      </c>
      <c r="F18" s="190">
        <v>75.0</v>
      </c>
      <c r="G18" s="190">
        <v>347.0</v>
      </c>
      <c r="H18" s="190">
        <v>3855.0</v>
      </c>
      <c r="I18" s="190">
        <v>17811.0</v>
      </c>
    </row>
    <row r="19" ht="14.25" customHeight="1">
      <c r="A19" s="188" t="s">
        <v>246</v>
      </c>
      <c r="B19" s="189">
        <v>159.0</v>
      </c>
      <c r="C19" s="190">
        <v>4536.0</v>
      </c>
      <c r="D19" s="191" t="s">
        <v>55</v>
      </c>
      <c r="E19" s="190" t="s">
        <v>38</v>
      </c>
      <c r="F19" s="190" t="s">
        <v>55</v>
      </c>
      <c r="G19" s="190" t="s">
        <v>38</v>
      </c>
      <c r="H19" s="190">
        <v>477.0</v>
      </c>
      <c r="I19" s="190">
        <v>13609.0</v>
      </c>
    </row>
    <row r="20" ht="14.25" customHeight="1">
      <c r="A20" s="188" t="s">
        <v>247</v>
      </c>
      <c r="B20" s="189">
        <v>1060.0</v>
      </c>
      <c r="C20" s="190">
        <v>6593.0</v>
      </c>
      <c r="D20" s="191">
        <v>55.0</v>
      </c>
      <c r="E20" s="190">
        <v>342.0</v>
      </c>
      <c r="F20" s="190">
        <v>9.0</v>
      </c>
      <c r="G20" s="190">
        <v>56.0</v>
      </c>
      <c r="H20" s="190">
        <v>2630.0</v>
      </c>
      <c r="I20" s="190">
        <v>16358.0</v>
      </c>
    </row>
    <row r="21" ht="14.25" customHeight="1">
      <c r="A21" s="188" t="s">
        <v>248</v>
      </c>
      <c r="B21" s="189">
        <v>1521.0</v>
      </c>
      <c r="C21" s="190">
        <v>9781.0</v>
      </c>
      <c r="D21" s="191">
        <v>41.0</v>
      </c>
      <c r="E21" s="190">
        <v>264.0</v>
      </c>
      <c r="F21" s="190">
        <v>8.0</v>
      </c>
      <c r="G21" s="190">
        <v>51.0</v>
      </c>
      <c r="H21" s="190">
        <v>2669.0</v>
      </c>
      <c r="I21" s="190">
        <v>17164.0</v>
      </c>
    </row>
    <row r="22" ht="14.25" customHeight="1">
      <c r="A22" s="188" t="s">
        <v>249</v>
      </c>
      <c r="B22" s="189">
        <v>50.0</v>
      </c>
      <c r="C22" s="190">
        <v>6046.0</v>
      </c>
      <c r="D22" s="191">
        <v>0.0</v>
      </c>
      <c r="E22" s="190">
        <v>0.0</v>
      </c>
      <c r="F22" s="190">
        <v>0.0</v>
      </c>
      <c r="G22" s="190">
        <v>0.0</v>
      </c>
      <c r="H22" s="190">
        <v>86.0</v>
      </c>
      <c r="I22" s="190">
        <v>10399.0</v>
      </c>
    </row>
    <row r="23" ht="14.25" customHeight="1">
      <c r="A23" s="188" t="s">
        <v>250</v>
      </c>
      <c r="B23" s="189">
        <v>1750.0</v>
      </c>
      <c r="C23" s="190">
        <v>7067.0</v>
      </c>
      <c r="D23" s="191">
        <v>70.0</v>
      </c>
      <c r="E23" s="190">
        <v>283.0</v>
      </c>
      <c r="F23" s="190">
        <v>10.0</v>
      </c>
      <c r="G23" s="190">
        <v>40.0</v>
      </c>
      <c r="H23" s="190">
        <v>3169.0</v>
      </c>
      <c r="I23" s="190">
        <v>12798.0</v>
      </c>
    </row>
    <row r="24" ht="14.25" customHeight="1">
      <c r="A24" s="188" t="s">
        <v>251</v>
      </c>
      <c r="B24" s="189">
        <v>2148.0</v>
      </c>
      <c r="C24" s="190">
        <v>8196.0</v>
      </c>
      <c r="D24" s="191">
        <v>123.0</v>
      </c>
      <c r="E24" s="190">
        <v>469.0</v>
      </c>
      <c r="F24" s="190">
        <v>76.0</v>
      </c>
      <c r="G24" s="190">
        <v>290.0</v>
      </c>
      <c r="H24" s="190">
        <v>4823.0</v>
      </c>
      <c r="I24" s="190">
        <v>18403.0</v>
      </c>
    </row>
    <row r="25" ht="15.75" customHeight="1">
      <c r="A25" s="188" t="s">
        <v>252</v>
      </c>
      <c r="B25" s="189">
        <v>4431.0</v>
      </c>
      <c r="C25" s="190">
        <v>13651.0</v>
      </c>
      <c r="D25" s="191">
        <v>328.0</v>
      </c>
      <c r="E25" s="190">
        <v>1011.0</v>
      </c>
      <c r="F25" s="190">
        <v>122.0</v>
      </c>
      <c r="G25" s="190">
        <v>376.0</v>
      </c>
      <c r="H25" s="190">
        <v>4834.0</v>
      </c>
      <c r="I25" s="190">
        <v>14893.0</v>
      </c>
    </row>
    <row r="26" ht="14.25" customHeight="1">
      <c r="A26" s="188" t="s">
        <v>253</v>
      </c>
      <c r="B26" s="189">
        <v>1286.0</v>
      </c>
      <c r="C26" s="190">
        <v>10414.0</v>
      </c>
      <c r="D26" s="191">
        <v>85.0</v>
      </c>
      <c r="E26" s="190">
        <v>688.0</v>
      </c>
      <c r="F26" s="190">
        <v>60.0</v>
      </c>
      <c r="G26" s="190">
        <v>486.0</v>
      </c>
      <c r="H26" s="190">
        <v>1998.0</v>
      </c>
      <c r="I26" s="190">
        <v>16179.0</v>
      </c>
    </row>
    <row r="27" ht="14.25" customHeight="1">
      <c r="A27" s="188" t="s">
        <v>254</v>
      </c>
      <c r="B27" s="189">
        <v>10278.0</v>
      </c>
      <c r="C27" s="190">
        <v>14324.0</v>
      </c>
      <c r="D27" s="191">
        <v>639.0</v>
      </c>
      <c r="E27" s="190">
        <v>891.0</v>
      </c>
      <c r="F27" s="190">
        <v>115.0</v>
      </c>
      <c r="G27" s="190">
        <v>160.0</v>
      </c>
      <c r="H27" s="190">
        <v>8442.0</v>
      </c>
      <c r="I27" s="190">
        <v>11765.0</v>
      </c>
    </row>
    <row r="28" ht="14.25" customHeight="1">
      <c r="A28" s="188" t="s">
        <v>255</v>
      </c>
      <c r="B28" s="189">
        <v>1118.0</v>
      </c>
      <c r="C28" s="190">
        <v>6419.0</v>
      </c>
      <c r="D28" s="191">
        <v>20.0</v>
      </c>
      <c r="E28" s="190">
        <v>115.0</v>
      </c>
      <c r="F28" s="190">
        <v>5.0</v>
      </c>
      <c r="G28" s="190">
        <v>29.0</v>
      </c>
      <c r="H28" s="190">
        <v>2564.0</v>
      </c>
      <c r="I28" s="190">
        <v>14720.0</v>
      </c>
    </row>
    <row r="29" ht="14.25" customHeight="1">
      <c r="A29" s="188" t="s">
        <v>256</v>
      </c>
      <c r="B29" s="189">
        <v>28706.0</v>
      </c>
      <c r="C29" s="190">
        <v>15998.0</v>
      </c>
      <c r="D29" s="191">
        <v>2051.0</v>
      </c>
      <c r="E29" s="190">
        <v>1143.0</v>
      </c>
      <c r="F29" s="190">
        <v>506.0</v>
      </c>
      <c r="G29" s="190">
        <v>282.0</v>
      </c>
      <c r="H29" s="190">
        <v>18716.0</v>
      </c>
      <c r="I29" s="190">
        <v>10431.0</v>
      </c>
    </row>
    <row r="30" ht="14.25" customHeight="1">
      <c r="A30" s="188" t="s">
        <v>257</v>
      </c>
      <c r="B30" s="189">
        <v>323.0</v>
      </c>
      <c r="C30" s="190">
        <v>4236.0</v>
      </c>
      <c r="D30" s="191">
        <v>16.0</v>
      </c>
      <c r="E30" s="190">
        <v>210.0</v>
      </c>
      <c r="F30" s="190" t="s">
        <v>55</v>
      </c>
      <c r="G30" s="190" t="s">
        <v>38</v>
      </c>
      <c r="H30" s="190">
        <v>1052.0</v>
      </c>
      <c r="I30" s="190">
        <v>13795.0</v>
      </c>
    </row>
    <row r="31" ht="14.25" customHeight="1">
      <c r="A31" s="188" t="s">
        <v>258</v>
      </c>
      <c r="B31" s="189">
        <v>818.0</v>
      </c>
      <c r="C31" s="190">
        <v>7715.0</v>
      </c>
      <c r="D31" s="191">
        <v>38.0</v>
      </c>
      <c r="E31" s="190">
        <v>358.0</v>
      </c>
      <c r="F31" s="190">
        <v>5.0</v>
      </c>
      <c r="G31" s="190">
        <v>47.0</v>
      </c>
      <c r="H31" s="190">
        <v>1697.0</v>
      </c>
      <c r="I31" s="190">
        <v>16005.0</v>
      </c>
    </row>
    <row r="32" ht="14.25" customHeight="1">
      <c r="A32" s="188" t="s">
        <v>259</v>
      </c>
      <c r="B32" s="189">
        <v>2950.0</v>
      </c>
      <c r="C32" s="190">
        <v>13638.0</v>
      </c>
      <c r="D32" s="191">
        <v>203.0</v>
      </c>
      <c r="E32" s="190">
        <v>939.0</v>
      </c>
      <c r="F32" s="190">
        <v>144.0</v>
      </c>
      <c r="G32" s="190">
        <v>666.0</v>
      </c>
      <c r="H32" s="190">
        <v>3862.0</v>
      </c>
      <c r="I32" s="190">
        <v>17855.0</v>
      </c>
    </row>
    <row r="33" ht="14.25" customHeight="1">
      <c r="A33" s="188" t="s">
        <v>260</v>
      </c>
      <c r="B33" s="189">
        <v>1595.0</v>
      </c>
      <c r="C33" s="190">
        <v>5190.0</v>
      </c>
      <c r="D33" s="191">
        <v>52.0</v>
      </c>
      <c r="E33" s="190">
        <v>169.0</v>
      </c>
      <c r="F33" s="190">
        <v>35.0</v>
      </c>
      <c r="G33" s="190">
        <v>114.0</v>
      </c>
      <c r="H33" s="190">
        <v>5104.0</v>
      </c>
      <c r="I33" s="190">
        <v>16606.0</v>
      </c>
    </row>
    <row r="34" ht="14.25" customHeight="1">
      <c r="A34" s="188" t="s">
        <v>261</v>
      </c>
      <c r="B34" s="189">
        <v>1230.0</v>
      </c>
      <c r="C34" s="190">
        <v>7777.0</v>
      </c>
      <c r="D34" s="191">
        <v>14.0</v>
      </c>
      <c r="E34" s="190">
        <v>89.0</v>
      </c>
      <c r="F34" s="190">
        <v>14.0</v>
      </c>
      <c r="G34" s="190">
        <v>89.0</v>
      </c>
      <c r="H34" s="190">
        <v>1768.0</v>
      </c>
      <c r="I34" s="190">
        <v>11179.0</v>
      </c>
    </row>
    <row r="35" ht="14.25" customHeight="1">
      <c r="A35" s="188" t="s">
        <v>262</v>
      </c>
      <c r="B35" s="189">
        <v>1100.0</v>
      </c>
      <c r="C35" s="190">
        <v>10488.0</v>
      </c>
      <c r="D35" s="191">
        <v>73.0</v>
      </c>
      <c r="E35" s="190">
        <v>696.0</v>
      </c>
      <c r="F35" s="190">
        <v>51.0</v>
      </c>
      <c r="G35" s="190">
        <v>486.0</v>
      </c>
      <c r="H35" s="190">
        <v>1766.0</v>
      </c>
      <c r="I35" s="190">
        <v>16838.0</v>
      </c>
    </row>
    <row r="36" ht="14.25" customHeight="1">
      <c r="A36" s="188" t="s">
        <v>263</v>
      </c>
      <c r="B36" s="189">
        <v>7695.0</v>
      </c>
      <c r="C36" s="190">
        <v>9491.0</v>
      </c>
      <c r="D36" s="191">
        <v>474.0</v>
      </c>
      <c r="E36" s="190">
        <v>585.0</v>
      </c>
      <c r="F36" s="190">
        <v>171.0</v>
      </c>
      <c r="G36" s="190">
        <v>211.0</v>
      </c>
      <c r="H36" s="190">
        <v>14907.0</v>
      </c>
      <c r="I36" s="190">
        <v>18386.0</v>
      </c>
    </row>
    <row r="37" ht="14.25" customHeight="1">
      <c r="A37" s="188" t="s">
        <v>264</v>
      </c>
      <c r="B37" s="189">
        <v>502.0</v>
      </c>
      <c r="C37" s="190">
        <v>8124.0</v>
      </c>
      <c r="D37" s="191">
        <v>21.0</v>
      </c>
      <c r="E37" s="190">
        <v>340.0</v>
      </c>
      <c r="F37" s="190" t="s">
        <v>55</v>
      </c>
      <c r="G37" s="190" t="s">
        <v>38</v>
      </c>
      <c r="H37" s="190">
        <v>923.0</v>
      </c>
      <c r="I37" s="190">
        <v>14938.0</v>
      </c>
    </row>
    <row r="38" ht="14.25" customHeight="1">
      <c r="A38" s="188" t="s">
        <v>265</v>
      </c>
      <c r="B38" s="189">
        <v>2991.0</v>
      </c>
      <c r="C38" s="190">
        <v>10330.0</v>
      </c>
      <c r="D38" s="191">
        <v>183.0</v>
      </c>
      <c r="E38" s="190">
        <v>632.0</v>
      </c>
      <c r="F38" s="190">
        <v>50.0</v>
      </c>
      <c r="G38" s="190">
        <v>173.0</v>
      </c>
      <c r="H38" s="190">
        <v>4249.0</v>
      </c>
      <c r="I38" s="190">
        <v>14674.0</v>
      </c>
    </row>
    <row r="39" ht="14.25" customHeight="1">
      <c r="A39" s="188" t="s">
        <v>266</v>
      </c>
      <c r="B39" s="189">
        <v>1687.0</v>
      </c>
      <c r="C39" s="190">
        <v>7457.0</v>
      </c>
      <c r="D39" s="191">
        <v>95.0</v>
      </c>
      <c r="E39" s="190">
        <v>420.0</v>
      </c>
      <c r="F39" s="190">
        <v>35.0</v>
      </c>
      <c r="G39" s="190">
        <v>155.0</v>
      </c>
      <c r="H39" s="190">
        <v>3018.0</v>
      </c>
      <c r="I39" s="190">
        <v>13340.0</v>
      </c>
    </row>
    <row r="40" ht="14.25" customHeight="1">
      <c r="A40" s="188" t="s">
        <v>267</v>
      </c>
      <c r="B40" s="189">
        <v>4832.0</v>
      </c>
      <c r="C40" s="190">
        <v>11632.0</v>
      </c>
      <c r="D40" s="191">
        <v>383.0</v>
      </c>
      <c r="E40" s="190">
        <v>922.0</v>
      </c>
      <c r="F40" s="190">
        <v>205.0</v>
      </c>
      <c r="G40" s="190">
        <v>494.0</v>
      </c>
      <c r="H40" s="190">
        <v>3967.0</v>
      </c>
      <c r="I40" s="190">
        <v>9550.0</v>
      </c>
    </row>
    <row r="41" ht="14.25" customHeight="1">
      <c r="A41" s="188" t="s">
        <v>67</v>
      </c>
      <c r="B41" s="189">
        <v>5120.0</v>
      </c>
      <c r="C41" s="190" t="s">
        <v>38</v>
      </c>
      <c r="D41" s="191">
        <v>350.0</v>
      </c>
      <c r="E41" s="190" t="s">
        <v>38</v>
      </c>
      <c r="F41" s="190">
        <v>10.0</v>
      </c>
      <c r="G41" s="190" t="s">
        <v>38</v>
      </c>
      <c r="H41" s="190">
        <v>1607.0</v>
      </c>
      <c r="I41" s="190" t="s">
        <v>38</v>
      </c>
    </row>
    <row r="42" ht="14.25" customHeight="1">
      <c r="A42" s="192" t="s">
        <v>268</v>
      </c>
      <c r="B42" s="190">
        <v>127986.0</v>
      </c>
      <c r="C42" s="190">
        <v>12113.0</v>
      </c>
      <c r="D42" s="190">
        <v>7982.0</v>
      </c>
      <c r="E42" s="190">
        <v>755.0</v>
      </c>
      <c r="F42" s="190">
        <v>2604.0</v>
      </c>
      <c r="G42" s="190">
        <v>246.0</v>
      </c>
      <c r="H42" s="190">
        <v>156591.0</v>
      </c>
      <c r="I42" s="190">
        <v>14820.0</v>
      </c>
    </row>
    <row r="43" ht="14.25" customHeight="1">
      <c r="A43" s="193" t="s">
        <v>269</v>
      </c>
      <c r="D43" s="194"/>
      <c r="E43" s="194"/>
      <c r="F43" s="194"/>
      <c r="G43" s="194"/>
      <c r="H43" s="194"/>
      <c r="I43" s="194"/>
    </row>
    <row r="44" ht="15.0" customHeight="1">
      <c r="A44" s="195" t="s">
        <v>270</v>
      </c>
      <c r="H44" s="195"/>
      <c r="I44" s="195"/>
    </row>
    <row r="45" ht="14.25" customHeight="1">
      <c r="H45" s="195"/>
      <c r="I45" s="195"/>
    </row>
    <row r="46" ht="14.25" customHeight="1">
      <c r="H46" s="195"/>
      <c r="I46" s="195"/>
    </row>
    <row r="47" ht="14.25" customHeight="1">
      <c r="A47" s="196" t="s">
        <v>0</v>
      </c>
      <c r="B47" s="197">
        <v>44279.0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271</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272</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44279.0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273</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274</v>
      </c>
      <c r="C8" s="204" t="s">
        <v>275</v>
      </c>
      <c r="D8" s="204" t="s">
        <v>276</v>
      </c>
      <c r="E8" s="204" t="s">
        <v>277</v>
      </c>
      <c r="F8" s="204" t="s">
        <v>278</v>
      </c>
      <c r="G8" s="204" t="s">
        <v>279</v>
      </c>
      <c r="H8" s="204" t="s">
        <v>280</v>
      </c>
      <c r="I8" s="204" t="s">
        <v>281</v>
      </c>
      <c r="J8" s="204" t="s">
        <v>282</v>
      </c>
      <c r="K8" s="204" t="s">
        <v>283</v>
      </c>
      <c r="L8" s="204" t="s">
        <v>284</v>
      </c>
      <c r="M8" s="204" t="s">
        <v>285</v>
      </c>
      <c r="N8" s="204" t="s">
        <v>286</v>
      </c>
      <c r="O8" s="204" t="s">
        <v>287</v>
      </c>
      <c r="P8" s="204" t="s">
        <v>288</v>
      </c>
      <c r="Q8" s="204" t="s">
        <v>289</v>
      </c>
      <c r="R8" s="204" t="s">
        <v>290</v>
      </c>
      <c r="S8" s="204" t="s">
        <v>291</v>
      </c>
      <c r="T8" s="204" t="s">
        <v>292</v>
      </c>
      <c r="U8" s="204" t="s">
        <v>293</v>
      </c>
      <c r="V8" s="204" t="s">
        <v>294</v>
      </c>
      <c r="W8" s="204" t="s">
        <v>295</v>
      </c>
      <c r="X8" s="204" t="s">
        <v>296</v>
      </c>
      <c r="Y8" s="204" t="s">
        <v>297</v>
      </c>
      <c r="Z8" s="204" t="s">
        <v>298</v>
      </c>
      <c r="AA8" s="204" t="s">
        <v>299</v>
      </c>
      <c r="AB8" s="204" t="s">
        <v>300</v>
      </c>
      <c r="AC8" s="204" t="s">
        <v>301</v>
      </c>
      <c r="AD8" s="204" t="s">
        <v>302</v>
      </c>
      <c r="AE8" s="204" t="s">
        <v>303</v>
      </c>
      <c r="AF8" s="204" t="s">
        <v>304</v>
      </c>
      <c r="AG8" s="204" t="s">
        <v>305</v>
      </c>
      <c r="AH8" s="204" t="s">
        <v>306</v>
      </c>
      <c r="AI8" s="204" t="s">
        <v>307</v>
      </c>
      <c r="AJ8" s="204" t="s">
        <v>308</v>
      </c>
      <c r="AK8" s="204" t="s">
        <v>309</v>
      </c>
      <c r="AL8" s="204" t="s">
        <v>310</v>
      </c>
      <c r="AM8" s="204" t="s">
        <v>311</v>
      </c>
      <c r="AN8" s="204" t="s">
        <v>312</v>
      </c>
      <c r="AO8" s="204" t="s">
        <v>313</v>
      </c>
      <c r="AP8" s="204" t="s">
        <v>268</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71.0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204.0</v>
      </c>
      <c r="AB15" s="75" t="s">
        <v>55</v>
      </c>
      <c r="AC15" s="75">
        <v>623.0</v>
      </c>
      <c r="AD15" s="75" t="s">
        <v>55</v>
      </c>
      <c r="AE15" s="75">
        <v>6.0</v>
      </c>
      <c r="AF15" s="75">
        <v>7.0</v>
      </c>
      <c r="AG15" s="75">
        <v>9.0</v>
      </c>
      <c r="AH15" s="75">
        <v>9.0</v>
      </c>
      <c r="AI15" s="75" t="s">
        <v>55</v>
      </c>
      <c r="AJ15" s="75">
        <v>62.0</v>
      </c>
      <c r="AK15" s="75" t="s">
        <v>55</v>
      </c>
      <c r="AL15" s="75">
        <v>31.0</v>
      </c>
      <c r="AM15" s="75">
        <v>6.0</v>
      </c>
      <c r="AN15" s="75">
        <v>49.0</v>
      </c>
      <c r="AO15" s="75">
        <v>44.0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21.0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58.0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81.0</v>
      </c>
      <c r="I18" s="75">
        <v>21.0</v>
      </c>
      <c r="J18" s="75">
        <v>7.0</v>
      </c>
      <c r="K18" s="75">
        <v>50.0</v>
      </c>
      <c r="L18" s="75">
        <v>6.0</v>
      </c>
      <c r="M18" s="75" t="s">
        <v>55</v>
      </c>
      <c r="N18" s="75" t="s">
        <v>55</v>
      </c>
      <c r="O18" s="75" t="s">
        <v>55</v>
      </c>
      <c r="P18" s="75" t="s">
        <v>55</v>
      </c>
      <c r="Q18" s="75">
        <v>33.0</v>
      </c>
      <c r="R18" s="75">
        <v>20.0</v>
      </c>
      <c r="S18" s="75" t="s">
        <v>55</v>
      </c>
      <c r="T18" s="75" t="s">
        <v>55</v>
      </c>
      <c r="U18" s="75" t="s">
        <v>55</v>
      </c>
      <c r="V18" s="75">
        <v>0.0</v>
      </c>
      <c r="W18" s="75">
        <v>8.0</v>
      </c>
      <c r="X18" s="75">
        <v>8.0</v>
      </c>
      <c r="Y18" s="75">
        <v>45.0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33.0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94.0</v>
      </c>
      <c r="AB29" s="75" t="s">
        <v>55</v>
      </c>
      <c r="AC29" s="75">
        <v>168.0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222.0</v>
      </c>
      <c r="AD31" s="75" t="s">
        <v>55</v>
      </c>
      <c r="AE31" s="75">
        <v>5.0</v>
      </c>
      <c r="AF31" s="75">
        <v>7.0</v>
      </c>
      <c r="AG31" s="75" t="s">
        <v>55</v>
      </c>
      <c r="AH31" s="75">
        <v>0.0</v>
      </c>
      <c r="AI31" s="75">
        <v>0.0</v>
      </c>
      <c r="AJ31" s="75">
        <v>30.0</v>
      </c>
      <c r="AK31" s="75">
        <v>0.0</v>
      </c>
      <c r="AL31" s="75">
        <v>12.0</v>
      </c>
      <c r="AM31" s="75">
        <v>5.0</v>
      </c>
      <c r="AN31" s="75">
        <v>21.0</v>
      </c>
      <c r="AO31" s="75" t="s">
        <v>55</v>
      </c>
      <c r="AP31" s="121">
        <v>651.0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8.0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624.0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246.0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285.0</v>
      </c>
      <c r="AD40" s="122" t="s">
        <v>55</v>
      </c>
      <c r="AE40" s="122" t="s">
        <v>55</v>
      </c>
      <c r="AF40" s="122">
        <v>14.0</v>
      </c>
      <c r="AG40" s="122">
        <v>50.0</v>
      </c>
      <c r="AH40" s="122">
        <v>17.0</v>
      </c>
      <c r="AI40" s="122">
        <v>6.0</v>
      </c>
      <c r="AJ40" s="122">
        <v>64.0</v>
      </c>
      <c r="AK40" s="122">
        <v>5.0</v>
      </c>
      <c r="AL40" s="122">
        <v>25.0</v>
      </c>
      <c r="AM40" s="122">
        <v>22.0</v>
      </c>
      <c r="AN40" s="122">
        <v>39.0</v>
      </c>
      <c r="AO40" s="122">
        <v>16.0</v>
      </c>
      <c r="AP40" s="140">
        <v>1191.0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36.0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18.0</v>
      </c>
      <c r="E42" s="140">
        <v>95.0</v>
      </c>
      <c r="F42" s="122">
        <v>7.0</v>
      </c>
      <c r="G42" s="122">
        <v>53.0</v>
      </c>
      <c r="H42" s="140">
        <v>226.0</v>
      </c>
      <c r="I42" s="122">
        <v>54.0</v>
      </c>
      <c r="J42" s="122">
        <v>37.0</v>
      </c>
      <c r="K42" s="122">
        <v>74.0</v>
      </c>
      <c r="L42" s="122" t="s">
        <v>55</v>
      </c>
      <c r="M42" s="122" t="s">
        <v>55</v>
      </c>
      <c r="N42" s="122">
        <v>19.0</v>
      </c>
      <c r="O42" s="122" t="s">
        <v>55</v>
      </c>
      <c r="P42" s="122">
        <v>0.0</v>
      </c>
      <c r="Q42" s="122">
        <v>81.0</v>
      </c>
      <c r="R42" s="122">
        <v>42.0</v>
      </c>
      <c r="S42" s="122" t="s">
        <v>55</v>
      </c>
      <c r="T42" s="122">
        <v>10.0</v>
      </c>
      <c r="U42" s="122">
        <v>39.0</v>
      </c>
      <c r="V42" s="122">
        <v>0.0</v>
      </c>
      <c r="W42" s="122">
        <v>20.0</v>
      </c>
      <c r="X42" s="122">
        <v>29.0</v>
      </c>
      <c r="Y42" s="122">
        <v>87.0</v>
      </c>
      <c r="Z42" s="122">
        <v>22.0</v>
      </c>
      <c r="AA42" s="140">
        <v>258.0</v>
      </c>
      <c r="AB42" s="122">
        <v>10.0</v>
      </c>
      <c r="AC42" s="140">
        <v>651.0</v>
      </c>
      <c r="AD42" s="122">
        <v>9.0</v>
      </c>
      <c r="AE42" s="122">
        <v>13.0</v>
      </c>
      <c r="AF42" s="122">
        <v>39.0</v>
      </c>
      <c r="AG42" s="122">
        <v>24.0</v>
      </c>
      <c r="AH42" s="122">
        <v>15.0</v>
      </c>
      <c r="AI42" s="122">
        <v>12.0</v>
      </c>
      <c r="AJ42" s="122">
        <v>123.0</v>
      </c>
      <c r="AK42" s="122">
        <v>17.0</v>
      </c>
      <c r="AL42" s="122">
        <v>53.0</v>
      </c>
      <c r="AM42" s="122">
        <v>11.0</v>
      </c>
      <c r="AN42" s="122">
        <v>64.0</v>
      </c>
      <c r="AO42" s="122">
        <v>80.0</v>
      </c>
      <c r="AP42" s="140">
        <v>2348.0</v>
      </c>
    </row>
    <row r="43">
      <c r="A43" s="120" t="s">
        <v>140</v>
      </c>
      <c r="B43" s="122">
        <v>31.0</v>
      </c>
      <c r="C43" s="122">
        <v>39.0</v>
      </c>
      <c r="D43" s="122">
        <v>28.0</v>
      </c>
      <c r="E43" s="140">
        <v>161.0</v>
      </c>
      <c r="F43" s="122">
        <v>5.0</v>
      </c>
      <c r="G43" s="122">
        <v>49.0</v>
      </c>
      <c r="H43" s="140">
        <v>264.0</v>
      </c>
      <c r="I43" s="122">
        <v>83.0</v>
      </c>
      <c r="J43" s="122">
        <v>32.0</v>
      </c>
      <c r="K43" s="122">
        <v>96.0</v>
      </c>
      <c r="L43" s="122" t="s">
        <v>55</v>
      </c>
      <c r="M43" s="122">
        <v>13.0</v>
      </c>
      <c r="N43" s="122">
        <v>19.0</v>
      </c>
      <c r="O43" s="122">
        <v>8.0</v>
      </c>
      <c r="P43" s="122">
        <v>6.0</v>
      </c>
      <c r="Q43" s="122">
        <v>105.0</v>
      </c>
      <c r="R43" s="122">
        <v>50.0</v>
      </c>
      <c r="S43" s="122">
        <v>5.0</v>
      </c>
      <c r="T43" s="122">
        <v>25.0</v>
      </c>
      <c r="U43" s="122">
        <v>18.0</v>
      </c>
      <c r="V43" s="122" t="s">
        <v>55</v>
      </c>
      <c r="W43" s="122">
        <v>21.0</v>
      </c>
      <c r="X43" s="122">
        <v>35.0</v>
      </c>
      <c r="Y43" s="122">
        <v>125.0</v>
      </c>
      <c r="Z43" s="122">
        <v>13.0</v>
      </c>
      <c r="AA43" s="140">
        <v>265.0</v>
      </c>
      <c r="AB43" s="122">
        <v>27.0</v>
      </c>
      <c r="AC43" s="140">
        <v>643.0</v>
      </c>
      <c r="AD43" s="122" t="s">
        <v>55</v>
      </c>
      <c r="AE43" s="122">
        <v>18.0</v>
      </c>
      <c r="AF43" s="122">
        <v>36.0</v>
      </c>
      <c r="AG43" s="122">
        <v>23.0</v>
      </c>
      <c r="AH43" s="122">
        <v>30.0</v>
      </c>
      <c r="AI43" s="122">
        <v>33.0</v>
      </c>
      <c r="AJ43" s="122">
        <v>191.0</v>
      </c>
      <c r="AK43" s="122">
        <v>7.0</v>
      </c>
      <c r="AL43" s="122">
        <v>77.0</v>
      </c>
      <c r="AM43" s="122">
        <v>19.0</v>
      </c>
      <c r="AN43" s="122">
        <v>69.0</v>
      </c>
      <c r="AO43" s="122">
        <v>51.0</v>
      </c>
      <c r="AP43" s="140">
        <v>2727.0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152.0</v>
      </c>
      <c r="R44" s="122">
        <v>52.0</v>
      </c>
      <c r="S44" s="122" t="s">
        <v>55</v>
      </c>
      <c r="T44" s="122">
        <v>22.0</v>
      </c>
      <c r="U44" s="122">
        <v>33.0</v>
      </c>
      <c r="V44" s="122" t="s">
        <v>55</v>
      </c>
      <c r="W44" s="122">
        <v>37.0</v>
      </c>
      <c r="X44" s="122">
        <v>51.0</v>
      </c>
      <c r="Y44" s="122">
        <v>117.0</v>
      </c>
      <c r="Z44" s="122">
        <v>24.0</v>
      </c>
      <c r="AA44" s="140">
        <v>323.0</v>
      </c>
      <c r="AB44" s="122">
        <v>17.0</v>
      </c>
      <c r="AC44" s="140">
        <v>867.0</v>
      </c>
      <c r="AD44" s="122">
        <v>9.0</v>
      </c>
      <c r="AE44" s="122">
        <v>25.0</v>
      </c>
      <c r="AF44" s="122">
        <v>55.0</v>
      </c>
      <c r="AG44" s="122">
        <v>41.0</v>
      </c>
      <c r="AH44" s="122">
        <v>25.0</v>
      </c>
      <c r="AI44" s="122">
        <v>38.0</v>
      </c>
      <c r="AJ44" s="122">
        <v>226.0</v>
      </c>
      <c r="AK44" s="122">
        <v>8.0</v>
      </c>
      <c r="AL44" s="122">
        <v>88.0</v>
      </c>
      <c r="AM44" s="122">
        <v>27.0</v>
      </c>
      <c r="AN44" s="122">
        <v>111.0</v>
      </c>
      <c r="AO44" s="122">
        <v>49.0</v>
      </c>
      <c r="AP44" s="140">
        <v>3490.0</v>
      </c>
    </row>
    <row r="45">
      <c r="A45" s="120" t="s">
        <v>142</v>
      </c>
      <c r="B45" s="122">
        <v>46.0</v>
      </c>
      <c r="C45" s="122">
        <v>97.0</v>
      </c>
      <c r="D45" s="122">
        <v>37.0</v>
      </c>
      <c r="E45" s="140">
        <v>219.0</v>
      </c>
      <c r="F45" s="122">
        <v>13.0</v>
      </c>
      <c r="G45" s="122">
        <v>148.0</v>
      </c>
      <c r="H45" s="140">
        <v>561.0</v>
      </c>
      <c r="I45" s="122">
        <v>129.0</v>
      </c>
      <c r="J45" s="122">
        <v>69.0</v>
      </c>
      <c r="K45" s="122">
        <v>202.0</v>
      </c>
      <c r="L45" s="122">
        <v>16.0</v>
      </c>
      <c r="M45" s="122">
        <v>21.0</v>
      </c>
      <c r="N45" s="122">
        <v>31.0</v>
      </c>
      <c r="O45" s="122">
        <v>18.0</v>
      </c>
      <c r="P45" s="122">
        <v>11.0</v>
      </c>
      <c r="Q45" s="122">
        <v>181.0</v>
      </c>
      <c r="R45" s="122">
        <v>103.0</v>
      </c>
      <c r="S45" s="122" t="s">
        <v>55</v>
      </c>
      <c r="T45" s="122">
        <v>24.0</v>
      </c>
      <c r="U45" s="122">
        <v>49.0</v>
      </c>
      <c r="V45" s="122" t="s">
        <v>55</v>
      </c>
      <c r="W45" s="122">
        <v>37.0</v>
      </c>
      <c r="X45" s="122">
        <v>115.0</v>
      </c>
      <c r="Y45" s="122">
        <v>198.0</v>
      </c>
      <c r="Z45" s="122">
        <v>24.0</v>
      </c>
      <c r="AA45" s="140">
        <v>467.0</v>
      </c>
      <c r="AB45" s="122">
        <v>31.0</v>
      </c>
      <c r="AC45" s="140">
        <v>1258.0</v>
      </c>
      <c r="AD45" s="122">
        <v>25.0</v>
      </c>
      <c r="AE45" s="122">
        <v>25.0</v>
      </c>
      <c r="AF45" s="122">
        <v>116.0</v>
      </c>
      <c r="AG45" s="122">
        <v>89.0</v>
      </c>
      <c r="AH45" s="122">
        <v>32.0</v>
      </c>
      <c r="AI45" s="122">
        <v>39.0</v>
      </c>
      <c r="AJ45" s="122">
        <v>386.0</v>
      </c>
      <c r="AK45" s="122">
        <v>18.0</v>
      </c>
      <c r="AL45" s="122">
        <v>168.0</v>
      </c>
      <c r="AM45" s="122">
        <v>54.0</v>
      </c>
      <c r="AN45" s="122">
        <v>110.0</v>
      </c>
      <c r="AO45" s="122">
        <v>65.0</v>
      </c>
      <c r="AP45" s="140">
        <v>5238.0</v>
      </c>
    </row>
    <row r="46">
      <c r="A46" s="120" t="s">
        <v>143</v>
      </c>
      <c r="B46" s="122">
        <v>50.0</v>
      </c>
      <c r="C46" s="122">
        <v>104.0</v>
      </c>
      <c r="D46" s="122">
        <v>57.0</v>
      </c>
      <c r="E46" s="140">
        <v>194.0</v>
      </c>
      <c r="F46" s="122">
        <v>22.0</v>
      </c>
      <c r="G46" s="122">
        <v>205.0</v>
      </c>
      <c r="H46" s="140">
        <v>653.0</v>
      </c>
      <c r="I46" s="122">
        <v>144.0</v>
      </c>
      <c r="J46" s="122">
        <v>79.0</v>
      </c>
      <c r="K46" s="122">
        <v>236.0</v>
      </c>
      <c r="L46" s="122">
        <v>24.0</v>
      </c>
      <c r="M46" s="122">
        <v>18.0</v>
      </c>
      <c r="N46" s="122">
        <v>35.0</v>
      </c>
      <c r="O46" s="122">
        <v>30.0</v>
      </c>
      <c r="P46" s="122">
        <v>10.0</v>
      </c>
      <c r="Q46" s="122">
        <v>228.0</v>
      </c>
      <c r="R46" s="122">
        <v>106.0</v>
      </c>
      <c r="S46" s="122" t="s">
        <v>55</v>
      </c>
      <c r="T46" s="122">
        <v>23.0</v>
      </c>
      <c r="U46" s="122">
        <v>57.0</v>
      </c>
      <c r="V46" s="122" t="s">
        <v>55</v>
      </c>
      <c r="W46" s="122">
        <v>61.0</v>
      </c>
      <c r="X46" s="122">
        <v>118.0</v>
      </c>
      <c r="Y46" s="122">
        <v>225.0</v>
      </c>
      <c r="Z46" s="122">
        <v>37.0</v>
      </c>
      <c r="AA46" s="140">
        <v>502.0</v>
      </c>
      <c r="AB46" s="122">
        <v>26.0</v>
      </c>
      <c r="AC46" s="140">
        <v>1482.0</v>
      </c>
      <c r="AD46" s="122">
        <v>12.0</v>
      </c>
      <c r="AE46" s="122">
        <v>42.0</v>
      </c>
      <c r="AF46" s="122">
        <v>134.0</v>
      </c>
      <c r="AG46" s="122">
        <v>66.0</v>
      </c>
      <c r="AH46" s="122">
        <v>37.0</v>
      </c>
      <c r="AI46" s="122">
        <v>33.0</v>
      </c>
      <c r="AJ46" s="122">
        <v>481.0</v>
      </c>
      <c r="AK46" s="122">
        <v>20.0</v>
      </c>
      <c r="AL46" s="122">
        <v>198.0</v>
      </c>
      <c r="AM46" s="122">
        <v>59.0</v>
      </c>
      <c r="AN46" s="122">
        <v>131.0</v>
      </c>
      <c r="AO46" s="122">
        <v>175.0</v>
      </c>
      <c r="AP46" s="140">
        <v>6118.0</v>
      </c>
    </row>
    <row r="47">
      <c r="A47" s="120" t="s">
        <v>144</v>
      </c>
      <c r="B47" s="122">
        <v>47.0</v>
      </c>
      <c r="C47" s="122">
        <v>52.0</v>
      </c>
      <c r="D47" s="122">
        <v>87.0</v>
      </c>
      <c r="E47" s="140">
        <v>171.0</v>
      </c>
      <c r="F47" s="122">
        <v>27.0</v>
      </c>
      <c r="G47" s="122">
        <v>201.0</v>
      </c>
      <c r="H47" s="140">
        <v>513.0</v>
      </c>
      <c r="I47" s="122">
        <v>143.0</v>
      </c>
      <c r="J47" s="122">
        <v>66.0</v>
      </c>
      <c r="K47" s="122">
        <v>183.0</v>
      </c>
      <c r="L47" s="122">
        <v>25.0</v>
      </c>
      <c r="M47" s="122">
        <v>21.0</v>
      </c>
      <c r="N47" s="122">
        <v>29.0</v>
      </c>
      <c r="O47" s="122">
        <v>27.0</v>
      </c>
      <c r="P47" s="122">
        <v>11.0</v>
      </c>
      <c r="Q47" s="122">
        <v>191.0</v>
      </c>
      <c r="R47" s="122">
        <v>132.0</v>
      </c>
      <c r="S47" s="122">
        <v>5.0</v>
      </c>
      <c r="T47" s="122">
        <v>25.0</v>
      </c>
      <c r="U47" s="122">
        <v>42.0</v>
      </c>
      <c r="V47" s="122" t="s">
        <v>55</v>
      </c>
      <c r="W47" s="122">
        <v>48.0</v>
      </c>
      <c r="X47" s="122">
        <v>109.0</v>
      </c>
      <c r="Y47" s="122">
        <v>175.0</v>
      </c>
      <c r="Z47" s="122">
        <v>51.0</v>
      </c>
      <c r="AA47" s="140">
        <v>444.0</v>
      </c>
      <c r="AB47" s="122">
        <v>33.0</v>
      </c>
      <c r="AC47" s="140">
        <v>1178.0</v>
      </c>
      <c r="AD47" s="122">
        <v>14.0</v>
      </c>
      <c r="AE47" s="122">
        <v>46.0</v>
      </c>
      <c r="AF47" s="122">
        <v>93.0</v>
      </c>
      <c r="AG47" s="122">
        <v>39.0</v>
      </c>
      <c r="AH47" s="122">
        <v>40.0</v>
      </c>
      <c r="AI47" s="122">
        <v>19.0</v>
      </c>
      <c r="AJ47" s="122">
        <v>434.0</v>
      </c>
      <c r="AK47" s="122">
        <v>32.0</v>
      </c>
      <c r="AL47" s="122">
        <v>144.0</v>
      </c>
      <c r="AM47" s="122">
        <v>53.0</v>
      </c>
      <c r="AN47" s="122">
        <v>164.0</v>
      </c>
      <c r="AO47" s="122">
        <v>176.0</v>
      </c>
      <c r="AP47" s="140">
        <v>5292.0</v>
      </c>
    </row>
    <row r="48">
      <c r="A48" s="120" t="s">
        <v>145</v>
      </c>
      <c r="B48" s="122">
        <v>85.0</v>
      </c>
      <c r="C48" s="122">
        <v>89.0</v>
      </c>
      <c r="D48" s="122">
        <v>170.0</v>
      </c>
      <c r="E48" s="140">
        <v>216.0</v>
      </c>
      <c r="F48" s="122">
        <v>36.0</v>
      </c>
      <c r="G48" s="122">
        <v>283.0</v>
      </c>
      <c r="H48" s="140">
        <v>752.0</v>
      </c>
      <c r="I48" s="122">
        <v>262.0</v>
      </c>
      <c r="J48" s="122">
        <v>93.0</v>
      </c>
      <c r="K48" s="122">
        <v>353.0</v>
      </c>
      <c r="L48" s="122">
        <v>41.0</v>
      </c>
      <c r="M48" s="122">
        <v>31.0</v>
      </c>
      <c r="N48" s="122">
        <v>54.0</v>
      </c>
      <c r="O48" s="122">
        <v>51.0</v>
      </c>
      <c r="P48" s="122">
        <v>20.0</v>
      </c>
      <c r="Q48" s="122">
        <v>370.0</v>
      </c>
      <c r="R48" s="122">
        <v>172.0</v>
      </c>
      <c r="S48" s="122" t="s">
        <v>55</v>
      </c>
      <c r="T48" s="122">
        <v>56.0</v>
      </c>
      <c r="U48" s="122">
        <v>56.0</v>
      </c>
      <c r="V48" s="122" t="s">
        <v>55</v>
      </c>
      <c r="W48" s="122">
        <v>76.0</v>
      </c>
      <c r="X48" s="122">
        <v>124.0</v>
      </c>
      <c r="Y48" s="122">
        <v>287.0</v>
      </c>
      <c r="Z48" s="122">
        <v>91.0</v>
      </c>
      <c r="AA48" s="140">
        <v>668.0</v>
      </c>
      <c r="AB48" s="122">
        <v>38.0</v>
      </c>
      <c r="AC48" s="140">
        <v>1727.0</v>
      </c>
      <c r="AD48" s="122">
        <v>25.0</v>
      </c>
      <c r="AE48" s="122">
        <v>78.0</v>
      </c>
      <c r="AF48" s="122">
        <v>173.0</v>
      </c>
      <c r="AG48" s="122">
        <v>69.0</v>
      </c>
      <c r="AH48" s="122">
        <v>68.0</v>
      </c>
      <c r="AI48" s="122">
        <v>46.0</v>
      </c>
      <c r="AJ48" s="122">
        <v>562.0</v>
      </c>
      <c r="AK48" s="122">
        <v>32.0</v>
      </c>
      <c r="AL48" s="122">
        <v>219.0</v>
      </c>
      <c r="AM48" s="122">
        <v>80.0</v>
      </c>
      <c r="AN48" s="122">
        <v>271.0</v>
      </c>
      <c r="AO48" s="122">
        <v>351.0</v>
      </c>
      <c r="AP48" s="140">
        <v>8179.0</v>
      </c>
    </row>
    <row r="49">
      <c r="A49" s="120" t="s">
        <v>146</v>
      </c>
      <c r="B49" s="122">
        <v>81.0</v>
      </c>
      <c r="C49" s="122">
        <v>86.0</v>
      </c>
      <c r="D49" s="122">
        <v>115.0</v>
      </c>
      <c r="E49" s="140">
        <v>148.0</v>
      </c>
      <c r="F49" s="122">
        <v>36.0</v>
      </c>
      <c r="G49" s="122">
        <v>224.0</v>
      </c>
      <c r="H49" s="140">
        <v>692.0</v>
      </c>
      <c r="I49" s="122">
        <v>284.0</v>
      </c>
      <c r="J49" s="122">
        <v>96.0</v>
      </c>
      <c r="K49" s="122">
        <v>395.0</v>
      </c>
      <c r="L49" s="122">
        <v>38.0</v>
      </c>
      <c r="M49" s="122">
        <v>28.0</v>
      </c>
      <c r="N49" s="122">
        <v>76.0</v>
      </c>
      <c r="O49" s="122">
        <v>42.0</v>
      </c>
      <c r="P49" s="122">
        <v>27.0</v>
      </c>
      <c r="Q49" s="122">
        <v>280.0</v>
      </c>
      <c r="R49" s="122">
        <v>151.0</v>
      </c>
      <c r="S49" s="122">
        <v>9.0</v>
      </c>
      <c r="T49" s="122">
        <v>56.0</v>
      </c>
      <c r="U49" s="122">
        <v>74.0</v>
      </c>
      <c r="V49" s="122">
        <v>11.0</v>
      </c>
      <c r="W49" s="122">
        <v>101.0</v>
      </c>
      <c r="X49" s="122">
        <v>128.0</v>
      </c>
      <c r="Y49" s="122">
        <v>280.0</v>
      </c>
      <c r="Z49" s="122">
        <v>78.0</v>
      </c>
      <c r="AA49" s="140">
        <v>622.0</v>
      </c>
      <c r="AB49" s="122">
        <v>55.0</v>
      </c>
      <c r="AC49" s="140">
        <v>1599.0</v>
      </c>
      <c r="AD49" s="122">
        <v>15.0</v>
      </c>
      <c r="AE49" s="122">
        <v>77.0</v>
      </c>
      <c r="AF49" s="122">
        <v>150.0</v>
      </c>
      <c r="AG49" s="122">
        <v>59.0</v>
      </c>
      <c r="AH49" s="122">
        <v>62.0</v>
      </c>
      <c r="AI49" s="122">
        <v>58.0</v>
      </c>
      <c r="AJ49" s="122">
        <v>498.0</v>
      </c>
      <c r="AK49" s="122">
        <v>29.0</v>
      </c>
      <c r="AL49" s="122">
        <v>185.0</v>
      </c>
      <c r="AM49" s="122">
        <v>101.0</v>
      </c>
      <c r="AN49" s="122">
        <v>281.0</v>
      </c>
      <c r="AO49" s="122">
        <v>346.0</v>
      </c>
      <c r="AP49" s="140">
        <v>7673.0</v>
      </c>
    </row>
    <row r="50">
      <c r="A50" s="120" t="s">
        <v>147</v>
      </c>
      <c r="B50" s="122">
        <v>45.0</v>
      </c>
      <c r="C50" s="122">
        <v>92.0</v>
      </c>
      <c r="D50" s="122">
        <v>115.0</v>
      </c>
      <c r="E50" s="140">
        <v>112.0</v>
      </c>
      <c r="F50" s="122">
        <v>34.0</v>
      </c>
      <c r="G50" s="122">
        <v>216.0</v>
      </c>
      <c r="H50" s="140">
        <v>482.0</v>
      </c>
      <c r="I50" s="122">
        <v>194.0</v>
      </c>
      <c r="J50" s="122">
        <v>76.0</v>
      </c>
      <c r="K50" s="122">
        <v>263.0</v>
      </c>
      <c r="L50" s="122">
        <v>24.0</v>
      </c>
      <c r="M50" s="122">
        <v>15.0</v>
      </c>
      <c r="N50" s="122">
        <v>44.0</v>
      </c>
      <c r="O50" s="122">
        <v>34.0</v>
      </c>
      <c r="P50" s="122">
        <v>10.0</v>
      </c>
      <c r="Q50" s="122">
        <v>193.0</v>
      </c>
      <c r="R50" s="122">
        <v>118.0</v>
      </c>
      <c r="S50" s="122">
        <v>12.0</v>
      </c>
      <c r="T50" s="122">
        <v>69.0</v>
      </c>
      <c r="U50" s="122">
        <v>56.0</v>
      </c>
      <c r="V50" s="122" t="s">
        <v>55</v>
      </c>
      <c r="W50" s="122">
        <v>76.0</v>
      </c>
      <c r="X50" s="122">
        <v>82.0</v>
      </c>
      <c r="Y50" s="122">
        <v>151.0</v>
      </c>
      <c r="Z50" s="122">
        <v>70.0</v>
      </c>
      <c r="AA50" s="140">
        <v>417.0</v>
      </c>
      <c r="AB50" s="122">
        <v>75.0</v>
      </c>
      <c r="AC50" s="140">
        <v>1048.0</v>
      </c>
      <c r="AD50" s="122">
        <v>9.0</v>
      </c>
      <c r="AE50" s="122">
        <v>43.0</v>
      </c>
      <c r="AF50" s="122">
        <v>110.0</v>
      </c>
      <c r="AG50" s="122">
        <v>42.0</v>
      </c>
      <c r="AH50" s="122">
        <v>65.0</v>
      </c>
      <c r="AI50" s="122">
        <v>77.0</v>
      </c>
      <c r="AJ50" s="122">
        <v>365.0</v>
      </c>
      <c r="AK50" s="122">
        <v>24.0</v>
      </c>
      <c r="AL50" s="122">
        <v>117.0</v>
      </c>
      <c r="AM50" s="122">
        <v>116.0</v>
      </c>
      <c r="AN50" s="122">
        <v>286.0</v>
      </c>
      <c r="AO50" s="122">
        <v>206.0</v>
      </c>
      <c r="AP50" s="140">
        <v>5587.0</v>
      </c>
    </row>
    <row r="51">
      <c r="A51" s="120" t="s">
        <v>148</v>
      </c>
      <c r="B51" s="122">
        <v>89.0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95.0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38.0</v>
      </c>
      <c r="AH51" s="122">
        <v>73.0</v>
      </c>
      <c r="AI51" s="122">
        <v>63.0</v>
      </c>
      <c r="AJ51" s="122">
        <v>258.0</v>
      </c>
      <c r="AK51" s="122">
        <v>20.0</v>
      </c>
      <c r="AL51" s="122">
        <v>111.0</v>
      </c>
      <c r="AM51" s="122">
        <v>70.0</v>
      </c>
      <c r="AN51" s="122">
        <v>195.0</v>
      </c>
      <c r="AO51" s="122">
        <v>272.0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77.0</v>
      </c>
      <c r="AA52" s="140">
        <v>427.0</v>
      </c>
      <c r="AB52" s="122">
        <v>111.0</v>
      </c>
      <c r="AC52" s="140">
        <v>1013.0</v>
      </c>
      <c r="AD52" s="122">
        <v>24.0</v>
      </c>
      <c r="AE52" s="122">
        <v>47.0</v>
      </c>
      <c r="AF52" s="122">
        <v>144.0</v>
      </c>
      <c r="AG52" s="122">
        <v>82.0</v>
      </c>
      <c r="AH52" s="122">
        <v>91.0</v>
      </c>
      <c r="AI52" s="122">
        <v>117.0</v>
      </c>
      <c r="AJ52" s="122">
        <v>407.0</v>
      </c>
      <c r="AK52" s="122">
        <v>31.0</v>
      </c>
      <c r="AL52" s="122">
        <v>162.0</v>
      </c>
      <c r="AM52" s="122">
        <v>85.0</v>
      </c>
      <c r="AN52" s="122">
        <v>261.0</v>
      </c>
      <c r="AO52" s="122">
        <v>448.0</v>
      </c>
      <c r="AP52" s="140">
        <v>6405.0</v>
      </c>
    </row>
    <row r="53">
      <c r="A53" s="120" t="s">
        <v>150</v>
      </c>
      <c r="B53" s="122">
        <v>92.0</v>
      </c>
      <c r="C53" s="122">
        <v>189.0</v>
      </c>
      <c r="D53" s="122">
        <v>101.0</v>
      </c>
      <c r="E53" s="140">
        <v>138.0</v>
      </c>
      <c r="F53" s="122">
        <v>29.0</v>
      </c>
      <c r="G53" s="122">
        <v>205.0</v>
      </c>
      <c r="H53" s="140">
        <v>560.0</v>
      </c>
      <c r="I53" s="122">
        <v>226.0</v>
      </c>
      <c r="J53" s="122">
        <v>118.0</v>
      </c>
      <c r="K53" s="122">
        <v>314.0</v>
      </c>
      <c r="L53" s="122">
        <v>31.0</v>
      </c>
      <c r="M53" s="122">
        <v>43.0</v>
      </c>
      <c r="N53" s="122">
        <v>49.0</v>
      </c>
      <c r="O53" s="122">
        <v>24.0</v>
      </c>
      <c r="P53" s="122">
        <v>33.0</v>
      </c>
      <c r="Q53" s="122">
        <v>264.0</v>
      </c>
      <c r="R53" s="122">
        <v>165.0</v>
      </c>
      <c r="S53" s="122">
        <v>19.0</v>
      </c>
      <c r="T53" s="122">
        <v>79.0</v>
      </c>
      <c r="U53" s="122">
        <v>96.0</v>
      </c>
      <c r="V53" s="122" t="s">
        <v>55</v>
      </c>
      <c r="W53" s="122">
        <v>144.0</v>
      </c>
      <c r="X53" s="122">
        <v>130.0</v>
      </c>
      <c r="Y53" s="122">
        <v>237.0</v>
      </c>
      <c r="Z53" s="122">
        <v>74.0</v>
      </c>
      <c r="AA53" s="140">
        <v>541.0</v>
      </c>
      <c r="AB53" s="122">
        <v>141.0</v>
      </c>
      <c r="AC53" s="140">
        <v>1353.0</v>
      </c>
      <c r="AD53" s="122">
        <v>27.0</v>
      </c>
      <c r="AE53" s="122">
        <v>48.0</v>
      </c>
      <c r="AF53" s="122">
        <v>134.0</v>
      </c>
      <c r="AG53" s="122">
        <v>64.0</v>
      </c>
      <c r="AH53" s="122">
        <v>87.0</v>
      </c>
      <c r="AI53" s="122">
        <v>116.0</v>
      </c>
      <c r="AJ53" s="122">
        <v>459.0</v>
      </c>
      <c r="AK53" s="122">
        <v>47.0</v>
      </c>
      <c r="AL53" s="122">
        <v>165.0</v>
      </c>
      <c r="AM53" s="122">
        <v>119.0</v>
      </c>
      <c r="AN53" s="122">
        <v>259.0</v>
      </c>
      <c r="AO53" s="122">
        <v>417.0</v>
      </c>
      <c r="AP53" s="140">
        <v>7338.0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1022.0</v>
      </c>
      <c r="AD54" s="122">
        <v>15.0</v>
      </c>
      <c r="AE54" s="122">
        <v>51.0</v>
      </c>
      <c r="AF54" s="122">
        <v>118.0</v>
      </c>
      <c r="AG54" s="122">
        <v>29.0</v>
      </c>
      <c r="AH54" s="122">
        <v>78.0</v>
      </c>
      <c r="AI54" s="122">
        <v>49.0</v>
      </c>
      <c r="AJ54" s="122">
        <v>366.0</v>
      </c>
      <c r="AK54" s="122">
        <v>37.0</v>
      </c>
      <c r="AL54" s="122">
        <v>146.0</v>
      </c>
      <c r="AM54" s="122">
        <v>105.0</v>
      </c>
      <c r="AN54" s="122">
        <v>291.0</v>
      </c>
      <c r="AO54" s="122">
        <v>244.0</v>
      </c>
      <c r="AP54" s="140">
        <v>5537.0</v>
      </c>
    </row>
    <row r="55">
      <c r="A55" s="120" t="s">
        <v>152</v>
      </c>
      <c r="B55" s="122">
        <v>62.0</v>
      </c>
      <c r="C55" s="122">
        <v>104.0</v>
      </c>
      <c r="D55" s="122">
        <v>96.0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85.0</v>
      </c>
      <c r="Y55" s="122">
        <v>145.0</v>
      </c>
      <c r="Z55" s="122">
        <v>75.0</v>
      </c>
      <c r="AA55" s="140">
        <v>344.0</v>
      </c>
      <c r="AB55" s="122">
        <v>58.0</v>
      </c>
      <c r="AC55" s="140">
        <v>786.0</v>
      </c>
      <c r="AD55" s="122">
        <v>14.0</v>
      </c>
      <c r="AE55" s="122">
        <v>39.0</v>
      </c>
      <c r="AF55" s="122">
        <v>121.0</v>
      </c>
      <c r="AG55" s="122">
        <v>47.0</v>
      </c>
      <c r="AH55" s="122">
        <v>74.0</v>
      </c>
      <c r="AI55" s="122">
        <v>31.0</v>
      </c>
      <c r="AJ55" s="122">
        <v>317.0</v>
      </c>
      <c r="AK55" s="122">
        <v>25.0</v>
      </c>
      <c r="AL55" s="122">
        <v>135.0</v>
      </c>
      <c r="AM55" s="122">
        <v>109.0</v>
      </c>
      <c r="AN55" s="122">
        <v>260.0</v>
      </c>
      <c r="AO55" s="122">
        <v>182.0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35.0</v>
      </c>
      <c r="O56" s="122">
        <v>23.0</v>
      </c>
      <c r="P56" s="122">
        <v>8.0</v>
      </c>
      <c r="Q56" s="122">
        <v>95.0</v>
      </c>
      <c r="R56" s="122">
        <v>80.0</v>
      </c>
      <c r="S56" s="122">
        <v>5.0</v>
      </c>
      <c r="T56" s="122">
        <v>53.0</v>
      </c>
      <c r="U56" s="122">
        <v>43.0</v>
      </c>
      <c r="V56" s="122">
        <v>0.0</v>
      </c>
      <c r="W56" s="122">
        <v>113.0</v>
      </c>
      <c r="X56" s="122">
        <v>78.0</v>
      </c>
      <c r="Y56" s="122">
        <v>95.0</v>
      </c>
      <c r="Z56" s="122">
        <v>56.0</v>
      </c>
      <c r="AA56" s="140">
        <v>263.0</v>
      </c>
      <c r="AB56" s="122">
        <v>33.0</v>
      </c>
      <c r="AC56" s="140">
        <v>615.0</v>
      </c>
      <c r="AD56" s="122">
        <v>13.0</v>
      </c>
      <c r="AE56" s="122">
        <v>26.0</v>
      </c>
      <c r="AF56" s="122">
        <v>99.0</v>
      </c>
      <c r="AG56" s="122">
        <v>68.0</v>
      </c>
      <c r="AH56" s="122">
        <v>46.0</v>
      </c>
      <c r="AI56" s="122">
        <v>31.0</v>
      </c>
      <c r="AJ56" s="122">
        <v>253.0</v>
      </c>
      <c r="AK56" s="122">
        <v>23.0</v>
      </c>
      <c r="AL56" s="122">
        <v>90.0</v>
      </c>
      <c r="AM56" s="122">
        <v>72.0</v>
      </c>
      <c r="AN56" s="122">
        <v>179.0</v>
      </c>
      <c r="AO56" s="122">
        <v>153.0</v>
      </c>
      <c r="AP56" s="140">
        <v>3765.0</v>
      </c>
    </row>
    <row r="57">
      <c r="A57" s="120" t="s">
        <v>154</v>
      </c>
      <c r="B57" s="122">
        <v>23.0</v>
      </c>
      <c r="C57" s="122">
        <v>75.0</v>
      </c>
      <c r="D57" s="122">
        <v>63.0</v>
      </c>
      <c r="E57" s="140">
        <v>43.0</v>
      </c>
      <c r="F57" s="122">
        <v>18.0</v>
      </c>
      <c r="G57" s="122">
        <v>88.0</v>
      </c>
      <c r="H57" s="140">
        <v>229.0</v>
      </c>
      <c r="I57" s="122">
        <v>95.0</v>
      </c>
      <c r="J57" s="122">
        <v>36.0</v>
      </c>
      <c r="K57" s="122">
        <v>119.0</v>
      </c>
      <c r="L57" s="122">
        <v>14.0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485.0</v>
      </c>
      <c r="AD57" s="122">
        <v>5.0</v>
      </c>
      <c r="AE57" s="122">
        <v>24.0</v>
      </c>
      <c r="AF57" s="122">
        <v>66.0</v>
      </c>
      <c r="AG57" s="122">
        <v>53.0</v>
      </c>
      <c r="AH57" s="122">
        <v>46.0</v>
      </c>
      <c r="AI57" s="122">
        <v>25.0</v>
      </c>
      <c r="AJ57" s="122">
        <v>175.0</v>
      </c>
      <c r="AK57" s="122">
        <v>8.0</v>
      </c>
      <c r="AL57" s="122">
        <v>73.0</v>
      </c>
      <c r="AM57" s="122">
        <v>74.0</v>
      </c>
      <c r="AN57" s="122">
        <v>114.0</v>
      </c>
      <c r="AO57" s="122">
        <v>111.0</v>
      </c>
      <c r="AP57" s="140">
        <v>2896.0</v>
      </c>
    </row>
    <row r="58">
      <c r="A58" s="120" t="s">
        <v>155</v>
      </c>
      <c r="B58" s="122">
        <v>28.0</v>
      </c>
      <c r="C58" s="122">
        <v>36.0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29.0</v>
      </c>
      <c r="U58" s="122">
        <v>80.0</v>
      </c>
      <c r="V58" s="122">
        <v>0.0</v>
      </c>
      <c r="W58" s="122">
        <v>54.0</v>
      </c>
      <c r="X58" s="122">
        <v>32.0</v>
      </c>
      <c r="Y58" s="122">
        <v>91.0</v>
      </c>
      <c r="Z58" s="122">
        <v>28.0</v>
      </c>
      <c r="AA58" s="140">
        <v>178.0</v>
      </c>
      <c r="AB58" s="122">
        <v>20.0</v>
      </c>
      <c r="AC58" s="140">
        <v>495.0</v>
      </c>
      <c r="AD58" s="122">
        <v>6.0</v>
      </c>
      <c r="AE58" s="122">
        <v>20.0</v>
      </c>
      <c r="AF58" s="122">
        <v>49.0</v>
      </c>
      <c r="AG58" s="122">
        <v>50.0</v>
      </c>
      <c r="AH58" s="122">
        <v>30.0</v>
      </c>
      <c r="AI58" s="122">
        <v>15.0</v>
      </c>
      <c r="AJ58" s="122">
        <v>141.0</v>
      </c>
      <c r="AK58" s="122">
        <v>8.0</v>
      </c>
      <c r="AL58" s="122">
        <v>55.0</v>
      </c>
      <c r="AM58" s="122">
        <v>52.0</v>
      </c>
      <c r="AN58" s="122">
        <v>90.0</v>
      </c>
      <c r="AO58" s="122">
        <v>89.0</v>
      </c>
      <c r="AP58" s="140">
        <v>2394.0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69.0</v>
      </c>
      <c r="R59" s="122">
        <v>34.0</v>
      </c>
      <c r="S59" s="122">
        <v>6.0</v>
      </c>
      <c r="T59" s="122">
        <v>11.0</v>
      </c>
      <c r="U59" s="122">
        <v>49.0</v>
      </c>
      <c r="V59" s="122" t="s">
        <v>55</v>
      </c>
      <c r="W59" s="122">
        <v>41.0</v>
      </c>
      <c r="X59" s="122">
        <v>38.0</v>
      </c>
      <c r="Y59" s="122">
        <v>79.0</v>
      </c>
      <c r="Z59" s="122">
        <v>19.0</v>
      </c>
      <c r="AA59" s="122">
        <v>154.0</v>
      </c>
      <c r="AB59" s="122">
        <v>9.0</v>
      </c>
      <c r="AC59" s="122">
        <v>430.0</v>
      </c>
      <c r="AD59" s="122">
        <v>10.0</v>
      </c>
      <c r="AE59" s="122">
        <v>6.0</v>
      </c>
      <c r="AF59" s="122">
        <v>101.0</v>
      </c>
      <c r="AG59" s="122">
        <v>69.0</v>
      </c>
      <c r="AH59" s="122">
        <v>38.0</v>
      </c>
      <c r="AI59" s="122">
        <v>20.0</v>
      </c>
      <c r="AJ59" s="122">
        <v>116.0</v>
      </c>
      <c r="AK59" s="122">
        <v>8.0</v>
      </c>
      <c r="AL59" s="122">
        <v>55.0</v>
      </c>
      <c r="AM59" s="122">
        <v>45.0</v>
      </c>
      <c r="AN59" s="122">
        <v>64.0</v>
      </c>
      <c r="AO59" s="122">
        <v>84.0</v>
      </c>
      <c r="AP59" s="122">
        <v>2110.0</v>
      </c>
    </row>
    <row r="60">
      <c r="A60" s="120" t="s">
        <v>157</v>
      </c>
      <c r="B60" s="122">
        <v>27.0</v>
      </c>
      <c r="C60" s="122">
        <v>31.0</v>
      </c>
      <c r="D60" s="122">
        <v>36.0</v>
      </c>
      <c r="E60" s="122">
        <v>41.0</v>
      </c>
      <c r="F60" s="122">
        <v>15.0</v>
      </c>
      <c r="G60" s="122">
        <v>48.0</v>
      </c>
      <c r="H60" s="122">
        <v>160.0</v>
      </c>
      <c r="I60" s="122">
        <v>73.0</v>
      </c>
      <c r="J60" s="122">
        <v>40.0</v>
      </c>
      <c r="K60" s="122">
        <v>82.0</v>
      </c>
      <c r="L60" s="122">
        <v>11.0</v>
      </c>
      <c r="M60" s="122">
        <v>7.0</v>
      </c>
      <c r="N60" s="122" t="s">
        <v>55</v>
      </c>
      <c r="O60" s="122">
        <v>14.0</v>
      </c>
      <c r="P60" s="122" t="s">
        <v>55</v>
      </c>
      <c r="Q60" s="122">
        <v>65.0</v>
      </c>
      <c r="R60" s="122">
        <v>29.0</v>
      </c>
      <c r="S60" s="122">
        <v>0.0</v>
      </c>
      <c r="T60" s="122">
        <v>17.0</v>
      </c>
      <c r="U60" s="122">
        <v>63.0</v>
      </c>
      <c r="V60" s="122">
        <v>0.0</v>
      </c>
      <c r="W60" s="122">
        <v>34.0</v>
      </c>
      <c r="X60" s="122">
        <v>42.0</v>
      </c>
      <c r="Y60" s="122">
        <v>113.0</v>
      </c>
      <c r="Z60" s="122">
        <v>24.0</v>
      </c>
      <c r="AA60" s="122">
        <v>153.0</v>
      </c>
      <c r="AB60" s="122">
        <v>24.0</v>
      </c>
      <c r="AC60" s="122">
        <v>461.0</v>
      </c>
      <c r="AD60" s="122">
        <v>5.0</v>
      </c>
      <c r="AE60" s="122">
        <v>10.0</v>
      </c>
      <c r="AF60" s="122">
        <v>182.0</v>
      </c>
      <c r="AG60" s="122">
        <v>106.0</v>
      </c>
      <c r="AH60" s="122">
        <v>19.0</v>
      </c>
      <c r="AI60" s="122">
        <v>10.0</v>
      </c>
      <c r="AJ60" s="122">
        <v>151.0</v>
      </c>
      <c r="AK60" s="122">
        <v>10.0</v>
      </c>
      <c r="AL60" s="122">
        <v>45.0</v>
      </c>
      <c r="AM60" s="122">
        <v>38.0</v>
      </c>
      <c r="AN60" s="122">
        <v>64.0</v>
      </c>
      <c r="AO60" s="122">
        <v>132.0</v>
      </c>
      <c r="AP60" s="122">
        <v>2388.0</v>
      </c>
    </row>
    <row r="61">
      <c r="A61" s="120" t="s">
        <v>158</v>
      </c>
      <c r="B61" s="122">
        <v>24.0</v>
      </c>
      <c r="C61" s="122">
        <v>42.0</v>
      </c>
      <c r="D61" s="122">
        <v>28.0</v>
      </c>
      <c r="E61" s="122">
        <v>21.0</v>
      </c>
      <c r="F61" s="122">
        <v>14.0</v>
      </c>
      <c r="G61" s="122">
        <v>55.0</v>
      </c>
      <c r="H61" s="122">
        <v>188.0</v>
      </c>
      <c r="I61" s="122">
        <v>58.0</v>
      </c>
      <c r="J61" s="122">
        <v>21.0</v>
      </c>
      <c r="K61" s="122">
        <v>71.0</v>
      </c>
      <c r="L61" s="122">
        <v>7.0</v>
      </c>
      <c r="M61" s="122">
        <v>13.0</v>
      </c>
      <c r="N61" s="122">
        <v>14.0</v>
      </c>
      <c r="O61" s="122">
        <v>16.0</v>
      </c>
      <c r="P61" s="122">
        <v>5.0</v>
      </c>
      <c r="Q61" s="122">
        <v>65.0</v>
      </c>
      <c r="R61" s="122">
        <v>30.0</v>
      </c>
      <c r="S61" s="122">
        <v>6.0</v>
      </c>
      <c r="T61" s="122">
        <v>13.0</v>
      </c>
      <c r="U61" s="122">
        <v>80.0</v>
      </c>
      <c r="V61" s="122" t="s">
        <v>55</v>
      </c>
      <c r="W61" s="122">
        <v>54.0</v>
      </c>
      <c r="X61" s="122">
        <v>43.0</v>
      </c>
      <c r="Y61" s="122">
        <v>66.0</v>
      </c>
      <c r="Z61" s="122">
        <v>13.0</v>
      </c>
      <c r="AA61" s="122">
        <v>146.0</v>
      </c>
      <c r="AB61" s="122">
        <v>32.0</v>
      </c>
      <c r="AC61" s="122">
        <v>404.0</v>
      </c>
      <c r="AD61" s="122" t="s">
        <v>55</v>
      </c>
      <c r="AE61" s="122">
        <v>11.0</v>
      </c>
      <c r="AF61" s="122">
        <v>111.0</v>
      </c>
      <c r="AG61" s="122">
        <v>103.0</v>
      </c>
      <c r="AH61" s="122">
        <v>18.0</v>
      </c>
      <c r="AI61" s="122">
        <v>7.0</v>
      </c>
      <c r="AJ61" s="122">
        <v>112.0</v>
      </c>
      <c r="AK61" s="122">
        <v>13.0</v>
      </c>
      <c r="AL61" s="122">
        <v>36.0</v>
      </c>
      <c r="AM61" s="122">
        <v>39.0</v>
      </c>
      <c r="AN61" s="122">
        <v>112.0</v>
      </c>
      <c r="AO61" s="122">
        <v>105.0</v>
      </c>
      <c r="AP61" s="122">
        <v>2200.0</v>
      </c>
    </row>
    <row r="62">
      <c r="A62" s="120" t="s">
        <v>159</v>
      </c>
      <c r="B62" s="122">
        <v>32.0</v>
      </c>
      <c r="C62" s="122">
        <v>39.0</v>
      </c>
      <c r="D62" s="122">
        <v>30.0</v>
      </c>
      <c r="E62" s="122">
        <v>29.0</v>
      </c>
      <c r="F62" s="122">
        <v>19.0</v>
      </c>
      <c r="G62" s="122">
        <v>62.0</v>
      </c>
      <c r="H62" s="122">
        <v>201.0</v>
      </c>
      <c r="I62" s="122">
        <v>99.0</v>
      </c>
      <c r="J62" s="122">
        <v>21.0</v>
      </c>
      <c r="K62" s="122">
        <v>61.0</v>
      </c>
      <c r="L62" s="122">
        <v>17.0</v>
      </c>
      <c r="M62" s="122">
        <v>13.0</v>
      </c>
      <c r="N62" s="122">
        <v>18.0</v>
      </c>
      <c r="O62" s="122">
        <v>15.0</v>
      </c>
      <c r="P62" s="122" t="s">
        <v>55</v>
      </c>
      <c r="Q62" s="122">
        <v>50.0</v>
      </c>
      <c r="R62" s="122">
        <v>40.0</v>
      </c>
      <c r="S62" s="122" t="s">
        <v>55</v>
      </c>
      <c r="T62" s="122">
        <v>23.0</v>
      </c>
      <c r="U62" s="122">
        <v>53.0</v>
      </c>
      <c r="V62" s="122" t="s">
        <v>55</v>
      </c>
      <c r="W62" s="122">
        <v>42.0</v>
      </c>
      <c r="X62" s="122">
        <v>75.0</v>
      </c>
      <c r="Y62" s="122">
        <v>82.0</v>
      </c>
      <c r="Z62" s="122">
        <v>19.0</v>
      </c>
      <c r="AA62" s="122">
        <v>107.0</v>
      </c>
      <c r="AB62" s="122">
        <v>22.0</v>
      </c>
      <c r="AC62" s="122">
        <v>387.0</v>
      </c>
      <c r="AD62" s="122">
        <v>10.0</v>
      </c>
      <c r="AE62" s="122">
        <v>23.0</v>
      </c>
      <c r="AF62" s="122">
        <v>93.0</v>
      </c>
      <c r="AG62" s="122">
        <v>89.0</v>
      </c>
      <c r="AH62" s="122">
        <v>22.0</v>
      </c>
      <c r="AI62" s="122">
        <v>10.0</v>
      </c>
      <c r="AJ62" s="122">
        <v>139.0</v>
      </c>
      <c r="AK62" s="122">
        <v>17.0</v>
      </c>
      <c r="AL62" s="122">
        <v>45.0</v>
      </c>
      <c r="AM62" s="122">
        <v>41.0</v>
      </c>
      <c r="AN62" s="122">
        <v>93.0</v>
      </c>
      <c r="AO62" s="122">
        <v>101.0</v>
      </c>
      <c r="AP62" s="122">
        <v>2247.0</v>
      </c>
    </row>
    <row r="63">
      <c r="A63" s="120" t="s">
        <v>160</v>
      </c>
      <c r="B63" s="122">
        <v>20.0</v>
      </c>
      <c r="C63" s="122">
        <v>46.0</v>
      </c>
      <c r="D63" s="122">
        <v>27.0</v>
      </c>
      <c r="E63" s="122">
        <v>13.0</v>
      </c>
      <c r="F63" s="122">
        <v>12.0</v>
      </c>
      <c r="G63" s="122">
        <v>58.0</v>
      </c>
      <c r="H63" s="122">
        <v>163.0</v>
      </c>
      <c r="I63" s="122">
        <v>66.0</v>
      </c>
      <c r="J63" s="122">
        <v>25.0</v>
      </c>
      <c r="K63" s="122">
        <v>61.0</v>
      </c>
      <c r="L63" s="122">
        <v>13.0</v>
      </c>
      <c r="M63" s="122">
        <v>8.0</v>
      </c>
      <c r="N63" s="122">
        <v>25.0</v>
      </c>
      <c r="O63" s="122">
        <v>14.0</v>
      </c>
      <c r="P63" s="122">
        <v>6.0</v>
      </c>
      <c r="Q63" s="122">
        <v>60.0</v>
      </c>
      <c r="R63" s="122">
        <v>43.0</v>
      </c>
      <c r="S63" s="122" t="s">
        <v>55</v>
      </c>
      <c r="T63" s="122">
        <v>37.0</v>
      </c>
      <c r="U63" s="122">
        <v>30.0</v>
      </c>
      <c r="V63" s="122">
        <v>0.0</v>
      </c>
      <c r="W63" s="122">
        <v>59.0</v>
      </c>
      <c r="X63" s="122">
        <v>52.0</v>
      </c>
      <c r="Y63" s="122">
        <v>74.0</v>
      </c>
      <c r="Z63" s="122">
        <v>25.0</v>
      </c>
      <c r="AA63" s="122">
        <v>143.0</v>
      </c>
      <c r="AB63" s="122">
        <v>18.0</v>
      </c>
      <c r="AC63" s="122">
        <v>402.0</v>
      </c>
      <c r="AD63" s="122">
        <v>9.0</v>
      </c>
      <c r="AE63" s="122">
        <v>21.0</v>
      </c>
      <c r="AF63" s="122">
        <v>79.0</v>
      </c>
      <c r="AG63" s="122">
        <v>34.0</v>
      </c>
      <c r="AH63" s="122">
        <v>32.0</v>
      </c>
      <c r="AI63" s="122">
        <v>18.0</v>
      </c>
      <c r="AJ63" s="122">
        <v>114.0</v>
      </c>
      <c r="AK63" s="122">
        <v>9.0</v>
      </c>
      <c r="AL63" s="122">
        <v>64.0</v>
      </c>
      <c r="AM63" s="122">
        <v>49.0</v>
      </c>
      <c r="AN63" s="122">
        <v>109.0</v>
      </c>
      <c r="AO63" s="122">
        <v>115.0</v>
      </c>
      <c r="AP63" s="122">
        <v>2156.0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314</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315</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44279.0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273</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274</v>
      </c>
      <c r="C8" s="212" t="s">
        <v>275</v>
      </c>
      <c r="D8" s="212" t="s">
        <v>276</v>
      </c>
      <c r="E8" s="212" t="s">
        <v>277</v>
      </c>
      <c r="F8" s="212" t="s">
        <v>278</v>
      </c>
      <c r="G8" s="212" t="s">
        <v>279</v>
      </c>
      <c r="H8" s="212" t="s">
        <v>280</v>
      </c>
      <c r="I8" s="212" t="s">
        <v>281</v>
      </c>
      <c r="J8" s="212" t="s">
        <v>282</v>
      </c>
      <c r="K8" s="212" t="s">
        <v>283</v>
      </c>
      <c r="L8" s="212" t="s">
        <v>284</v>
      </c>
      <c r="M8" s="212" t="s">
        <v>285</v>
      </c>
      <c r="N8" s="212" t="s">
        <v>286</v>
      </c>
      <c r="O8" s="212" t="s">
        <v>287</v>
      </c>
      <c r="P8" s="212" t="s">
        <v>288</v>
      </c>
      <c r="Q8" s="212" t="s">
        <v>289</v>
      </c>
      <c r="R8" s="212" t="s">
        <v>290</v>
      </c>
      <c r="S8" s="212" t="s">
        <v>291</v>
      </c>
      <c r="T8" s="212" t="s">
        <v>292</v>
      </c>
      <c r="U8" s="212" t="s">
        <v>293</v>
      </c>
      <c r="V8" s="212" t="s">
        <v>294</v>
      </c>
      <c r="W8" s="212" t="s">
        <v>295</v>
      </c>
      <c r="X8" s="212" t="s">
        <v>296</v>
      </c>
      <c r="Y8" s="212" t="s">
        <v>297</v>
      </c>
      <c r="Z8" s="212" t="s">
        <v>298</v>
      </c>
      <c r="AA8" s="212" t="s">
        <v>299</v>
      </c>
      <c r="AB8" s="212" t="s">
        <v>300</v>
      </c>
      <c r="AC8" s="212" t="s">
        <v>301</v>
      </c>
      <c r="AD8" s="212" t="s">
        <v>302</v>
      </c>
      <c r="AE8" s="212" t="s">
        <v>303</v>
      </c>
      <c r="AF8" s="212" t="s">
        <v>304</v>
      </c>
      <c r="AG8" s="212" t="s">
        <v>305</v>
      </c>
      <c r="AH8" s="212" t="s">
        <v>306</v>
      </c>
      <c r="AI8" s="212" t="s">
        <v>307</v>
      </c>
      <c r="AJ8" s="212" t="s">
        <v>308</v>
      </c>
      <c r="AK8" s="212" t="s">
        <v>309</v>
      </c>
      <c r="AL8" s="212" t="s">
        <v>310</v>
      </c>
      <c r="AM8" s="212" t="s">
        <v>311</v>
      </c>
      <c r="AN8" s="212" t="s">
        <v>312</v>
      </c>
      <c r="AO8" s="212" t="s">
        <v>268</v>
      </c>
    </row>
    <row r="9">
      <c r="A9" s="213" t="s">
        <v>316</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165</v>
      </c>
      <c r="H10" s="137">
        <v>0.0</v>
      </c>
      <c r="I10" s="137" t="s">
        <v>165</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165</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165</v>
      </c>
    </row>
    <row r="11">
      <c r="A11" s="120" t="s">
        <v>107</v>
      </c>
      <c r="B11" s="122" t="s">
        <v>165</v>
      </c>
      <c r="C11" s="122">
        <v>0.0</v>
      </c>
      <c r="D11" s="122" t="s">
        <v>165</v>
      </c>
      <c r="E11" s="122">
        <v>0.0</v>
      </c>
      <c r="F11" s="122">
        <v>0.0</v>
      </c>
      <c r="G11" s="122">
        <v>0.0</v>
      </c>
      <c r="H11" s="122" t="s">
        <v>165</v>
      </c>
      <c r="I11" s="122">
        <v>0.0</v>
      </c>
      <c r="J11" s="122">
        <v>0.0</v>
      </c>
      <c r="K11" s="122" t="s">
        <v>165</v>
      </c>
      <c r="L11" s="122">
        <v>0.0</v>
      </c>
      <c r="M11" s="122">
        <v>0.0</v>
      </c>
      <c r="N11" s="122">
        <v>0.0</v>
      </c>
      <c r="O11" s="122">
        <v>0.0</v>
      </c>
      <c r="P11" s="122">
        <v>0.0</v>
      </c>
      <c r="Q11" s="122">
        <v>0.0</v>
      </c>
      <c r="R11" s="122" t="s">
        <v>165</v>
      </c>
      <c r="S11" s="122">
        <v>0.0</v>
      </c>
      <c r="T11" s="122" t="s">
        <v>165</v>
      </c>
      <c r="U11" s="122" t="s">
        <v>165</v>
      </c>
      <c r="V11" s="122">
        <v>0.0</v>
      </c>
      <c r="W11" s="122">
        <v>0.0</v>
      </c>
      <c r="X11" s="122">
        <v>0.0</v>
      </c>
      <c r="Y11" s="122">
        <v>0.0</v>
      </c>
      <c r="Z11" s="122">
        <v>0.0</v>
      </c>
      <c r="AA11" s="122">
        <v>0.0</v>
      </c>
      <c r="AB11" s="122">
        <v>0.0</v>
      </c>
      <c r="AC11" s="122" t="s">
        <v>165</v>
      </c>
      <c r="AD11" s="122">
        <v>0.0</v>
      </c>
      <c r="AE11" s="122" t="s">
        <v>165</v>
      </c>
      <c r="AF11" s="122">
        <v>0.0</v>
      </c>
      <c r="AG11" s="122">
        <v>0.0</v>
      </c>
      <c r="AH11" s="122">
        <v>0.0</v>
      </c>
      <c r="AI11" s="122">
        <v>0.0</v>
      </c>
      <c r="AJ11" s="122">
        <v>0.0</v>
      </c>
      <c r="AK11" s="122">
        <v>0.0</v>
      </c>
      <c r="AL11" s="122">
        <v>0.0</v>
      </c>
      <c r="AM11" s="122" t="s">
        <v>165</v>
      </c>
      <c r="AN11" s="122">
        <v>0.0</v>
      </c>
      <c r="AO11" s="122">
        <v>1.0</v>
      </c>
    </row>
    <row r="12">
      <c r="A12" s="120" t="s">
        <v>108</v>
      </c>
      <c r="B12" s="122" t="s">
        <v>165</v>
      </c>
      <c r="C12" s="122" t="s">
        <v>165</v>
      </c>
      <c r="D12" s="122">
        <v>0.0</v>
      </c>
      <c r="E12" s="122" t="s">
        <v>165</v>
      </c>
      <c r="F12" s="122">
        <v>0.0</v>
      </c>
      <c r="G12" s="122" t="s">
        <v>165</v>
      </c>
      <c r="H12" s="122" t="s">
        <v>165</v>
      </c>
      <c r="I12" s="122" t="s">
        <v>165</v>
      </c>
      <c r="J12" s="122">
        <v>0.0</v>
      </c>
      <c r="K12" s="122" t="s">
        <v>165</v>
      </c>
      <c r="L12" s="122">
        <v>0.0</v>
      </c>
      <c r="M12" s="122" t="s">
        <v>165</v>
      </c>
      <c r="N12" s="122">
        <v>0.0</v>
      </c>
      <c r="O12" s="122">
        <v>0.0</v>
      </c>
      <c r="P12" s="122" t="s">
        <v>165</v>
      </c>
      <c r="Q12" s="122" t="s">
        <v>165</v>
      </c>
      <c r="R12" s="122">
        <v>0.0</v>
      </c>
      <c r="S12" s="122" t="s">
        <v>165</v>
      </c>
      <c r="T12" s="122" t="s">
        <v>165</v>
      </c>
      <c r="U12" s="122">
        <v>0.0</v>
      </c>
      <c r="V12" s="122">
        <v>0.0</v>
      </c>
      <c r="W12" s="122" t="s">
        <v>165</v>
      </c>
      <c r="X12" s="122">
        <v>0.0</v>
      </c>
      <c r="Y12" s="122">
        <v>0.0</v>
      </c>
      <c r="Z12" s="122" t="s">
        <v>165</v>
      </c>
      <c r="AA12" s="122" t="s">
        <v>165</v>
      </c>
      <c r="AB12" s="122" t="s">
        <v>165</v>
      </c>
      <c r="AC12" s="122">
        <v>14.0</v>
      </c>
      <c r="AD12" s="122">
        <v>0.0</v>
      </c>
      <c r="AE12" s="122" t="s">
        <v>165</v>
      </c>
      <c r="AF12" s="122">
        <v>0.0</v>
      </c>
      <c r="AG12" s="122" t="s">
        <v>165</v>
      </c>
      <c r="AH12" s="122">
        <v>0.0</v>
      </c>
      <c r="AI12" s="122" t="s">
        <v>165</v>
      </c>
      <c r="AJ12" s="122" t="s">
        <v>165</v>
      </c>
      <c r="AK12" s="122">
        <v>0.0</v>
      </c>
      <c r="AL12" s="122">
        <v>0.0</v>
      </c>
      <c r="AM12" s="122" t="s">
        <v>165</v>
      </c>
      <c r="AN12" s="122">
        <v>0.0</v>
      </c>
      <c r="AO12" s="122">
        <v>6.0</v>
      </c>
    </row>
    <row r="13">
      <c r="A13" s="120" t="s">
        <v>109</v>
      </c>
      <c r="B13" s="122">
        <v>31.0</v>
      </c>
      <c r="C13" s="122" t="s">
        <v>165</v>
      </c>
      <c r="D13" s="122">
        <v>30.0</v>
      </c>
      <c r="E13" s="122" t="s">
        <v>165</v>
      </c>
      <c r="F13" s="122" t="s">
        <v>165</v>
      </c>
      <c r="G13" s="122" t="s">
        <v>165</v>
      </c>
      <c r="H13" s="122">
        <v>33.0</v>
      </c>
      <c r="I13" s="122">
        <v>17.0</v>
      </c>
      <c r="J13" s="122">
        <v>0.0</v>
      </c>
      <c r="K13" s="122">
        <v>17.0</v>
      </c>
      <c r="L13" s="122" t="s">
        <v>165</v>
      </c>
      <c r="M13" s="122">
        <v>0.0</v>
      </c>
      <c r="N13" s="122">
        <v>0.0</v>
      </c>
      <c r="O13" s="122" t="s">
        <v>165</v>
      </c>
      <c r="P13" s="122">
        <v>0.0</v>
      </c>
      <c r="Q13" s="122" t="s">
        <v>165</v>
      </c>
      <c r="R13" s="122" t="s">
        <v>165</v>
      </c>
      <c r="S13" s="122">
        <v>0.0</v>
      </c>
      <c r="T13" s="122">
        <v>0.0</v>
      </c>
      <c r="U13" s="122" t="s">
        <v>165</v>
      </c>
      <c r="V13" s="122">
        <v>0.0</v>
      </c>
      <c r="W13" s="122" t="s">
        <v>165</v>
      </c>
      <c r="X13" s="122">
        <v>27.0</v>
      </c>
      <c r="Y13" s="122">
        <v>15.0</v>
      </c>
      <c r="Z13" s="122" t="s">
        <v>165</v>
      </c>
      <c r="AA13" s="122">
        <v>22.0</v>
      </c>
      <c r="AB13" s="122" t="s">
        <v>165</v>
      </c>
      <c r="AC13" s="122">
        <v>26.0</v>
      </c>
      <c r="AD13" s="122">
        <v>0.0</v>
      </c>
      <c r="AE13" s="122">
        <v>47.0</v>
      </c>
      <c r="AF13" s="122" t="s">
        <v>165</v>
      </c>
      <c r="AG13" s="122" t="s">
        <v>165</v>
      </c>
      <c r="AH13" s="122">
        <v>38.0</v>
      </c>
      <c r="AI13" s="122">
        <v>0.0</v>
      </c>
      <c r="AJ13" s="122">
        <v>17.0</v>
      </c>
      <c r="AK13" s="122">
        <v>0.0</v>
      </c>
      <c r="AL13" s="122">
        <v>21.0</v>
      </c>
      <c r="AM13" s="122" t="s">
        <v>165</v>
      </c>
      <c r="AN13" s="122" t="s">
        <v>165</v>
      </c>
      <c r="AO13" s="122">
        <v>19.0</v>
      </c>
    </row>
    <row r="14">
      <c r="A14" s="120" t="s">
        <v>110</v>
      </c>
      <c r="B14" s="122" t="s">
        <v>165</v>
      </c>
      <c r="C14" s="122">
        <v>27.0</v>
      </c>
      <c r="D14" s="122">
        <v>36.0</v>
      </c>
      <c r="E14" s="122">
        <v>52.0</v>
      </c>
      <c r="F14" s="122" t="s">
        <v>165</v>
      </c>
      <c r="G14" s="122">
        <v>35.0</v>
      </c>
      <c r="H14" s="122">
        <v>49.0</v>
      </c>
      <c r="I14" s="122">
        <v>46.0</v>
      </c>
      <c r="J14" s="122">
        <v>38.0</v>
      </c>
      <c r="K14" s="122">
        <v>30.0</v>
      </c>
      <c r="L14" s="122" t="s">
        <v>165</v>
      </c>
      <c r="M14" s="122">
        <v>0.0</v>
      </c>
      <c r="N14" s="122" t="s">
        <v>165</v>
      </c>
      <c r="O14" s="122" t="s">
        <v>165</v>
      </c>
      <c r="P14" s="122" t="s">
        <v>165</v>
      </c>
      <c r="Q14" s="122">
        <v>38.0</v>
      </c>
      <c r="R14" s="122">
        <v>42.0</v>
      </c>
      <c r="S14" s="122" t="s">
        <v>165</v>
      </c>
      <c r="T14" s="122" t="s">
        <v>165</v>
      </c>
      <c r="U14" s="122" t="s">
        <v>165</v>
      </c>
      <c r="V14" s="122" t="s">
        <v>165</v>
      </c>
      <c r="W14" s="122">
        <v>24.0</v>
      </c>
      <c r="X14" s="122">
        <v>31.0</v>
      </c>
      <c r="Y14" s="122">
        <v>80.0</v>
      </c>
      <c r="Z14" s="122" t="s">
        <v>165</v>
      </c>
      <c r="AA14" s="122">
        <v>77.0</v>
      </c>
      <c r="AB14" s="122">
        <v>40.0</v>
      </c>
      <c r="AC14" s="122">
        <v>63.0</v>
      </c>
      <c r="AD14" s="122">
        <v>0.0</v>
      </c>
      <c r="AE14" s="122" t="s">
        <v>165</v>
      </c>
      <c r="AF14" s="122">
        <v>37.0</v>
      </c>
      <c r="AG14" s="122">
        <v>26.0</v>
      </c>
      <c r="AH14" s="122">
        <v>32.0</v>
      </c>
      <c r="AI14" s="122" t="s">
        <v>165</v>
      </c>
      <c r="AJ14" s="122">
        <v>35.0</v>
      </c>
      <c r="AK14" s="122" t="s">
        <v>165</v>
      </c>
      <c r="AL14" s="122">
        <v>52.0</v>
      </c>
      <c r="AM14" s="122">
        <v>40.0</v>
      </c>
      <c r="AN14" s="122">
        <v>26.0</v>
      </c>
      <c r="AO14" s="122">
        <v>46.0</v>
      </c>
    </row>
    <row r="15">
      <c r="A15" s="120" t="s">
        <v>111</v>
      </c>
      <c r="B15" s="122">
        <v>37.0</v>
      </c>
      <c r="C15" s="122">
        <v>45.0</v>
      </c>
      <c r="D15" s="122">
        <v>85.0</v>
      </c>
      <c r="E15" s="122">
        <v>242.0</v>
      </c>
      <c r="F15" s="122" t="s">
        <v>165</v>
      </c>
      <c r="G15" s="122">
        <v>67.0</v>
      </c>
      <c r="H15" s="122">
        <v>133.0</v>
      </c>
      <c r="I15" s="122">
        <v>118.0</v>
      </c>
      <c r="J15" s="122">
        <v>92.0</v>
      </c>
      <c r="K15" s="122">
        <v>124.0</v>
      </c>
      <c r="L15" s="122" t="s">
        <v>165</v>
      </c>
      <c r="M15" s="122">
        <v>107.0</v>
      </c>
      <c r="N15" s="122" t="s">
        <v>165</v>
      </c>
      <c r="O15" s="122" t="s">
        <v>165</v>
      </c>
      <c r="P15" s="122" t="s">
        <v>165</v>
      </c>
      <c r="Q15" s="122">
        <v>130.0</v>
      </c>
      <c r="R15" s="122">
        <v>88.0</v>
      </c>
      <c r="S15" s="122" t="s">
        <v>165</v>
      </c>
      <c r="T15" s="122">
        <v>37.0</v>
      </c>
      <c r="U15" s="122">
        <v>84.0</v>
      </c>
      <c r="V15" s="122">
        <v>0.0</v>
      </c>
      <c r="W15" s="122">
        <v>32.0</v>
      </c>
      <c r="X15" s="122">
        <v>80.0</v>
      </c>
      <c r="Y15" s="122">
        <v>176.0</v>
      </c>
      <c r="Z15" s="122">
        <v>40.0</v>
      </c>
      <c r="AA15" s="122">
        <v>198.0</v>
      </c>
      <c r="AB15" s="122" t="s">
        <v>165</v>
      </c>
      <c r="AC15" s="122">
        <v>292.0</v>
      </c>
      <c r="AD15" s="122" t="s">
        <v>165</v>
      </c>
      <c r="AE15" s="122">
        <v>57.0</v>
      </c>
      <c r="AF15" s="122">
        <v>74.0</v>
      </c>
      <c r="AG15" s="122">
        <v>62.0</v>
      </c>
      <c r="AH15" s="122">
        <v>89.0</v>
      </c>
      <c r="AI15" s="122" t="s">
        <v>165</v>
      </c>
      <c r="AJ15" s="122">
        <v>78.0</v>
      </c>
      <c r="AK15" s="122" t="s">
        <v>165</v>
      </c>
      <c r="AL15" s="122">
        <v>73.0</v>
      </c>
      <c r="AM15" s="122">
        <v>35.0</v>
      </c>
      <c r="AN15" s="122">
        <v>89.0</v>
      </c>
      <c r="AO15" s="122">
        <v>136.0</v>
      </c>
    </row>
    <row r="16">
      <c r="A16" s="120" t="s">
        <v>112</v>
      </c>
      <c r="B16" s="122" t="s">
        <v>165</v>
      </c>
      <c r="C16" s="122">
        <v>54.0</v>
      </c>
      <c r="D16" s="122">
        <v>55.0</v>
      </c>
      <c r="E16" s="122">
        <v>573.0</v>
      </c>
      <c r="F16" s="122" t="s">
        <v>165</v>
      </c>
      <c r="G16" s="122">
        <v>49.0</v>
      </c>
      <c r="H16" s="122">
        <v>170.0</v>
      </c>
      <c r="I16" s="122">
        <v>81.0</v>
      </c>
      <c r="J16" s="122">
        <v>38.0</v>
      </c>
      <c r="K16" s="122">
        <v>105.0</v>
      </c>
      <c r="L16" s="122" t="s">
        <v>165</v>
      </c>
      <c r="M16" s="122" t="s">
        <v>165</v>
      </c>
      <c r="N16" s="122">
        <v>60.0</v>
      </c>
      <c r="O16" s="122" t="s">
        <v>165</v>
      </c>
      <c r="P16" s="122" t="s">
        <v>165</v>
      </c>
      <c r="Q16" s="122">
        <v>133.0</v>
      </c>
      <c r="R16" s="122">
        <v>92.0</v>
      </c>
      <c r="S16" s="122" t="s">
        <v>165</v>
      </c>
      <c r="T16" s="122" t="s">
        <v>165</v>
      </c>
      <c r="U16" s="122" t="s">
        <v>165</v>
      </c>
      <c r="V16" s="122">
        <v>0.0</v>
      </c>
      <c r="W16" s="122">
        <v>0.0</v>
      </c>
      <c r="X16" s="122">
        <v>27.0</v>
      </c>
      <c r="Y16" s="122">
        <v>250.0</v>
      </c>
      <c r="Z16" s="122" t="s">
        <v>165</v>
      </c>
      <c r="AA16" s="122">
        <v>284.0</v>
      </c>
      <c r="AB16" s="122" t="s">
        <v>165</v>
      </c>
      <c r="AC16" s="122">
        <v>347.0</v>
      </c>
      <c r="AD16" s="122" t="s">
        <v>165</v>
      </c>
      <c r="AE16" s="122">
        <v>57.0</v>
      </c>
      <c r="AF16" s="122">
        <v>32.0</v>
      </c>
      <c r="AG16" s="122">
        <v>29.0</v>
      </c>
      <c r="AH16" s="122">
        <v>57.0</v>
      </c>
      <c r="AI16" s="122" t="s">
        <v>165</v>
      </c>
      <c r="AJ16" s="122">
        <v>76.0</v>
      </c>
      <c r="AK16" s="122" t="s">
        <v>165</v>
      </c>
      <c r="AL16" s="122">
        <v>107.0</v>
      </c>
      <c r="AM16" s="122">
        <v>27.0</v>
      </c>
      <c r="AN16" s="122">
        <v>118.0</v>
      </c>
      <c r="AO16" s="122">
        <v>152.0</v>
      </c>
    </row>
    <row r="17">
      <c r="A17" s="120" t="s">
        <v>113</v>
      </c>
      <c r="B17" s="122">
        <v>37.0</v>
      </c>
      <c r="C17" s="122">
        <v>54.0</v>
      </c>
      <c r="D17" s="122">
        <v>61.0</v>
      </c>
      <c r="E17" s="122">
        <v>862.0</v>
      </c>
      <c r="F17" s="122" t="s">
        <v>165</v>
      </c>
      <c r="G17" s="122">
        <v>46.0</v>
      </c>
      <c r="H17" s="122">
        <v>150.0</v>
      </c>
      <c r="I17" s="122">
        <v>98.0</v>
      </c>
      <c r="J17" s="122">
        <v>92.0</v>
      </c>
      <c r="K17" s="122">
        <v>103.0</v>
      </c>
      <c r="L17" s="122">
        <v>74.0</v>
      </c>
      <c r="M17" s="122" t="s">
        <v>165</v>
      </c>
      <c r="N17" s="122">
        <v>60.0</v>
      </c>
      <c r="O17" s="122">
        <v>62.0</v>
      </c>
      <c r="P17" s="122" t="s">
        <v>165</v>
      </c>
      <c r="Q17" s="122">
        <v>147.0</v>
      </c>
      <c r="R17" s="122">
        <v>97.0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165</v>
      </c>
      <c r="AL17" s="122">
        <v>117.0</v>
      </c>
      <c r="AM17" s="122">
        <v>62.0</v>
      </c>
      <c r="AN17" s="122">
        <v>118.0</v>
      </c>
      <c r="AO17" s="122">
        <v>189.0</v>
      </c>
    </row>
    <row r="18">
      <c r="A18" s="120" t="s">
        <v>114</v>
      </c>
      <c r="B18" s="122" t="s">
        <v>165</v>
      </c>
      <c r="C18" s="122">
        <v>36.0</v>
      </c>
      <c r="D18" s="122">
        <v>61.0</v>
      </c>
      <c r="E18" s="122">
        <v>681.0</v>
      </c>
      <c r="F18" s="122">
        <v>64.0</v>
      </c>
      <c r="G18" s="122">
        <v>35.0</v>
      </c>
      <c r="H18" s="122">
        <v>135.0</v>
      </c>
      <c r="I18" s="122">
        <v>58.0</v>
      </c>
      <c r="J18" s="122">
        <v>84.0</v>
      </c>
      <c r="K18" s="122">
        <v>89.0</v>
      </c>
      <c r="L18" s="122" t="s">
        <v>165</v>
      </c>
      <c r="M18" s="122" t="s">
        <v>165</v>
      </c>
      <c r="N18" s="122" t="s">
        <v>165</v>
      </c>
      <c r="O18" s="122">
        <v>0.0</v>
      </c>
      <c r="P18" s="122">
        <v>0.0</v>
      </c>
      <c r="Q18" s="122">
        <v>89.0</v>
      </c>
      <c r="R18" s="122">
        <v>88.0</v>
      </c>
      <c r="S18" s="122">
        <v>0.0</v>
      </c>
      <c r="T18" s="122" t="s">
        <v>165</v>
      </c>
      <c r="U18" s="122" t="s">
        <v>165</v>
      </c>
      <c r="V18" s="122">
        <v>0.0</v>
      </c>
      <c r="W18" s="122">
        <v>32.0</v>
      </c>
      <c r="X18" s="122">
        <v>19.0</v>
      </c>
      <c r="Y18" s="122">
        <v>176.0</v>
      </c>
      <c r="Z18" s="122" t="s">
        <v>165</v>
      </c>
      <c r="AA18" s="122">
        <v>279.0</v>
      </c>
      <c r="AB18" s="122" t="s">
        <v>165</v>
      </c>
      <c r="AC18" s="122">
        <v>389.0</v>
      </c>
      <c r="AD18" s="122">
        <v>66.0</v>
      </c>
      <c r="AE18" s="122" t="s">
        <v>165</v>
      </c>
      <c r="AF18" s="122">
        <v>51.0</v>
      </c>
      <c r="AG18" s="122" t="s">
        <v>165</v>
      </c>
      <c r="AH18" s="122">
        <v>44.0</v>
      </c>
      <c r="AI18" s="122" t="s">
        <v>165</v>
      </c>
      <c r="AJ18" s="122">
        <v>70.0</v>
      </c>
      <c r="AK18" s="122" t="s">
        <v>165</v>
      </c>
      <c r="AL18" s="122">
        <v>83.0</v>
      </c>
      <c r="AM18" s="122">
        <v>31.0</v>
      </c>
      <c r="AN18" s="122">
        <v>130.0</v>
      </c>
      <c r="AO18" s="122">
        <v>155.0</v>
      </c>
    </row>
    <row r="19">
      <c r="A19" s="120" t="s">
        <v>115</v>
      </c>
      <c r="B19" s="122" t="s">
        <v>165</v>
      </c>
      <c r="C19" s="122">
        <v>45.0</v>
      </c>
      <c r="D19" s="122" t="s">
        <v>165</v>
      </c>
      <c r="E19" s="122">
        <v>650.0</v>
      </c>
      <c r="F19" s="122" t="s">
        <v>165</v>
      </c>
      <c r="G19" s="122">
        <v>35.0</v>
      </c>
      <c r="H19" s="122">
        <v>100.0</v>
      </c>
      <c r="I19" s="122">
        <v>61.0</v>
      </c>
      <c r="J19" s="122">
        <v>54.0</v>
      </c>
      <c r="K19" s="122">
        <v>105.0</v>
      </c>
      <c r="L19" s="122">
        <v>88.0</v>
      </c>
      <c r="M19" s="122" t="s">
        <v>165</v>
      </c>
      <c r="N19" s="122" t="s">
        <v>165</v>
      </c>
      <c r="O19" s="122" t="s">
        <v>165</v>
      </c>
      <c r="P19" s="122" t="s">
        <v>165</v>
      </c>
      <c r="Q19" s="122">
        <v>113.0</v>
      </c>
      <c r="R19" s="122">
        <v>92.0</v>
      </c>
      <c r="S19" s="122" t="s">
        <v>165</v>
      </c>
      <c r="T19" s="122" t="s">
        <v>165</v>
      </c>
      <c r="U19" s="122" t="s">
        <v>165</v>
      </c>
      <c r="V19" s="122">
        <v>0.0</v>
      </c>
      <c r="W19" s="122">
        <v>32.0</v>
      </c>
      <c r="X19" s="122">
        <v>31.0</v>
      </c>
      <c r="Y19" s="122">
        <v>139.0</v>
      </c>
      <c r="Z19" s="122" t="s">
        <v>165</v>
      </c>
      <c r="AA19" s="122">
        <v>269.0</v>
      </c>
      <c r="AB19" s="122" t="s">
        <v>165</v>
      </c>
      <c r="AC19" s="122">
        <v>302.0</v>
      </c>
      <c r="AD19" s="122" t="s">
        <v>165</v>
      </c>
      <c r="AE19" s="122" t="s">
        <v>165</v>
      </c>
      <c r="AF19" s="122">
        <v>51.0</v>
      </c>
      <c r="AG19" s="122" t="s">
        <v>165</v>
      </c>
      <c r="AH19" s="122">
        <v>32.0</v>
      </c>
      <c r="AI19" s="122" t="s">
        <v>165</v>
      </c>
      <c r="AJ19" s="122">
        <v>57.0</v>
      </c>
      <c r="AK19" s="122">
        <v>0.0</v>
      </c>
      <c r="AL19" s="122">
        <v>97.0</v>
      </c>
      <c r="AM19" s="122" t="s">
        <v>165</v>
      </c>
      <c r="AN19" s="122">
        <v>137.0</v>
      </c>
      <c r="AO19" s="122">
        <v>131.0</v>
      </c>
    </row>
    <row r="20">
      <c r="A20" s="120" t="s">
        <v>116</v>
      </c>
      <c r="B20" s="122">
        <v>43.0</v>
      </c>
      <c r="C20" s="122">
        <v>27.0</v>
      </c>
      <c r="D20" s="122" t="s">
        <v>165</v>
      </c>
      <c r="E20" s="122">
        <v>480.0</v>
      </c>
      <c r="F20" s="122">
        <v>0.0</v>
      </c>
      <c r="G20" s="122">
        <v>38.0</v>
      </c>
      <c r="H20" s="122">
        <v>94.0</v>
      </c>
      <c r="I20" s="122">
        <v>32.0</v>
      </c>
      <c r="J20" s="122">
        <v>46.0</v>
      </c>
      <c r="K20" s="122">
        <v>76.0</v>
      </c>
      <c r="L20" s="122" t="s">
        <v>165</v>
      </c>
      <c r="M20" s="122" t="s">
        <v>165</v>
      </c>
      <c r="N20" s="122">
        <v>89.0</v>
      </c>
      <c r="O20" s="122" t="s">
        <v>165</v>
      </c>
      <c r="P20" s="122">
        <v>0.0</v>
      </c>
      <c r="Q20" s="122">
        <v>79.0</v>
      </c>
      <c r="R20" s="122">
        <v>60.0</v>
      </c>
      <c r="S20" s="122">
        <v>0.0</v>
      </c>
      <c r="T20" s="122">
        <v>0.0</v>
      </c>
      <c r="U20" s="122" t="s">
        <v>165</v>
      </c>
      <c r="V20" s="122">
        <v>0.0</v>
      </c>
      <c r="W20" s="122" t="s">
        <v>165</v>
      </c>
      <c r="X20" s="122">
        <v>19.0</v>
      </c>
      <c r="Y20" s="122">
        <v>145.0</v>
      </c>
      <c r="Z20" s="122">
        <v>73.0</v>
      </c>
      <c r="AA20" s="122">
        <v>164.0</v>
      </c>
      <c r="AB20" s="122" t="s">
        <v>165</v>
      </c>
      <c r="AC20" s="122">
        <v>268.0</v>
      </c>
      <c r="AD20" s="122" t="s">
        <v>165</v>
      </c>
      <c r="AE20" s="122">
        <v>47.0</v>
      </c>
      <c r="AF20" s="122">
        <v>55.0</v>
      </c>
      <c r="AG20" s="122" t="s">
        <v>165</v>
      </c>
      <c r="AH20" s="122">
        <v>44.0</v>
      </c>
      <c r="AI20" s="122">
        <v>133.0</v>
      </c>
      <c r="AJ20" s="122">
        <v>43.0</v>
      </c>
      <c r="AK20" s="122" t="s">
        <v>165</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165</v>
      </c>
      <c r="K21" s="122">
        <v>36.0</v>
      </c>
      <c r="L21" s="122" t="s">
        <v>165</v>
      </c>
      <c r="M21" s="122" t="s">
        <v>165</v>
      </c>
      <c r="N21" s="122" t="s">
        <v>165</v>
      </c>
      <c r="O21" s="122" t="s">
        <v>165</v>
      </c>
      <c r="P21" s="122" t="s">
        <v>165</v>
      </c>
      <c r="Q21" s="122">
        <v>62.0</v>
      </c>
      <c r="R21" s="122">
        <v>51.0</v>
      </c>
      <c r="S21" s="122" t="s">
        <v>165</v>
      </c>
      <c r="T21" s="122" t="s">
        <v>165</v>
      </c>
      <c r="U21" s="122" t="s">
        <v>165</v>
      </c>
      <c r="V21" s="122">
        <v>0.0</v>
      </c>
      <c r="W21" s="122" t="s">
        <v>165</v>
      </c>
      <c r="X21" s="122">
        <v>19.0</v>
      </c>
      <c r="Y21" s="122">
        <v>80.0</v>
      </c>
      <c r="Z21" s="122">
        <v>49.0</v>
      </c>
      <c r="AA21" s="122">
        <v>155.0</v>
      </c>
      <c r="AB21" s="122">
        <v>40.0</v>
      </c>
      <c r="AC21" s="122">
        <v>227.0</v>
      </c>
      <c r="AD21" s="122" t="s">
        <v>165</v>
      </c>
      <c r="AE21" s="122" t="s">
        <v>165</v>
      </c>
      <c r="AF21" s="122">
        <v>28.0</v>
      </c>
      <c r="AG21" s="122" t="s">
        <v>165</v>
      </c>
      <c r="AH21" s="122">
        <v>57.0</v>
      </c>
      <c r="AI21" s="122">
        <v>48.0</v>
      </c>
      <c r="AJ21" s="122">
        <v>43.0</v>
      </c>
      <c r="AK21" s="122" t="s">
        <v>165</v>
      </c>
      <c r="AL21" s="122">
        <v>41.0</v>
      </c>
      <c r="AM21" s="122" t="s">
        <v>165</v>
      </c>
      <c r="AN21" s="122">
        <v>89.0</v>
      </c>
      <c r="AO21" s="122">
        <v>91.0</v>
      </c>
    </row>
    <row r="22">
      <c r="A22" s="120" t="s">
        <v>118</v>
      </c>
      <c r="B22" s="122" t="s">
        <v>165</v>
      </c>
      <c r="C22" s="122">
        <v>31.0</v>
      </c>
      <c r="D22" s="122" t="s">
        <v>165</v>
      </c>
      <c r="E22" s="122">
        <v>155.0</v>
      </c>
      <c r="F22" s="122" t="s">
        <v>165</v>
      </c>
      <c r="G22" s="122">
        <v>29.0</v>
      </c>
      <c r="H22" s="122">
        <v>60.0</v>
      </c>
      <c r="I22" s="122">
        <v>14.0</v>
      </c>
      <c r="J22" s="122">
        <v>0.0</v>
      </c>
      <c r="K22" s="122">
        <v>42.0</v>
      </c>
      <c r="L22" s="122">
        <v>0.0</v>
      </c>
      <c r="M22" s="122" t="s">
        <v>165</v>
      </c>
      <c r="N22" s="122" t="s">
        <v>165</v>
      </c>
      <c r="O22" s="122">
        <v>0.0</v>
      </c>
      <c r="P22" s="122" t="s">
        <v>165</v>
      </c>
      <c r="Q22" s="122">
        <v>116.0</v>
      </c>
      <c r="R22" s="122">
        <v>42.0</v>
      </c>
      <c r="S22" s="122">
        <v>0.0</v>
      </c>
      <c r="T22" s="122">
        <v>31.0</v>
      </c>
      <c r="U22" s="122" t="s">
        <v>165</v>
      </c>
      <c r="V22" s="122">
        <v>0.0</v>
      </c>
      <c r="W22" s="122">
        <v>36.0</v>
      </c>
      <c r="X22" s="122">
        <v>23.0</v>
      </c>
      <c r="Y22" s="122">
        <v>49.0</v>
      </c>
      <c r="Z22" s="122" t="s">
        <v>165</v>
      </c>
      <c r="AA22" s="122">
        <v>102.0</v>
      </c>
      <c r="AB22" s="122">
        <v>34.0</v>
      </c>
      <c r="AC22" s="122">
        <v>186.0</v>
      </c>
      <c r="AD22" s="122" t="s">
        <v>165</v>
      </c>
      <c r="AE22" s="122" t="s">
        <v>165</v>
      </c>
      <c r="AF22" s="122">
        <v>0.0</v>
      </c>
      <c r="AG22" s="122">
        <v>0.0</v>
      </c>
      <c r="AH22" s="122" t="s">
        <v>165</v>
      </c>
      <c r="AI22" s="122">
        <v>0.0</v>
      </c>
      <c r="AJ22" s="122">
        <v>25.0</v>
      </c>
      <c r="AK22" s="122" t="s">
        <v>165</v>
      </c>
      <c r="AL22" s="122">
        <v>31.0</v>
      </c>
      <c r="AM22" s="122" t="s">
        <v>165</v>
      </c>
      <c r="AN22" s="122">
        <v>91.0</v>
      </c>
      <c r="AO22" s="122">
        <v>68.0</v>
      </c>
    </row>
    <row r="23">
      <c r="A23" s="120" t="s">
        <v>119</v>
      </c>
      <c r="B23" s="122" t="s">
        <v>165</v>
      </c>
      <c r="C23" s="122" t="s">
        <v>165</v>
      </c>
      <c r="D23" s="122" t="s">
        <v>165</v>
      </c>
      <c r="E23" s="122">
        <v>150.0</v>
      </c>
      <c r="F23" s="122">
        <v>0.0</v>
      </c>
      <c r="G23" s="122" t="s">
        <v>165</v>
      </c>
      <c r="H23" s="122">
        <v>44.0</v>
      </c>
      <c r="I23" s="122">
        <v>32.0</v>
      </c>
      <c r="J23" s="122" t="s">
        <v>165</v>
      </c>
      <c r="K23" s="122">
        <v>25.0</v>
      </c>
      <c r="L23" s="122" t="s">
        <v>165</v>
      </c>
      <c r="M23" s="122">
        <v>0.0</v>
      </c>
      <c r="N23" s="122" t="s">
        <v>165</v>
      </c>
      <c r="O23" s="122">
        <v>0.0</v>
      </c>
      <c r="P23" s="122" t="s">
        <v>165</v>
      </c>
      <c r="Q23" s="122">
        <v>41.0</v>
      </c>
      <c r="R23" s="122" t="s">
        <v>165</v>
      </c>
      <c r="S23" s="122">
        <v>0.0</v>
      </c>
      <c r="T23" s="122" t="s">
        <v>165</v>
      </c>
      <c r="U23" s="122" t="s">
        <v>165</v>
      </c>
      <c r="V23" s="122">
        <v>0.0</v>
      </c>
      <c r="W23" s="122" t="s">
        <v>165</v>
      </c>
      <c r="X23" s="122" t="s">
        <v>165</v>
      </c>
      <c r="Y23" s="122">
        <v>59.0</v>
      </c>
      <c r="Z23" s="122" t="s">
        <v>165</v>
      </c>
      <c r="AA23" s="122">
        <v>71.0</v>
      </c>
      <c r="AB23" s="122">
        <v>29.0</v>
      </c>
      <c r="AC23" s="122">
        <v>144.0</v>
      </c>
      <c r="AD23" s="122">
        <v>0.0</v>
      </c>
      <c r="AE23" s="122" t="s">
        <v>165</v>
      </c>
      <c r="AF23" s="122" t="s">
        <v>165</v>
      </c>
      <c r="AG23" s="122">
        <v>0.0</v>
      </c>
      <c r="AH23" s="122" t="s">
        <v>165</v>
      </c>
      <c r="AI23" s="122" t="s">
        <v>165</v>
      </c>
      <c r="AJ23" s="122">
        <v>23.0</v>
      </c>
      <c r="AK23" s="122">
        <v>0.0</v>
      </c>
      <c r="AL23" s="122">
        <v>31.0</v>
      </c>
      <c r="AM23" s="122">
        <v>0.0</v>
      </c>
      <c r="AN23" s="122">
        <v>60.0</v>
      </c>
      <c r="AO23" s="122">
        <v>50.0</v>
      </c>
    </row>
    <row r="24">
      <c r="A24" s="120" t="s">
        <v>120</v>
      </c>
      <c r="B24" s="122" t="s">
        <v>165</v>
      </c>
      <c r="C24" s="122" t="s">
        <v>165</v>
      </c>
      <c r="D24" s="122" t="s">
        <v>165</v>
      </c>
      <c r="E24" s="122">
        <v>119.0</v>
      </c>
      <c r="F24" s="122" t="s">
        <v>165</v>
      </c>
      <c r="G24" s="122" t="s">
        <v>165</v>
      </c>
      <c r="H24" s="122">
        <v>39.0</v>
      </c>
      <c r="I24" s="122">
        <v>26.0</v>
      </c>
      <c r="J24" s="122" t="s">
        <v>165</v>
      </c>
      <c r="K24" s="122">
        <v>25.0</v>
      </c>
      <c r="L24" s="122" t="s">
        <v>165</v>
      </c>
      <c r="M24" s="122">
        <v>0.0</v>
      </c>
      <c r="N24" s="122" t="s">
        <v>165</v>
      </c>
      <c r="O24" s="122">
        <v>0.0</v>
      </c>
      <c r="P24" s="122">
        <v>0.0</v>
      </c>
      <c r="Q24" s="122">
        <v>51.0</v>
      </c>
      <c r="R24" s="122">
        <v>28.0</v>
      </c>
      <c r="S24" s="122">
        <v>0.0</v>
      </c>
      <c r="T24" s="122" t="s">
        <v>165</v>
      </c>
      <c r="U24" s="122">
        <v>0.0</v>
      </c>
      <c r="V24" s="122">
        <v>0.0</v>
      </c>
      <c r="W24" s="122" t="s">
        <v>165</v>
      </c>
      <c r="X24" s="122" t="s">
        <v>165</v>
      </c>
      <c r="Y24" s="122">
        <v>28.0</v>
      </c>
      <c r="Z24" s="122">
        <v>49.0</v>
      </c>
      <c r="AA24" s="122">
        <v>56.0</v>
      </c>
      <c r="AB24" s="122">
        <v>0.0</v>
      </c>
      <c r="AC24" s="122">
        <v>88.0</v>
      </c>
      <c r="AD24" s="122">
        <v>0.0</v>
      </c>
      <c r="AE24" s="122" t="s">
        <v>165</v>
      </c>
      <c r="AF24" s="122" t="s">
        <v>165</v>
      </c>
      <c r="AG24" s="122">
        <v>0.0</v>
      </c>
      <c r="AH24" s="122" t="s">
        <v>165</v>
      </c>
      <c r="AI24" s="122" t="s">
        <v>165</v>
      </c>
      <c r="AJ24" s="122">
        <v>11.0</v>
      </c>
      <c r="AK24" s="122">
        <v>0.0</v>
      </c>
      <c r="AL24" s="122" t="s">
        <v>165</v>
      </c>
      <c r="AM24" s="122">
        <v>0.0</v>
      </c>
      <c r="AN24" s="122">
        <v>46.0</v>
      </c>
      <c r="AO24" s="122">
        <v>35.0</v>
      </c>
    </row>
    <row r="25">
      <c r="A25" s="120" t="s">
        <v>121</v>
      </c>
      <c r="B25" s="122">
        <v>0.0</v>
      </c>
      <c r="C25" s="122" t="s">
        <v>165</v>
      </c>
      <c r="D25" s="122" t="s">
        <v>165</v>
      </c>
      <c r="E25" s="122">
        <v>108.0</v>
      </c>
      <c r="F25" s="122" t="s">
        <v>165</v>
      </c>
      <c r="G25" s="122">
        <v>0.0</v>
      </c>
      <c r="H25" s="122">
        <v>22.0</v>
      </c>
      <c r="I25" s="122" t="s">
        <v>165</v>
      </c>
      <c r="J25" s="122" t="s">
        <v>165</v>
      </c>
      <c r="K25" s="122">
        <v>17.0</v>
      </c>
      <c r="L25" s="122">
        <v>0.0</v>
      </c>
      <c r="M25" s="122">
        <v>0.0</v>
      </c>
      <c r="N25" s="122">
        <v>0.0</v>
      </c>
      <c r="O25" s="122">
        <v>0.0</v>
      </c>
      <c r="P25" s="122" t="s">
        <v>165</v>
      </c>
      <c r="Q25" s="122">
        <v>21.0</v>
      </c>
      <c r="R25" s="122">
        <v>23.0</v>
      </c>
      <c r="S25" s="122">
        <v>0.0</v>
      </c>
      <c r="T25" s="122" t="s">
        <v>165</v>
      </c>
      <c r="U25" s="122" t="s">
        <v>165</v>
      </c>
      <c r="V25" s="122">
        <v>0.0</v>
      </c>
      <c r="W25" s="122">
        <v>28.0</v>
      </c>
      <c r="X25" s="122" t="s">
        <v>165</v>
      </c>
      <c r="Y25" s="122" t="s">
        <v>165</v>
      </c>
      <c r="Z25" s="122" t="s">
        <v>165</v>
      </c>
      <c r="AA25" s="122">
        <v>36.0</v>
      </c>
      <c r="AB25" s="122">
        <v>0.0</v>
      </c>
      <c r="AC25" s="122">
        <v>72.0</v>
      </c>
      <c r="AD25" s="122" t="s">
        <v>165</v>
      </c>
      <c r="AE25" s="122" t="s">
        <v>165</v>
      </c>
      <c r="AF25" s="122" t="s">
        <v>165</v>
      </c>
      <c r="AG25" s="122">
        <v>0.0</v>
      </c>
      <c r="AH25" s="122">
        <v>0.0</v>
      </c>
      <c r="AI25" s="122" t="s">
        <v>165</v>
      </c>
      <c r="AJ25" s="122">
        <v>14.0</v>
      </c>
      <c r="AK25" s="122">
        <v>0.0</v>
      </c>
      <c r="AL25" s="122">
        <v>35.0</v>
      </c>
      <c r="AM25" s="122" t="s">
        <v>165</v>
      </c>
      <c r="AN25" s="122">
        <v>39.0</v>
      </c>
      <c r="AO25" s="122">
        <v>28.0</v>
      </c>
    </row>
    <row r="26">
      <c r="A26" s="120" t="s">
        <v>122</v>
      </c>
      <c r="B26" s="122" t="s">
        <v>165</v>
      </c>
      <c r="C26" s="122" t="s">
        <v>165</v>
      </c>
      <c r="D26" s="122" t="s">
        <v>165</v>
      </c>
      <c r="E26" s="122">
        <v>62.0</v>
      </c>
      <c r="F26" s="122" t="s">
        <v>165</v>
      </c>
      <c r="G26" s="122" t="s">
        <v>165</v>
      </c>
      <c r="H26" s="122">
        <v>18.0</v>
      </c>
      <c r="I26" s="122">
        <v>26.0</v>
      </c>
      <c r="J26" s="122" t="s">
        <v>165</v>
      </c>
      <c r="K26" s="122">
        <v>15.0</v>
      </c>
      <c r="L26" s="122">
        <v>0.0</v>
      </c>
      <c r="M26" s="122" t="s">
        <v>165</v>
      </c>
      <c r="N26" s="122" t="s">
        <v>165</v>
      </c>
      <c r="O26" s="122" t="s">
        <v>165</v>
      </c>
      <c r="P26" s="122">
        <v>0.0</v>
      </c>
      <c r="Q26" s="122">
        <v>31.0</v>
      </c>
      <c r="R26" s="122">
        <v>28.0</v>
      </c>
      <c r="S26" s="122">
        <v>0.0</v>
      </c>
      <c r="T26" s="122">
        <v>37.0</v>
      </c>
      <c r="U26" s="122">
        <v>0.0</v>
      </c>
      <c r="V26" s="122">
        <v>0.0</v>
      </c>
      <c r="W26" s="122">
        <v>48.0</v>
      </c>
      <c r="X26" s="122" t="s">
        <v>165</v>
      </c>
      <c r="Y26" s="122">
        <v>37.0</v>
      </c>
      <c r="Z26" s="122" t="s">
        <v>165</v>
      </c>
      <c r="AA26" s="122">
        <v>56.0</v>
      </c>
      <c r="AB26" s="122" t="s">
        <v>165</v>
      </c>
      <c r="AC26" s="122">
        <v>66.0</v>
      </c>
      <c r="AD26" s="122">
        <v>0.0</v>
      </c>
      <c r="AE26" s="122" t="s">
        <v>165</v>
      </c>
      <c r="AF26" s="122" t="s">
        <v>165</v>
      </c>
      <c r="AG26" s="122" t="s">
        <v>165</v>
      </c>
      <c r="AH26" s="122" t="s">
        <v>165</v>
      </c>
      <c r="AI26" s="122" t="s">
        <v>165</v>
      </c>
      <c r="AJ26" s="122">
        <v>12.0</v>
      </c>
      <c r="AK26" s="122" t="s">
        <v>165</v>
      </c>
      <c r="AL26" s="122">
        <v>31.0</v>
      </c>
      <c r="AM26" s="122" t="s">
        <v>165</v>
      </c>
      <c r="AN26" s="122">
        <v>39.0</v>
      </c>
      <c r="AO26" s="122">
        <v>31.0</v>
      </c>
    </row>
    <row r="27">
      <c r="A27" s="120" t="s">
        <v>123</v>
      </c>
      <c r="B27" s="122" t="s">
        <v>165</v>
      </c>
      <c r="C27" s="122" t="s">
        <v>165</v>
      </c>
      <c r="D27" s="122" t="s">
        <v>165</v>
      </c>
      <c r="E27" s="122">
        <v>36.0</v>
      </c>
      <c r="F27" s="122" t="s">
        <v>165</v>
      </c>
      <c r="G27" s="122">
        <v>26.0</v>
      </c>
      <c r="H27" s="122">
        <v>44.0</v>
      </c>
      <c r="I27" s="122" t="s">
        <v>165</v>
      </c>
      <c r="J27" s="122" t="s">
        <v>165</v>
      </c>
      <c r="K27" s="122">
        <v>13.0</v>
      </c>
      <c r="L27" s="122">
        <v>0.0</v>
      </c>
      <c r="M27" s="122" t="s">
        <v>165</v>
      </c>
      <c r="N27" s="122" t="s">
        <v>165</v>
      </c>
      <c r="O27" s="122" t="s">
        <v>165</v>
      </c>
      <c r="P27" s="122" t="s">
        <v>165</v>
      </c>
      <c r="Q27" s="122">
        <v>31.0</v>
      </c>
      <c r="R27" s="122" t="s">
        <v>165</v>
      </c>
      <c r="S27" s="122" t="s">
        <v>165</v>
      </c>
      <c r="T27" s="122">
        <v>31.0</v>
      </c>
      <c r="U27" s="122">
        <v>0.0</v>
      </c>
      <c r="V27" s="122">
        <v>0.0</v>
      </c>
      <c r="W27" s="122">
        <v>36.0</v>
      </c>
      <c r="X27" s="122" t="s">
        <v>165</v>
      </c>
      <c r="Y27" s="122">
        <v>31.0</v>
      </c>
      <c r="Z27" s="122" t="s">
        <v>165</v>
      </c>
      <c r="AA27" s="122">
        <v>18.0</v>
      </c>
      <c r="AB27" s="122" t="s">
        <v>165</v>
      </c>
      <c r="AC27" s="122">
        <v>46.0</v>
      </c>
      <c r="AD27" s="122">
        <v>0.0</v>
      </c>
      <c r="AE27" s="122" t="s">
        <v>165</v>
      </c>
      <c r="AF27" s="122">
        <v>23.0</v>
      </c>
      <c r="AG27" s="122" t="s">
        <v>165</v>
      </c>
      <c r="AH27" s="122" t="s">
        <v>165</v>
      </c>
      <c r="AI27" s="122" t="s">
        <v>165</v>
      </c>
      <c r="AJ27" s="122">
        <v>11.0</v>
      </c>
      <c r="AK27" s="122">
        <v>0.0</v>
      </c>
      <c r="AL27" s="122">
        <v>28.0</v>
      </c>
      <c r="AM27" s="122">
        <v>22.0</v>
      </c>
      <c r="AN27" s="122">
        <v>17.0</v>
      </c>
      <c r="AO27" s="122">
        <v>25.0</v>
      </c>
    </row>
    <row r="28">
      <c r="A28" s="120" t="s">
        <v>124</v>
      </c>
      <c r="B28" s="122" t="s">
        <v>165</v>
      </c>
      <c r="C28" s="122">
        <v>31.0</v>
      </c>
      <c r="D28" s="122" t="s">
        <v>165</v>
      </c>
      <c r="E28" s="122">
        <v>77.0</v>
      </c>
      <c r="F28" s="122" t="s">
        <v>165</v>
      </c>
      <c r="G28" s="122">
        <v>26.0</v>
      </c>
      <c r="H28" s="122">
        <v>31.0</v>
      </c>
      <c r="I28" s="122" t="s">
        <v>165</v>
      </c>
      <c r="J28" s="122">
        <v>54.0</v>
      </c>
      <c r="K28" s="122">
        <v>15.0</v>
      </c>
      <c r="L28" s="122">
        <v>0.0</v>
      </c>
      <c r="M28" s="122">
        <v>0.0</v>
      </c>
      <c r="N28" s="122" t="s">
        <v>165</v>
      </c>
      <c r="O28" s="122" t="s">
        <v>165</v>
      </c>
      <c r="P28" s="122" t="s">
        <v>165</v>
      </c>
      <c r="Q28" s="122">
        <v>21.0</v>
      </c>
      <c r="R28" s="122">
        <v>28.0</v>
      </c>
      <c r="S28" s="122">
        <v>0.0</v>
      </c>
      <c r="T28" s="122">
        <v>50.0</v>
      </c>
      <c r="U28" s="122" t="s">
        <v>165</v>
      </c>
      <c r="V28" s="122" t="s">
        <v>165</v>
      </c>
      <c r="W28" s="122">
        <v>44.0</v>
      </c>
      <c r="X28" s="122">
        <v>0.0</v>
      </c>
      <c r="Y28" s="122">
        <v>49.0</v>
      </c>
      <c r="Z28" s="122">
        <v>40.0</v>
      </c>
      <c r="AA28" s="122">
        <v>39.0</v>
      </c>
      <c r="AB28" s="122" t="s">
        <v>165</v>
      </c>
      <c r="AC28" s="122">
        <v>57.0</v>
      </c>
      <c r="AD28" s="122">
        <v>0.0</v>
      </c>
      <c r="AE28" s="122" t="s">
        <v>165</v>
      </c>
      <c r="AF28" s="122">
        <v>23.0</v>
      </c>
      <c r="AG28" s="122" t="s">
        <v>165</v>
      </c>
      <c r="AH28" s="122" t="s">
        <v>165</v>
      </c>
      <c r="AI28" s="122" t="s">
        <v>165</v>
      </c>
      <c r="AJ28" s="122">
        <v>21.0</v>
      </c>
      <c r="AK28" s="122" t="s">
        <v>165</v>
      </c>
      <c r="AL28" s="122">
        <v>45.0</v>
      </c>
      <c r="AM28" s="122" t="s">
        <v>165</v>
      </c>
      <c r="AN28" s="122">
        <v>29.0</v>
      </c>
      <c r="AO28" s="122">
        <v>32.0</v>
      </c>
    </row>
    <row r="29">
      <c r="A29" s="120" t="s">
        <v>125</v>
      </c>
      <c r="B29" s="122" t="s">
        <v>165</v>
      </c>
      <c r="C29" s="122">
        <v>36.0</v>
      </c>
      <c r="D29" s="122" t="s">
        <v>165</v>
      </c>
      <c r="E29" s="122">
        <v>108.0</v>
      </c>
      <c r="F29" s="122" t="s">
        <v>165</v>
      </c>
      <c r="G29" s="122" t="s">
        <v>165</v>
      </c>
      <c r="H29" s="122">
        <v>41.0</v>
      </c>
      <c r="I29" s="122">
        <v>32.0</v>
      </c>
      <c r="J29" s="122" t="s">
        <v>165</v>
      </c>
      <c r="K29" s="122">
        <v>32.0</v>
      </c>
      <c r="L29" s="122">
        <v>0.0</v>
      </c>
      <c r="M29" s="122" t="s">
        <v>165</v>
      </c>
      <c r="N29" s="122">
        <v>0.0</v>
      </c>
      <c r="O29" s="122">
        <v>0.0</v>
      </c>
      <c r="P29" s="122">
        <v>0.0</v>
      </c>
      <c r="Q29" s="122">
        <v>38.0</v>
      </c>
      <c r="R29" s="122">
        <v>23.0</v>
      </c>
      <c r="S29" s="122" t="s">
        <v>165</v>
      </c>
      <c r="T29" s="122" t="s">
        <v>165</v>
      </c>
      <c r="U29" s="122" t="s">
        <v>165</v>
      </c>
      <c r="V29" s="122">
        <v>0.0</v>
      </c>
      <c r="W29" s="122" t="s">
        <v>165</v>
      </c>
      <c r="X29" s="122" t="s">
        <v>165</v>
      </c>
      <c r="Y29" s="122">
        <v>43.0</v>
      </c>
      <c r="Z29" s="122" t="s">
        <v>165</v>
      </c>
      <c r="AA29" s="122">
        <v>82.0</v>
      </c>
      <c r="AB29" s="122" t="s">
        <v>165</v>
      </c>
      <c r="AC29" s="122">
        <v>68.0</v>
      </c>
      <c r="AD29" s="122">
        <v>0.0</v>
      </c>
      <c r="AE29" s="122" t="s">
        <v>165</v>
      </c>
      <c r="AF29" s="122">
        <v>60.0</v>
      </c>
      <c r="AG29" s="122" t="s">
        <v>165</v>
      </c>
      <c r="AH29" s="122" t="s">
        <v>165</v>
      </c>
      <c r="AI29" s="122" t="s">
        <v>165</v>
      </c>
      <c r="AJ29" s="122">
        <v>25.0</v>
      </c>
      <c r="AK29" s="122">
        <v>0.0</v>
      </c>
      <c r="AL29" s="122">
        <v>31.0</v>
      </c>
      <c r="AM29" s="122" t="s">
        <v>165</v>
      </c>
      <c r="AN29" s="122">
        <v>39.0</v>
      </c>
      <c r="AO29" s="122">
        <v>39.0</v>
      </c>
    </row>
    <row r="30">
      <c r="A30" s="120" t="s">
        <v>126</v>
      </c>
      <c r="B30" s="122">
        <v>0.0</v>
      </c>
      <c r="C30" s="122">
        <v>36.0</v>
      </c>
      <c r="D30" s="122" t="s">
        <v>165</v>
      </c>
      <c r="E30" s="122">
        <v>175.0</v>
      </c>
      <c r="F30" s="122" t="s">
        <v>165</v>
      </c>
      <c r="G30" s="122">
        <v>32.0</v>
      </c>
      <c r="H30" s="122">
        <v>54.0</v>
      </c>
      <c r="I30" s="122">
        <v>29.0</v>
      </c>
      <c r="J30" s="122">
        <v>46.0</v>
      </c>
      <c r="K30" s="122">
        <v>42.0</v>
      </c>
      <c r="L30" s="122" t="s">
        <v>165</v>
      </c>
      <c r="M30" s="122">
        <v>0.0</v>
      </c>
      <c r="N30" s="122" t="s">
        <v>165</v>
      </c>
      <c r="O30" s="122" t="s">
        <v>165</v>
      </c>
      <c r="P30" s="122" t="s">
        <v>165</v>
      </c>
      <c r="Q30" s="122">
        <v>65.0</v>
      </c>
      <c r="R30" s="122" t="s">
        <v>165</v>
      </c>
      <c r="S30" s="122">
        <v>0.0</v>
      </c>
      <c r="T30" s="122" t="s">
        <v>165</v>
      </c>
      <c r="U30" s="122" t="s">
        <v>165</v>
      </c>
      <c r="V30" s="122" t="s">
        <v>165</v>
      </c>
      <c r="W30" s="122">
        <v>32.0</v>
      </c>
      <c r="X30" s="122">
        <v>19.0</v>
      </c>
      <c r="Y30" s="122">
        <v>102.0</v>
      </c>
      <c r="Z30" s="122">
        <v>57.0</v>
      </c>
      <c r="AA30" s="122">
        <v>131.0</v>
      </c>
      <c r="AB30" s="122" t="s">
        <v>165</v>
      </c>
      <c r="AC30" s="122">
        <v>94.0</v>
      </c>
      <c r="AD30" s="122">
        <v>0.0</v>
      </c>
      <c r="AE30" s="122" t="s">
        <v>165</v>
      </c>
      <c r="AF30" s="122">
        <v>42.0</v>
      </c>
      <c r="AG30" s="122" t="s">
        <v>165</v>
      </c>
      <c r="AH30" s="122" t="s">
        <v>165</v>
      </c>
      <c r="AI30" s="122">
        <v>86.0</v>
      </c>
      <c r="AJ30" s="122">
        <v>42.0</v>
      </c>
      <c r="AK30" s="122" t="s">
        <v>165</v>
      </c>
      <c r="AL30" s="122">
        <v>35.0</v>
      </c>
      <c r="AM30" s="122" t="s">
        <v>165</v>
      </c>
      <c r="AN30" s="122">
        <v>41.0</v>
      </c>
      <c r="AO30" s="122">
        <v>58.0</v>
      </c>
    </row>
    <row r="31">
      <c r="A31" s="120" t="s">
        <v>127</v>
      </c>
      <c r="B31" s="122" t="s">
        <v>165</v>
      </c>
      <c r="C31" s="122">
        <v>22.0</v>
      </c>
      <c r="D31" s="122">
        <v>43.0</v>
      </c>
      <c r="E31" s="122">
        <v>191.0</v>
      </c>
      <c r="F31" s="122" t="s">
        <v>165</v>
      </c>
      <c r="G31" s="122">
        <v>20.0</v>
      </c>
      <c r="H31" s="122">
        <v>94.0</v>
      </c>
      <c r="I31" s="122">
        <v>29.0</v>
      </c>
      <c r="J31" s="122">
        <v>54.0</v>
      </c>
      <c r="K31" s="122">
        <v>30.0</v>
      </c>
      <c r="L31" s="122" t="s">
        <v>165</v>
      </c>
      <c r="M31" s="122" t="s">
        <v>165</v>
      </c>
      <c r="N31" s="122" t="s">
        <v>165</v>
      </c>
      <c r="O31" s="122" t="s">
        <v>165</v>
      </c>
      <c r="P31" s="122" t="s">
        <v>165</v>
      </c>
      <c r="Q31" s="122">
        <v>41.0</v>
      </c>
      <c r="R31" s="122">
        <v>55.0</v>
      </c>
      <c r="S31" s="122">
        <v>0.0</v>
      </c>
      <c r="T31" s="122">
        <v>37.0</v>
      </c>
      <c r="U31" s="122">
        <v>0.0</v>
      </c>
      <c r="V31" s="122" t="s">
        <v>165</v>
      </c>
      <c r="W31" s="122">
        <v>28.0</v>
      </c>
      <c r="X31" s="122">
        <v>19.0</v>
      </c>
      <c r="Y31" s="122">
        <v>102.0</v>
      </c>
      <c r="Z31" s="122" t="s">
        <v>165</v>
      </c>
      <c r="AA31" s="122">
        <v>146.0</v>
      </c>
      <c r="AB31" s="122">
        <v>0.0</v>
      </c>
      <c r="AC31" s="122">
        <v>106.0</v>
      </c>
      <c r="AD31" s="122" t="s">
        <v>165</v>
      </c>
      <c r="AE31" s="122" t="s">
        <v>165</v>
      </c>
      <c r="AF31" s="122" t="s">
        <v>165</v>
      </c>
      <c r="AG31" s="122" t="s">
        <v>165</v>
      </c>
      <c r="AH31" s="122" t="s">
        <v>165</v>
      </c>
      <c r="AI31" s="122" t="s">
        <v>165</v>
      </c>
      <c r="AJ31" s="122">
        <v>44.0</v>
      </c>
      <c r="AK31" s="122" t="s">
        <v>165</v>
      </c>
      <c r="AL31" s="122">
        <v>73.0</v>
      </c>
      <c r="AM31" s="122" t="s">
        <v>165</v>
      </c>
      <c r="AN31" s="122">
        <v>51.0</v>
      </c>
      <c r="AO31" s="122">
        <v>63.0</v>
      </c>
    </row>
    <row r="32">
      <c r="A32" s="120" t="s">
        <v>128</v>
      </c>
      <c r="B32" s="122" t="s">
        <v>165</v>
      </c>
      <c r="C32" s="122">
        <v>22.0</v>
      </c>
      <c r="D32" s="122" t="s">
        <v>165</v>
      </c>
      <c r="E32" s="122">
        <v>196.0</v>
      </c>
      <c r="F32" s="122">
        <v>0.0</v>
      </c>
      <c r="G32" s="122">
        <v>23.0</v>
      </c>
      <c r="H32" s="122">
        <v>108.0</v>
      </c>
      <c r="I32" s="122">
        <v>32.0</v>
      </c>
      <c r="J32" s="122" t="s">
        <v>165</v>
      </c>
      <c r="K32" s="122">
        <v>40.0</v>
      </c>
      <c r="L32" s="122" t="s">
        <v>165</v>
      </c>
      <c r="M32" s="122" t="s">
        <v>165</v>
      </c>
      <c r="N32" s="122" t="s">
        <v>165</v>
      </c>
      <c r="O32" s="122" t="s">
        <v>165</v>
      </c>
      <c r="P32" s="122">
        <v>0.0</v>
      </c>
      <c r="Q32" s="122">
        <v>58.0</v>
      </c>
      <c r="R32" s="122">
        <v>65.0</v>
      </c>
      <c r="S32" s="122">
        <v>0.0</v>
      </c>
      <c r="T32" s="122" t="s">
        <v>165</v>
      </c>
      <c r="U32" s="122" t="s">
        <v>165</v>
      </c>
      <c r="V32" s="122" t="s">
        <v>165</v>
      </c>
      <c r="W32" s="122">
        <v>20.0</v>
      </c>
      <c r="X32" s="122">
        <v>23.0</v>
      </c>
      <c r="Y32" s="122">
        <v>83.0</v>
      </c>
      <c r="Z32" s="122" t="s">
        <v>165</v>
      </c>
      <c r="AA32" s="122">
        <v>116.0</v>
      </c>
      <c r="AB32" s="122" t="s">
        <v>165</v>
      </c>
      <c r="AC32" s="122">
        <v>124.0</v>
      </c>
      <c r="AD32" s="122" t="s">
        <v>165</v>
      </c>
      <c r="AE32" s="122">
        <v>47.0</v>
      </c>
      <c r="AF32" s="122">
        <v>32.0</v>
      </c>
      <c r="AG32" s="122" t="s">
        <v>165</v>
      </c>
      <c r="AH32" s="122">
        <v>0.0</v>
      </c>
      <c r="AI32" s="122">
        <v>0.0</v>
      </c>
      <c r="AJ32" s="122">
        <v>37.0</v>
      </c>
      <c r="AK32" s="122">
        <v>0.0</v>
      </c>
      <c r="AL32" s="122">
        <v>41.0</v>
      </c>
      <c r="AM32" s="122">
        <v>22.0</v>
      </c>
      <c r="AN32" s="122">
        <v>51.0</v>
      </c>
      <c r="AO32" s="122">
        <v>62.0</v>
      </c>
    </row>
    <row r="33">
      <c r="A33" s="120" t="s">
        <v>129</v>
      </c>
      <c r="B33" s="122" t="s">
        <v>165</v>
      </c>
      <c r="C33" s="122">
        <v>22.0</v>
      </c>
      <c r="D33" s="122" t="s">
        <v>165</v>
      </c>
      <c r="E33" s="122">
        <v>175.0</v>
      </c>
      <c r="F33" s="122" t="s">
        <v>165</v>
      </c>
      <c r="G33" s="122">
        <v>17.0</v>
      </c>
      <c r="H33" s="122">
        <v>42.0</v>
      </c>
      <c r="I33" s="122">
        <v>40.0</v>
      </c>
      <c r="J33" s="122">
        <v>38.0</v>
      </c>
      <c r="K33" s="122">
        <v>27.0</v>
      </c>
      <c r="L33" s="122" t="s">
        <v>165</v>
      </c>
      <c r="M33" s="122" t="s">
        <v>165</v>
      </c>
      <c r="N33" s="122" t="s">
        <v>165</v>
      </c>
      <c r="O33" s="122">
        <v>0.0</v>
      </c>
      <c r="P33" s="122" t="s">
        <v>165</v>
      </c>
      <c r="Q33" s="122">
        <v>38.0</v>
      </c>
      <c r="R33" s="122">
        <v>23.0</v>
      </c>
      <c r="S33" s="122">
        <v>0.0</v>
      </c>
      <c r="T33" s="122">
        <v>0.0</v>
      </c>
      <c r="U33" s="122">
        <v>109.0</v>
      </c>
      <c r="V33" s="122" t="s">
        <v>165</v>
      </c>
      <c r="W33" s="122">
        <v>20.0</v>
      </c>
      <c r="X33" s="122">
        <v>42.0</v>
      </c>
      <c r="Y33" s="122">
        <v>62.0</v>
      </c>
      <c r="Z33" s="122">
        <v>0.0</v>
      </c>
      <c r="AA33" s="122">
        <v>78.0</v>
      </c>
      <c r="AB33" s="122" t="s">
        <v>165</v>
      </c>
      <c r="AC33" s="122">
        <v>122.0</v>
      </c>
      <c r="AD33" s="122" t="s">
        <v>165</v>
      </c>
      <c r="AE33" s="122" t="s">
        <v>165</v>
      </c>
      <c r="AF33" s="122">
        <v>51.0</v>
      </c>
      <c r="AG33" s="122">
        <v>55.0</v>
      </c>
      <c r="AH33" s="122" t="s">
        <v>165</v>
      </c>
      <c r="AI33" s="122">
        <v>0.0</v>
      </c>
      <c r="AJ33" s="122">
        <v>25.0</v>
      </c>
      <c r="AK33" s="122" t="s">
        <v>165</v>
      </c>
      <c r="AL33" s="122">
        <v>52.0</v>
      </c>
      <c r="AM33" s="122">
        <v>0.0</v>
      </c>
      <c r="AN33" s="122">
        <v>51.0</v>
      </c>
      <c r="AO33" s="122">
        <v>54.0</v>
      </c>
    </row>
    <row r="34">
      <c r="A34" s="120" t="s">
        <v>130</v>
      </c>
      <c r="B34" s="122">
        <v>0.0</v>
      </c>
      <c r="C34" s="122">
        <v>67.0</v>
      </c>
      <c r="D34" s="122" t="s">
        <v>165</v>
      </c>
      <c r="E34" s="122">
        <v>181.0</v>
      </c>
      <c r="F34" s="122">
        <v>0.0</v>
      </c>
      <c r="G34" s="122">
        <v>26.0</v>
      </c>
      <c r="H34" s="122">
        <v>59.0</v>
      </c>
      <c r="I34" s="122">
        <v>61.0</v>
      </c>
      <c r="J34" s="122">
        <v>61.0</v>
      </c>
      <c r="K34" s="122">
        <v>27.0</v>
      </c>
      <c r="L34" s="122" t="s">
        <v>165</v>
      </c>
      <c r="M34" s="122" t="s">
        <v>165</v>
      </c>
      <c r="N34" s="122" t="s">
        <v>165</v>
      </c>
      <c r="O34" s="122" t="s">
        <v>165</v>
      </c>
      <c r="P34" s="122" t="s">
        <v>165</v>
      </c>
      <c r="Q34" s="122">
        <v>75.0</v>
      </c>
      <c r="R34" s="122">
        <v>42.0</v>
      </c>
      <c r="S34" s="122">
        <v>0.0</v>
      </c>
      <c r="T34" s="122">
        <v>44.0</v>
      </c>
      <c r="U34" s="122">
        <v>58.0</v>
      </c>
      <c r="V34" s="122">
        <v>0.0</v>
      </c>
      <c r="W34" s="122" t="s">
        <v>165</v>
      </c>
      <c r="X34" s="122">
        <v>84.0</v>
      </c>
      <c r="Y34" s="122">
        <v>62.0</v>
      </c>
      <c r="Z34" s="122" t="s">
        <v>165</v>
      </c>
      <c r="AA34" s="122">
        <v>77.0</v>
      </c>
      <c r="AB34" s="122" t="s">
        <v>165</v>
      </c>
      <c r="AC34" s="122">
        <v>121.0</v>
      </c>
      <c r="AD34" s="122">
        <v>0.0</v>
      </c>
      <c r="AE34" s="122" t="s">
        <v>165</v>
      </c>
      <c r="AF34" s="122">
        <v>42.0</v>
      </c>
      <c r="AG34" s="122">
        <v>23.0</v>
      </c>
      <c r="AH34" s="122">
        <v>44.0</v>
      </c>
      <c r="AI34" s="122" t="s">
        <v>165</v>
      </c>
      <c r="AJ34" s="122">
        <v>43.0</v>
      </c>
      <c r="AK34" s="122" t="s">
        <v>165</v>
      </c>
      <c r="AL34" s="122" t="s">
        <v>165</v>
      </c>
      <c r="AM34" s="122" t="s">
        <v>165</v>
      </c>
      <c r="AN34" s="122">
        <v>39.0</v>
      </c>
      <c r="AO34" s="122">
        <v>59.0</v>
      </c>
    </row>
    <row r="35">
      <c r="A35" s="120" t="s">
        <v>131</v>
      </c>
      <c r="B35" s="122" t="s">
        <v>165</v>
      </c>
      <c r="C35" s="122">
        <v>31.0</v>
      </c>
      <c r="D35" s="122" t="s">
        <v>165</v>
      </c>
      <c r="E35" s="122">
        <v>114.0</v>
      </c>
      <c r="F35" s="122" t="s">
        <v>165</v>
      </c>
      <c r="G35" s="122">
        <v>26.0</v>
      </c>
      <c r="H35" s="122">
        <v>50.0</v>
      </c>
      <c r="I35" s="122">
        <v>32.0</v>
      </c>
      <c r="J35" s="122">
        <v>61.0</v>
      </c>
      <c r="K35" s="122">
        <v>11.0</v>
      </c>
      <c r="L35" s="122">
        <v>0.0</v>
      </c>
      <c r="M35" s="122" t="s">
        <v>165</v>
      </c>
      <c r="N35" s="122" t="s">
        <v>165</v>
      </c>
      <c r="O35" s="122" t="s">
        <v>165</v>
      </c>
      <c r="P35" s="122">
        <v>0.0</v>
      </c>
      <c r="Q35" s="122">
        <v>48.0</v>
      </c>
      <c r="R35" s="122">
        <v>37.0</v>
      </c>
      <c r="S35" s="122">
        <v>0.0</v>
      </c>
      <c r="T35" s="122" t="s">
        <v>165</v>
      </c>
      <c r="U35" s="122">
        <v>39.0</v>
      </c>
      <c r="V35" s="122">
        <v>0.0</v>
      </c>
      <c r="W35" s="122">
        <v>20.0</v>
      </c>
      <c r="X35" s="122">
        <v>27.0</v>
      </c>
      <c r="Y35" s="122">
        <v>49.0</v>
      </c>
      <c r="Z35" s="122" t="s">
        <v>165</v>
      </c>
      <c r="AA35" s="122">
        <v>53.0</v>
      </c>
      <c r="AB35" s="122">
        <v>29.0</v>
      </c>
      <c r="AC35" s="122">
        <v>106.0</v>
      </c>
      <c r="AD35" s="122" t="s">
        <v>165</v>
      </c>
      <c r="AE35" s="122" t="s">
        <v>165</v>
      </c>
      <c r="AF35" s="122">
        <v>37.0</v>
      </c>
      <c r="AG35" s="122" t="s">
        <v>165</v>
      </c>
      <c r="AH35" s="122">
        <v>32.0</v>
      </c>
      <c r="AI35" s="122" t="s">
        <v>165</v>
      </c>
      <c r="AJ35" s="122">
        <v>19.0</v>
      </c>
      <c r="AK35" s="122" t="s">
        <v>165</v>
      </c>
      <c r="AL35" s="122">
        <v>21.0</v>
      </c>
      <c r="AM35" s="122" t="s">
        <v>165</v>
      </c>
      <c r="AN35" s="122">
        <v>43.0</v>
      </c>
      <c r="AO35" s="122">
        <v>46.0</v>
      </c>
    </row>
    <row r="36">
      <c r="A36" s="120" t="s">
        <v>132</v>
      </c>
      <c r="B36" s="122" t="s">
        <v>165</v>
      </c>
      <c r="C36" s="122" t="s">
        <v>165</v>
      </c>
      <c r="D36" s="122" t="s">
        <v>165</v>
      </c>
      <c r="E36" s="122" t="s">
        <v>165</v>
      </c>
      <c r="F36" s="122">
        <v>0.0</v>
      </c>
      <c r="G36" s="122" t="s">
        <v>165</v>
      </c>
      <c r="H36" s="122">
        <v>48.0</v>
      </c>
      <c r="I36" s="122">
        <v>43.0</v>
      </c>
      <c r="J36" s="122" t="s">
        <v>165</v>
      </c>
      <c r="K36" s="122">
        <v>21.0</v>
      </c>
      <c r="L36" s="122">
        <v>0.0</v>
      </c>
      <c r="M36" s="122" t="s">
        <v>165</v>
      </c>
      <c r="N36" s="122" t="s">
        <v>165</v>
      </c>
      <c r="O36" s="122">
        <v>0.0</v>
      </c>
      <c r="P36" s="122" t="s">
        <v>165</v>
      </c>
      <c r="Q36" s="122">
        <v>51.0</v>
      </c>
      <c r="R36" s="122">
        <v>28.0</v>
      </c>
      <c r="S36" s="122">
        <v>0.0</v>
      </c>
      <c r="T36" s="122" t="s">
        <v>165</v>
      </c>
      <c r="U36" s="122" t="s">
        <v>165</v>
      </c>
      <c r="V36" s="122">
        <v>0.0</v>
      </c>
      <c r="W36" s="122">
        <v>24.0</v>
      </c>
      <c r="X36" s="122">
        <v>23.0</v>
      </c>
      <c r="Y36" s="122">
        <v>89.0</v>
      </c>
      <c r="Z36" s="122" t="s">
        <v>165</v>
      </c>
      <c r="AA36" s="122">
        <v>50.0</v>
      </c>
      <c r="AB36" s="122" t="s">
        <v>165</v>
      </c>
      <c r="AC36" s="122">
        <v>99.0</v>
      </c>
      <c r="AD36" s="122">
        <v>0.0</v>
      </c>
      <c r="AE36" s="122" t="s">
        <v>165</v>
      </c>
      <c r="AF36" s="122">
        <v>28.0</v>
      </c>
      <c r="AG36" s="122">
        <v>0.0</v>
      </c>
      <c r="AH36" s="122">
        <v>38.0</v>
      </c>
      <c r="AI36" s="122" t="s">
        <v>165</v>
      </c>
      <c r="AJ36" s="122">
        <v>33.0</v>
      </c>
      <c r="AK36" s="122">
        <v>0.0</v>
      </c>
      <c r="AL36" s="122" t="s">
        <v>165</v>
      </c>
      <c r="AM36" s="122" t="s">
        <v>165</v>
      </c>
      <c r="AN36" s="122">
        <v>29.0</v>
      </c>
      <c r="AO36" s="122">
        <v>43.0</v>
      </c>
    </row>
    <row r="37">
      <c r="A37" s="120" t="s">
        <v>133</v>
      </c>
      <c r="B37" s="122">
        <v>31.0</v>
      </c>
      <c r="C37" s="122">
        <v>45.0</v>
      </c>
      <c r="D37" s="122">
        <v>43.0</v>
      </c>
      <c r="E37" s="122">
        <v>88.0</v>
      </c>
      <c r="F37" s="122" t="s">
        <v>165</v>
      </c>
      <c r="G37" s="122" t="s">
        <v>165</v>
      </c>
      <c r="H37" s="122">
        <v>38.0</v>
      </c>
      <c r="I37" s="122">
        <v>84.0</v>
      </c>
      <c r="J37" s="122" t="s">
        <v>165</v>
      </c>
      <c r="K37" s="122">
        <v>34.0</v>
      </c>
      <c r="L37" s="122">
        <v>0.0</v>
      </c>
      <c r="M37" s="122" t="s">
        <v>165</v>
      </c>
      <c r="N37" s="122">
        <v>0.0</v>
      </c>
      <c r="O37" s="122">
        <v>0.0</v>
      </c>
      <c r="P37" s="122">
        <v>0.0</v>
      </c>
      <c r="Q37" s="122">
        <v>31.0</v>
      </c>
      <c r="R37" s="122" t="s">
        <v>165</v>
      </c>
      <c r="S37" s="122">
        <v>0.0</v>
      </c>
      <c r="T37" s="122" t="s">
        <v>165</v>
      </c>
      <c r="U37" s="122">
        <v>32.0</v>
      </c>
      <c r="V37" s="122">
        <v>0.0</v>
      </c>
      <c r="W37" s="122">
        <v>52.0</v>
      </c>
      <c r="X37" s="122">
        <v>23.0</v>
      </c>
      <c r="Y37" s="122">
        <v>34.0</v>
      </c>
      <c r="Z37" s="122" t="s">
        <v>165</v>
      </c>
      <c r="AA37" s="122">
        <v>77.0</v>
      </c>
      <c r="AB37" s="122" t="s">
        <v>165</v>
      </c>
      <c r="AC37" s="122">
        <v>80.0</v>
      </c>
      <c r="AD37" s="122">
        <v>0.0</v>
      </c>
      <c r="AE37" s="122" t="s">
        <v>165</v>
      </c>
      <c r="AF37" s="122">
        <v>28.0</v>
      </c>
      <c r="AG37" s="122" t="s">
        <v>165</v>
      </c>
      <c r="AH37" s="122" t="s">
        <v>165</v>
      </c>
      <c r="AI37" s="122">
        <v>0.0</v>
      </c>
      <c r="AJ37" s="122">
        <v>27.0</v>
      </c>
      <c r="AK37" s="122" t="s">
        <v>165</v>
      </c>
      <c r="AL37" s="122">
        <v>38.0</v>
      </c>
      <c r="AM37" s="122">
        <v>27.0</v>
      </c>
      <c r="AN37" s="122">
        <v>39.0</v>
      </c>
      <c r="AO37" s="122">
        <v>43.0</v>
      </c>
    </row>
    <row r="38">
      <c r="A38" s="120" t="s">
        <v>134</v>
      </c>
      <c r="B38" s="122">
        <v>31.0</v>
      </c>
      <c r="C38" s="122">
        <v>36.0</v>
      </c>
      <c r="D38" s="122">
        <v>61.0</v>
      </c>
      <c r="E38" s="122">
        <v>108.0</v>
      </c>
      <c r="F38" s="122" t="s">
        <v>165</v>
      </c>
      <c r="G38" s="122">
        <v>61.0</v>
      </c>
      <c r="H38" s="122">
        <v>47.0</v>
      </c>
      <c r="I38" s="122">
        <v>43.0</v>
      </c>
      <c r="J38" s="122" t="s">
        <v>165</v>
      </c>
      <c r="K38" s="122">
        <v>19.0</v>
      </c>
      <c r="L38" s="122" t="s">
        <v>165</v>
      </c>
      <c r="M38" s="122">
        <v>0.0</v>
      </c>
      <c r="N38" s="122">
        <v>0.0</v>
      </c>
      <c r="O38" s="122" t="s">
        <v>165</v>
      </c>
      <c r="P38" s="122" t="s">
        <v>165</v>
      </c>
      <c r="Q38" s="122">
        <v>72.0</v>
      </c>
      <c r="R38" s="122" t="s">
        <v>165</v>
      </c>
      <c r="S38" s="122">
        <v>0.0</v>
      </c>
      <c r="T38" s="122">
        <v>0.0</v>
      </c>
      <c r="U38" s="122">
        <v>212.0</v>
      </c>
      <c r="V38" s="122">
        <v>0.0</v>
      </c>
      <c r="W38" s="122">
        <v>36.0</v>
      </c>
      <c r="X38" s="122">
        <v>19.0</v>
      </c>
      <c r="Y38" s="122">
        <v>65.0</v>
      </c>
      <c r="Z38" s="122">
        <v>49.0</v>
      </c>
      <c r="AA38" s="122">
        <v>56.0</v>
      </c>
      <c r="AB38" s="122" t="s">
        <v>165</v>
      </c>
      <c r="AC38" s="122">
        <v>154.0</v>
      </c>
      <c r="AD38" s="122" t="s">
        <v>165</v>
      </c>
      <c r="AE38" s="122" t="s">
        <v>165</v>
      </c>
      <c r="AF38" s="122">
        <v>51.0</v>
      </c>
      <c r="AG38" s="122">
        <v>29.0</v>
      </c>
      <c r="AH38" s="122">
        <v>32.0</v>
      </c>
      <c r="AI38" s="122" t="s">
        <v>165</v>
      </c>
      <c r="AJ38" s="122">
        <v>39.0</v>
      </c>
      <c r="AK38" s="122" t="s">
        <v>165</v>
      </c>
      <c r="AL38" s="122">
        <v>35.0</v>
      </c>
      <c r="AM38" s="122">
        <v>40.0</v>
      </c>
      <c r="AN38" s="122">
        <v>36.0</v>
      </c>
      <c r="AO38" s="122">
        <v>63.0</v>
      </c>
    </row>
    <row r="39">
      <c r="A39" s="120" t="s">
        <v>135</v>
      </c>
      <c r="B39" s="122" t="s">
        <v>165</v>
      </c>
      <c r="C39" s="122" t="s">
        <v>165</v>
      </c>
      <c r="D39" s="122">
        <v>43.0</v>
      </c>
      <c r="E39" s="122">
        <v>175.0</v>
      </c>
      <c r="F39" s="122" t="s">
        <v>165</v>
      </c>
      <c r="G39" s="122">
        <v>17.0</v>
      </c>
      <c r="H39" s="122">
        <v>49.0</v>
      </c>
      <c r="I39" s="122">
        <v>40.0</v>
      </c>
      <c r="J39" s="122" t="s">
        <v>165</v>
      </c>
      <c r="K39" s="122">
        <v>17.0</v>
      </c>
      <c r="L39" s="122" t="s">
        <v>165</v>
      </c>
      <c r="M39" s="122">
        <v>0.0</v>
      </c>
      <c r="N39" s="122" t="s">
        <v>165</v>
      </c>
      <c r="O39" s="122" t="s">
        <v>165</v>
      </c>
      <c r="P39" s="122" t="s">
        <v>165</v>
      </c>
      <c r="Q39" s="122">
        <v>92.0</v>
      </c>
      <c r="R39" s="122">
        <v>65.0</v>
      </c>
      <c r="S39" s="122">
        <v>0.0</v>
      </c>
      <c r="T39" s="122" t="s">
        <v>165</v>
      </c>
      <c r="U39" s="122">
        <v>199.0</v>
      </c>
      <c r="V39" s="122">
        <v>0.0</v>
      </c>
      <c r="W39" s="122" t="s">
        <v>165</v>
      </c>
      <c r="X39" s="122">
        <v>19.0</v>
      </c>
      <c r="Y39" s="122">
        <v>62.0</v>
      </c>
      <c r="Z39" s="122">
        <v>73.0</v>
      </c>
      <c r="AA39" s="122">
        <v>107.0</v>
      </c>
      <c r="AB39" s="122">
        <v>0.0</v>
      </c>
      <c r="AC39" s="122">
        <v>137.0</v>
      </c>
      <c r="AD39" s="122" t="s">
        <v>165</v>
      </c>
      <c r="AE39" s="122" t="s">
        <v>165</v>
      </c>
      <c r="AF39" s="122">
        <v>51.0</v>
      </c>
      <c r="AG39" s="122" t="s">
        <v>165</v>
      </c>
      <c r="AH39" s="122" t="s">
        <v>165</v>
      </c>
      <c r="AI39" s="122">
        <v>67.0</v>
      </c>
      <c r="AJ39" s="122">
        <v>28.0</v>
      </c>
      <c r="AK39" s="122" t="s">
        <v>165</v>
      </c>
      <c r="AL39" s="122">
        <v>31.0</v>
      </c>
      <c r="AM39" s="122">
        <v>40.0</v>
      </c>
      <c r="AN39" s="122">
        <v>26.0</v>
      </c>
      <c r="AO39" s="122">
        <v>62.0</v>
      </c>
    </row>
    <row r="40">
      <c r="A40" s="120" t="s">
        <v>136</v>
      </c>
      <c r="B40" s="122" t="s">
        <v>165</v>
      </c>
      <c r="C40" s="122">
        <v>40.0</v>
      </c>
      <c r="D40" s="122">
        <v>30.0</v>
      </c>
      <c r="E40" s="122">
        <v>160.0</v>
      </c>
      <c r="F40" s="122" t="s">
        <v>165</v>
      </c>
      <c r="G40" s="122">
        <v>40.0</v>
      </c>
      <c r="H40" s="122">
        <v>78.0</v>
      </c>
      <c r="I40" s="122">
        <v>63.0</v>
      </c>
      <c r="J40" s="122">
        <v>84.0</v>
      </c>
      <c r="K40" s="122">
        <v>67.0</v>
      </c>
      <c r="L40" s="122" t="s">
        <v>165</v>
      </c>
      <c r="M40" s="122" t="s">
        <v>165</v>
      </c>
      <c r="N40" s="122" t="s">
        <v>165</v>
      </c>
      <c r="O40" s="122" t="s">
        <v>165</v>
      </c>
      <c r="P40" s="122" t="s">
        <v>165</v>
      </c>
      <c r="Q40" s="122">
        <v>92.0</v>
      </c>
      <c r="R40" s="122">
        <v>74.0</v>
      </c>
      <c r="S40" s="122" t="s">
        <v>165</v>
      </c>
      <c r="T40" s="122" t="s">
        <v>165</v>
      </c>
      <c r="U40" s="122">
        <v>270.0</v>
      </c>
      <c r="V40" s="122">
        <v>0.0</v>
      </c>
      <c r="W40" s="122" t="s">
        <v>165</v>
      </c>
      <c r="X40" s="122">
        <v>57.0</v>
      </c>
      <c r="Y40" s="122">
        <v>108.0</v>
      </c>
      <c r="Z40" s="122">
        <v>49.0</v>
      </c>
      <c r="AA40" s="122">
        <v>159.0</v>
      </c>
      <c r="AB40" s="122">
        <v>29.0</v>
      </c>
      <c r="AC40" s="122">
        <v>159.0</v>
      </c>
      <c r="AD40" s="122" t="s">
        <v>165</v>
      </c>
      <c r="AE40" s="122" t="s">
        <v>165</v>
      </c>
      <c r="AF40" s="122">
        <v>65.0</v>
      </c>
      <c r="AG40" s="122">
        <v>59.0</v>
      </c>
      <c r="AH40" s="122" t="s">
        <v>165</v>
      </c>
      <c r="AI40" s="122">
        <v>0.0</v>
      </c>
      <c r="AJ40" s="122">
        <v>48.0</v>
      </c>
      <c r="AK40" s="122" t="s">
        <v>165</v>
      </c>
      <c r="AL40" s="122">
        <v>45.0</v>
      </c>
      <c r="AM40" s="122">
        <v>62.0</v>
      </c>
      <c r="AN40" s="122">
        <v>65.0</v>
      </c>
      <c r="AO40" s="122">
        <v>85.0</v>
      </c>
    </row>
    <row r="41">
      <c r="A41" s="120" t="s">
        <v>137</v>
      </c>
      <c r="B41" s="122">
        <v>43.0</v>
      </c>
      <c r="C41" s="122">
        <v>54.0</v>
      </c>
      <c r="D41" s="122">
        <v>49.0</v>
      </c>
      <c r="E41" s="122">
        <v>237.0</v>
      </c>
      <c r="F41" s="122" t="s">
        <v>165</v>
      </c>
      <c r="G41" s="122">
        <v>58.0</v>
      </c>
      <c r="H41" s="122">
        <v>119.0</v>
      </c>
      <c r="I41" s="122">
        <v>89.0</v>
      </c>
      <c r="J41" s="122">
        <v>61.0</v>
      </c>
      <c r="K41" s="122">
        <v>70.0</v>
      </c>
      <c r="L41" s="122">
        <v>74.0</v>
      </c>
      <c r="M41" s="122">
        <v>149.0</v>
      </c>
      <c r="N41" s="122" t="s">
        <v>165</v>
      </c>
      <c r="O41" s="122" t="s">
        <v>165</v>
      </c>
      <c r="P41" s="122">
        <v>109.0</v>
      </c>
      <c r="Q41" s="122">
        <v>75.0</v>
      </c>
      <c r="R41" s="122">
        <v>97.0</v>
      </c>
      <c r="S41" s="122" t="s">
        <v>165</v>
      </c>
      <c r="T41" s="122" t="s">
        <v>165</v>
      </c>
      <c r="U41" s="122">
        <v>617.0</v>
      </c>
      <c r="V41" s="122">
        <v>0.0</v>
      </c>
      <c r="W41" s="122">
        <v>32.0</v>
      </c>
      <c r="X41" s="122">
        <v>103.0</v>
      </c>
      <c r="Y41" s="122">
        <v>139.0</v>
      </c>
      <c r="Z41" s="122">
        <v>73.0</v>
      </c>
      <c r="AA41" s="122">
        <v>170.0</v>
      </c>
      <c r="AB41" s="122">
        <v>29.0</v>
      </c>
      <c r="AC41" s="122">
        <v>159.0</v>
      </c>
      <c r="AD41" s="122" t="s">
        <v>165</v>
      </c>
      <c r="AE41" s="122" t="s">
        <v>165</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165</v>
      </c>
      <c r="G42" s="122">
        <v>90.0</v>
      </c>
      <c r="H42" s="122">
        <v>165.0</v>
      </c>
      <c r="I42" s="122">
        <v>124.0</v>
      </c>
      <c r="J42" s="122">
        <v>92.0</v>
      </c>
      <c r="K42" s="122">
        <v>101.0</v>
      </c>
      <c r="L42" s="122" t="s">
        <v>165</v>
      </c>
      <c r="M42" s="122" t="s">
        <v>165</v>
      </c>
      <c r="N42" s="122" t="s">
        <v>165</v>
      </c>
      <c r="O42" s="122">
        <v>0.0</v>
      </c>
      <c r="P42" s="122" t="s">
        <v>165</v>
      </c>
      <c r="Q42" s="122">
        <v>168.0</v>
      </c>
      <c r="R42" s="122">
        <v>102.0</v>
      </c>
      <c r="S42" s="122" t="s">
        <v>165</v>
      </c>
      <c r="T42" s="122" t="s">
        <v>165</v>
      </c>
      <c r="U42" s="122">
        <v>244.0</v>
      </c>
      <c r="V42" s="122" t="s">
        <v>165</v>
      </c>
      <c r="W42" s="122">
        <v>52.0</v>
      </c>
      <c r="X42" s="122">
        <v>65.0</v>
      </c>
      <c r="Y42" s="122">
        <v>182.0</v>
      </c>
      <c r="Z42" s="122">
        <v>154.0</v>
      </c>
      <c r="AA42" s="122">
        <v>230.0</v>
      </c>
      <c r="AB42" s="122">
        <v>69.0</v>
      </c>
      <c r="AC42" s="122">
        <v>206.0</v>
      </c>
      <c r="AD42" s="122" t="s">
        <v>165</v>
      </c>
      <c r="AE42" s="122" t="s">
        <v>165</v>
      </c>
      <c r="AF42" s="122">
        <v>125.0</v>
      </c>
      <c r="AG42" s="122">
        <v>117.0</v>
      </c>
      <c r="AH42" s="122">
        <v>95.0</v>
      </c>
      <c r="AI42" s="122">
        <v>48.0</v>
      </c>
      <c r="AJ42" s="122">
        <v>68.0</v>
      </c>
      <c r="AK42" s="122">
        <v>194.0</v>
      </c>
      <c r="AL42" s="122">
        <v>90.0</v>
      </c>
      <c r="AM42" s="122">
        <v>62.0</v>
      </c>
      <c r="AN42" s="122">
        <v>118.0</v>
      </c>
      <c r="AO42" s="122">
        <v>137.0</v>
      </c>
    </row>
    <row r="43">
      <c r="A43" s="120" t="s">
        <v>139</v>
      </c>
      <c r="B43" s="122">
        <v>130.0</v>
      </c>
      <c r="C43" s="122">
        <v>103.0</v>
      </c>
      <c r="D43" s="122">
        <v>109.0</v>
      </c>
      <c r="E43" s="122">
        <v>490.0</v>
      </c>
      <c r="F43" s="122">
        <v>90.0</v>
      </c>
      <c r="G43" s="122">
        <v>153.0</v>
      </c>
      <c r="H43" s="122">
        <v>278.0</v>
      </c>
      <c r="I43" s="122">
        <v>156.0</v>
      </c>
      <c r="J43" s="122">
        <v>283.0</v>
      </c>
      <c r="K43" s="122">
        <v>156.0</v>
      </c>
      <c r="L43" s="122" t="s">
        <v>165</v>
      </c>
      <c r="M43" s="122" t="s">
        <v>165</v>
      </c>
      <c r="N43" s="122">
        <v>189.0</v>
      </c>
      <c r="O43" s="122" t="s">
        <v>165</v>
      </c>
      <c r="P43" s="122">
        <v>0.0</v>
      </c>
      <c r="Q43" s="122">
        <v>277.0</v>
      </c>
      <c r="R43" s="122">
        <v>194.0</v>
      </c>
      <c r="S43" s="122" t="s">
        <v>165</v>
      </c>
      <c r="T43" s="122">
        <v>62.0</v>
      </c>
      <c r="U43" s="122">
        <v>251.0</v>
      </c>
      <c r="V43" s="122">
        <v>0.0</v>
      </c>
      <c r="W43" s="122">
        <v>81.0</v>
      </c>
      <c r="X43" s="122">
        <v>111.0</v>
      </c>
      <c r="Y43" s="122">
        <v>268.0</v>
      </c>
      <c r="Z43" s="122">
        <v>178.0</v>
      </c>
      <c r="AA43" s="122">
        <v>360.0</v>
      </c>
      <c r="AB43" s="122">
        <v>57.0</v>
      </c>
      <c r="AC43" s="122">
        <v>363.0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325.0</v>
      </c>
      <c r="I44" s="122">
        <v>240.0</v>
      </c>
      <c r="J44" s="122">
        <v>245.0</v>
      </c>
      <c r="K44" s="122">
        <v>202.0</v>
      </c>
      <c r="L44" s="122" t="s">
        <v>165</v>
      </c>
      <c r="M44" s="122">
        <v>277.0</v>
      </c>
      <c r="N44" s="122">
        <v>189.0</v>
      </c>
      <c r="O44" s="122">
        <v>99.0</v>
      </c>
      <c r="P44" s="122">
        <v>109.0</v>
      </c>
      <c r="Q44" s="122">
        <v>359.0</v>
      </c>
      <c r="R44" s="122">
        <v>231.0</v>
      </c>
      <c r="S44" s="122">
        <v>143.0</v>
      </c>
      <c r="T44" s="122">
        <v>155.0</v>
      </c>
      <c r="U44" s="122">
        <v>116.0</v>
      </c>
      <c r="V44" s="122" t="s">
        <v>165</v>
      </c>
      <c r="W44" s="122">
        <v>85.0</v>
      </c>
      <c r="X44" s="122">
        <v>134.0</v>
      </c>
      <c r="Y44" s="122">
        <v>385.0</v>
      </c>
      <c r="Z44" s="122">
        <v>105.0</v>
      </c>
      <c r="AA44" s="122">
        <v>369.0</v>
      </c>
      <c r="AB44" s="122">
        <v>155.0</v>
      </c>
      <c r="AC44" s="122">
        <v>358.0</v>
      </c>
      <c r="AD44" s="122" t="s">
        <v>165</v>
      </c>
      <c r="AE44" s="122">
        <v>170.0</v>
      </c>
      <c r="AF44" s="122">
        <v>166.0</v>
      </c>
      <c r="AG44" s="122">
        <v>75.0</v>
      </c>
      <c r="AH44" s="122">
        <v>190.0</v>
      </c>
      <c r="AI44" s="122">
        <v>315.0</v>
      </c>
      <c r="AJ44" s="122">
        <v>236.0</v>
      </c>
      <c r="AK44" s="122">
        <v>113.0</v>
      </c>
      <c r="AL44" s="122">
        <v>266.0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520.0</v>
      </c>
      <c r="R45" s="122">
        <v>240.0</v>
      </c>
      <c r="S45" s="122" t="s">
        <v>165</v>
      </c>
      <c r="T45" s="122">
        <v>137.0</v>
      </c>
      <c r="U45" s="122">
        <v>212.0</v>
      </c>
      <c r="V45" s="122" t="s">
        <v>165</v>
      </c>
      <c r="W45" s="122">
        <v>149.0</v>
      </c>
      <c r="X45" s="122">
        <v>195.0</v>
      </c>
      <c r="Y45" s="122">
        <v>360.0</v>
      </c>
      <c r="Z45" s="122">
        <v>194.0</v>
      </c>
      <c r="AA45" s="122">
        <v>450.0</v>
      </c>
      <c r="AB45" s="122">
        <v>98.0</v>
      </c>
      <c r="AC45" s="122">
        <v>483.0</v>
      </c>
      <c r="AD45" s="122">
        <v>118.0</v>
      </c>
      <c r="AE45" s="122">
        <v>236.0</v>
      </c>
      <c r="AF45" s="122">
        <v>254.0</v>
      </c>
      <c r="AG45" s="122">
        <v>133.0</v>
      </c>
      <c r="AH45" s="122">
        <v>158.0</v>
      </c>
      <c r="AI45" s="122">
        <v>362.0</v>
      </c>
      <c r="AJ45" s="122">
        <v>279.0</v>
      </c>
      <c r="AK45" s="122">
        <v>129.0</v>
      </c>
      <c r="AL45" s="122">
        <v>304.0</v>
      </c>
      <c r="AM45" s="122">
        <v>119.0</v>
      </c>
      <c r="AN45" s="122">
        <v>267.0</v>
      </c>
      <c r="AO45" s="122">
        <v>330.0</v>
      </c>
    </row>
    <row r="46">
      <c r="A46" s="120" t="s">
        <v>142</v>
      </c>
      <c r="B46" s="122">
        <v>284.0</v>
      </c>
      <c r="C46" s="122">
        <v>436.0</v>
      </c>
      <c r="D46" s="122">
        <v>225.0</v>
      </c>
      <c r="E46" s="122">
        <v>1130.0</v>
      </c>
      <c r="F46" s="122">
        <v>167.0</v>
      </c>
      <c r="G46" s="122">
        <v>428.0</v>
      </c>
      <c r="H46" s="122">
        <v>691.0</v>
      </c>
      <c r="I46" s="122">
        <v>372.0</v>
      </c>
      <c r="J46" s="122">
        <v>528.0</v>
      </c>
      <c r="K46" s="122">
        <v>426.0</v>
      </c>
      <c r="L46" s="122">
        <v>236.0</v>
      </c>
      <c r="M46" s="122">
        <v>448.0</v>
      </c>
      <c r="N46" s="122">
        <v>308.0</v>
      </c>
      <c r="O46" s="122">
        <v>222.0</v>
      </c>
      <c r="P46" s="122">
        <v>200.0</v>
      </c>
      <c r="Q46" s="122">
        <v>619.0</v>
      </c>
      <c r="R46" s="122">
        <v>476.0</v>
      </c>
      <c r="S46" s="122" t="s">
        <v>165</v>
      </c>
      <c r="T46" s="122">
        <v>149.0</v>
      </c>
      <c r="U46" s="122">
        <v>315.0</v>
      </c>
      <c r="V46" s="122" t="s">
        <v>165</v>
      </c>
      <c r="W46" s="122">
        <v>149.0</v>
      </c>
      <c r="X46" s="122">
        <v>439.0</v>
      </c>
      <c r="Y46" s="122">
        <v>610.0</v>
      </c>
      <c r="Z46" s="122">
        <v>194.0</v>
      </c>
      <c r="AA46" s="122">
        <v>651.0</v>
      </c>
      <c r="AB46" s="122">
        <v>178.0</v>
      </c>
      <c r="AC46" s="122">
        <v>701.0</v>
      </c>
      <c r="AD46" s="122">
        <v>328.0</v>
      </c>
      <c r="AE46" s="122">
        <v>236.0</v>
      </c>
      <c r="AF46" s="122">
        <v>536.0</v>
      </c>
      <c r="AG46" s="122">
        <v>290.0</v>
      </c>
      <c r="AH46" s="122">
        <v>202.0</v>
      </c>
      <c r="AI46" s="122">
        <v>372.0</v>
      </c>
      <c r="AJ46" s="122">
        <v>476.0</v>
      </c>
      <c r="AK46" s="122">
        <v>291.0</v>
      </c>
      <c r="AL46" s="122">
        <v>580.0</v>
      </c>
      <c r="AM46" s="122">
        <v>239.0</v>
      </c>
      <c r="AN46" s="122">
        <v>265.0</v>
      </c>
      <c r="AO46" s="122">
        <v>496.0</v>
      </c>
    </row>
    <row r="47">
      <c r="A47" s="120" t="s">
        <v>143</v>
      </c>
      <c r="B47" s="122">
        <v>309.0</v>
      </c>
      <c r="C47" s="122">
        <v>468.0</v>
      </c>
      <c r="D47" s="122">
        <v>346.0</v>
      </c>
      <c r="E47" s="122">
        <v>1001.0</v>
      </c>
      <c r="F47" s="122">
        <v>283.0</v>
      </c>
      <c r="G47" s="122">
        <v>593.0</v>
      </c>
      <c r="H47" s="122">
        <v>804.0</v>
      </c>
      <c r="I47" s="122">
        <v>416.0</v>
      </c>
      <c r="J47" s="122">
        <v>604.0</v>
      </c>
      <c r="K47" s="122">
        <v>497.0</v>
      </c>
      <c r="L47" s="122">
        <v>354.0</v>
      </c>
      <c r="M47" s="122">
        <v>384.0</v>
      </c>
      <c r="N47" s="122">
        <v>348.0</v>
      </c>
      <c r="O47" s="122">
        <v>370.0</v>
      </c>
      <c r="P47" s="122">
        <v>182.0</v>
      </c>
      <c r="Q47" s="122">
        <v>780.0</v>
      </c>
      <c r="R47" s="122">
        <v>490.0</v>
      </c>
      <c r="S47" s="122" t="s">
        <v>165</v>
      </c>
      <c r="T47" s="122">
        <v>143.0</v>
      </c>
      <c r="U47" s="122">
        <v>367.0</v>
      </c>
      <c r="V47" s="122" t="s">
        <v>165</v>
      </c>
      <c r="W47" s="122">
        <v>246.0</v>
      </c>
      <c r="X47" s="122">
        <v>450.0</v>
      </c>
      <c r="Y47" s="122">
        <v>693.0</v>
      </c>
      <c r="Z47" s="122">
        <v>300.0</v>
      </c>
      <c r="AA47" s="122">
        <v>700.0</v>
      </c>
      <c r="AB47" s="122">
        <v>149.0</v>
      </c>
      <c r="AC47" s="122">
        <v>826.0</v>
      </c>
      <c r="AD47" s="122">
        <v>157.0</v>
      </c>
      <c r="AE47" s="122">
        <v>396.0</v>
      </c>
      <c r="AF47" s="122">
        <v>620.0</v>
      </c>
      <c r="AG47" s="122">
        <v>215.0</v>
      </c>
      <c r="AH47" s="122">
        <v>234.0</v>
      </c>
      <c r="AI47" s="122">
        <v>315.0</v>
      </c>
      <c r="AJ47" s="122">
        <v>593.0</v>
      </c>
      <c r="AK47" s="122">
        <v>324.0</v>
      </c>
      <c r="AL47" s="122">
        <v>684.0</v>
      </c>
      <c r="AM47" s="122">
        <v>261.0</v>
      </c>
      <c r="AN47" s="122">
        <v>315.0</v>
      </c>
      <c r="AO47" s="122">
        <v>579.0</v>
      </c>
    </row>
    <row r="48">
      <c r="A48" s="120" t="s">
        <v>144</v>
      </c>
      <c r="B48" s="122">
        <v>291.0</v>
      </c>
      <c r="C48" s="122">
        <v>234.0</v>
      </c>
      <c r="D48" s="122">
        <v>529.0</v>
      </c>
      <c r="E48" s="122">
        <v>882.0</v>
      </c>
      <c r="F48" s="122">
        <v>347.0</v>
      </c>
      <c r="G48" s="122">
        <v>581.0</v>
      </c>
      <c r="H48" s="122">
        <v>632.0</v>
      </c>
      <c r="I48" s="122">
        <v>413.0</v>
      </c>
      <c r="J48" s="122">
        <v>505.0</v>
      </c>
      <c r="K48" s="122">
        <v>386.0</v>
      </c>
      <c r="L48" s="122">
        <v>369.0</v>
      </c>
      <c r="M48" s="122">
        <v>448.0</v>
      </c>
      <c r="N48" s="122">
        <v>288.0</v>
      </c>
      <c r="O48" s="122">
        <v>333.0</v>
      </c>
      <c r="P48" s="122">
        <v>200.0</v>
      </c>
      <c r="Q48" s="122">
        <v>653.0</v>
      </c>
      <c r="R48" s="122">
        <v>610.0</v>
      </c>
      <c r="S48" s="122">
        <v>143.0</v>
      </c>
      <c r="T48" s="122">
        <v>155.0</v>
      </c>
      <c r="U48" s="122">
        <v>270.0</v>
      </c>
      <c r="V48" s="122" t="s">
        <v>165</v>
      </c>
      <c r="W48" s="122">
        <v>194.0</v>
      </c>
      <c r="X48" s="122">
        <v>416.0</v>
      </c>
      <c r="Y48" s="122">
        <v>539.0</v>
      </c>
      <c r="Z48" s="122">
        <v>413.0</v>
      </c>
      <c r="AA48" s="122">
        <v>619.0</v>
      </c>
      <c r="AB48" s="122">
        <v>189.0</v>
      </c>
      <c r="AC48" s="122">
        <v>657.0</v>
      </c>
      <c r="AD48" s="122">
        <v>184.0</v>
      </c>
      <c r="AE48" s="122">
        <v>434.0</v>
      </c>
      <c r="AF48" s="122">
        <v>430.0</v>
      </c>
      <c r="AG48" s="122">
        <v>127.0</v>
      </c>
      <c r="AH48" s="122">
        <v>253.0</v>
      </c>
      <c r="AI48" s="122">
        <v>181.0</v>
      </c>
      <c r="AJ48" s="122">
        <v>535.0</v>
      </c>
      <c r="AK48" s="122">
        <v>518.0</v>
      </c>
      <c r="AL48" s="122">
        <v>497.0</v>
      </c>
      <c r="AM48" s="122">
        <v>234.0</v>
      </c>
      <c r="AN48" s="122">
        <v>395.0</v>
      </c>
      <c r="AO48" s="122">
        <v>501.0</v>
      </c>
    </row>
    <row r="49">
      <c r="A49" s="120" t="s">
        <v>145</v>
      </c>
      <c r="B49" s="122">
        <v>525.0</v>
      </c>
      <c r="C49" s="122">
        <v>400.0</v>
      </c>
      <c r="D49" s="122">
        <v>1033.0</v>
      </c>
      <c r="E49" s="122">
        <v>1114.0</v>
      </c>
      <c r="F49" s="122">
        <v>463.0</v>
      </c>
      <c r="G49" s="122">
        <v>819.0</v>
      </c>
      <c r="H49" s="122">
        <v>926.0</v>
      </c>
      <c r="I49" s="122">
        <v>756.0</v>
      </c>
      <c r="J49" s="122">
        <v>711.0</v>
      </c>
      <c r="K49" s="122">
        <v>744.0</v>
      </c>
      <c r="L49" s="122">
        <v>605.0</v>
      </c>
      <c r="M49" s="122">
        <v>661.0</v>
      </c>
      <c r="N49" s="122">
        <v>537.0</v>
      </c>
      <c r="O49" s="122">
        <v>629.0</v>
      </c>
      <c r="P49" s="122">
        <v>364.0</v>
      </c>
      <c r="Q49" s="122">
        <v>1266.0</v>
      </c>
      <c r="R49" s="122">
        <v>795.0</v>
      </c>
      <c r="S49" s="122" t="s">
        <v>165</v>
      </c>
      <c r="T49" s="122">
        <v>348.0</v>
      </c>
      <c r="U49" s="122">
        <v>360.0</v>
      </c>
      <c r="V49" s="122" t="s">
        <v>165</v>
      </c>
      <c r="W49" s="122">
        <v>307.0</v>
      </c>
      <c r="X49" s="122">
        <v>473.0</v>
      </c>
      <c r="Y49" s="122">
        <v>884.0</v>
      </c>
      <c r="Z49" s="122">
        <v>737.0</v>
      </c>
      <c r="AA49" s="122">
        <v>931.0</v>
      </c>
      <c r="AB49" s="122">
        <v>218.0</v>
      </c>
      <c r="AC49" s="122">
        <v>962.0</v>
      </c>
      <c r="AD49" s="122">
        <v>328.0</v>
      </c>
      <c r="AE49" s="122">
        <v>736.0</v>
      </c>
      <c r="AF49" s="122">
        <v>800.0</v>
      </c>
      <c r="AG49" s="122">
        <v>224.0</v>
      </c>
      <c r="AH49" s="122">
        <v>430.0</v>
      </c>
      <c r="AI49" s="122">
        <v>439.0</v>
      </c>
      <c r="AJ49" s="122">
        <v>693.0</v>
      </c>
      <c r="AK49" s="122">
        <v>518.0</v>
      </c>
      <c r="AL49" s="122">
        <v>756.0</v>
      </c>
      <c r="AM49" s="122">
        <v>354.0</v>
      </c>
      <c r="AN49" s="122">
        <v>652.0</v>
      </c>
      <c r="AO49" s="122">
        <v>774.0</v>
      </c>
    </row>
    <row r="50">
      <c r="A50" s="120" t="s">
        <v>146</v>
      </c>
      <c r="B50" s="122">
        <v>501.0</v>
      </c>
      <c r="C50" s="122">
        <v>387.0</v>
      </c>
      <c r="D50" s="122">
        <v>699.0</v>
      </c>
      <c r="E50" s="122">
        <v>764.0</v>
      </c>
      <c r="F50" s="122">
        <v>463.0</v>
      </c>
      <c r="G50" s="122">
        <v>648.0</v>
      </c>
      <c r="H50" s="122">
        <v>852.0</v>
      </c>
      <c r="I50" s="122">
        <v>820.0</v>
      </c>
      <c r="J50" s="122">
        <v>734.0</v>
      </c>
      <c r="K50" s="122">
        <v>832.0</v>
      </c>
      <c r="L50" s="122">
        <v>560.0</v>
      </c>
      <c r="M50" s="122">
        <v>597.0</v>
      </c>
      <c r="N50" s="122">
        <v>755.0</v>
      </c>
      <c r="O50" s="122">
        <v>518.0</v>
      </c>
      <c r="P50" s="122">
        <v>491.0</v>
      </c>
      <c r="Q50" s="122">
        <v>958.0</v>
      </c>
      <c r="R50" s="122">
        <v>698.0</v>
      </c>
      <c r="S50" s="122">
        <v>257.0</v>
      </c>
      <c r="T50" s="122">
        <v>348.0</v>
      </c>
      <c r="U50" s="122">
        <v>476.0</v>
      </c>
      <c r="V50" s="122">
        <v>1330.0</v>
      </c>
      <c r="W50" s="122">
        <v>408.0</v>
      </c>
      <c r="X50" s="122">
        <v>488.0</v>
      </c>
      <c r="Y50" s="122">
        <v>863.0</v>
      </c>
      <c r="Z50" s="122">
        <v>632.0</v>
      </c>
      <c r="AA50" s="122">
        <v>867.0</v>
      </c>
      <c r="AB50" s="122">
        <v>316.0</v>
      </c>
      <c r="AC50" s="122">
        <v>891.0</v>
      </c>
      <c r="AD50" s="122">
        <v>197.0</v>
      </c>
      <c r="AE50" s="122">
        <v>726.0</v>
      </c>
      <c r="AF50" s="122">
        <v>693.0</v>
      </c>
      <c r="AG50" s="122">
        <v>192.0</v>
      </c>
      <c r="AH50" s="122">
        <v>392.0</v>
      </c>
      <c r="AI50" s="122">
        <v>553.0</v>
      </c>
      <c r="AJ50" s="122">
        <v>614.0</v>
      </c>
      <c r="AK50" s="122">
        <v>469.0</v>
      </c>
      <c r="AL50" s="122">
        <v>639.0</v>
      </c>
      <c r="AM50" s="122">
        <v>446.0</v>
      </c>
      <c r="AN50" s="122">
        <v>676.0</v>
      </c>
      <c r="AO50" s="122">
        <v>726.0</v>
      </c>
    </row>
    <row r="51">
      <c r="A51" s="120" t="s">
        <v>147</v>
      </c>
      <c r="B51" s="122">
        <v>278.0</v>
      </c>
      <c r="C51" s="122">
        <v>414.0</v>
      </c>
      <c r="D51" s="122">
        <v>699.0</v>
      </c>
      <c r="E51" s="122">
        <v>578.0</v>
      </c>
      <c r="F51" s="122">
        <v>437.0</v>
      </c>
      <c r="G51" s="122">
        <v>625.0</v>
      </c>
      <c r="H51" s="122">
        <v>594.0</v>
      </c>
      <c r="I51" s="122">
        <v>560.0</v>
      </c>
      <c r="J51" s="122">
        <v>581.0</v>
      </c>
      <c r="K51" s="122">
        <v>554.0</v>
      </c>
      <c r="L51" s="122">
        <v>354.0</v>
      </c>
      <c r="M51" s="122">
        <v>320.0</v>
      </c>
      <c r="N51" s="122">
        <v>437.0</v>
      </c>
      <c r="O51" s="122">
        <v>419.0</v>
      </c>
      <c r="P51" s="122">
        <v>182.0</v>
      </c>
      <c r="Q51" s="122">
        <v>660.0</v>
      </c>
      <c r="R51" s="122">
        <v>545.0</v>
      </c>
      <c r="S51" s="122">
        <v>342.0</v>
      </c>
      <c r="T51" s="122">
        <v>429.0</v>
      </c>
      <c r="U51" s="122">
        <v>360.0</v>
      </c>
      <c r="V51" s="122" t="s">
        <v>165</v>
      </c>
      <c r="W51" s="122">
        <v>307.0</v>
      </c>
      <c r="X51" s="122">
        <v>313.0</v>
      </c>
      <c r="Y51" s="122">
        <v>465.0</v>
      </c>
      <c r="Z51" s="122">
        <v>567.0</v>
      </c>
      <c r="AA51" s="122">
        <v>581.0</v>
      </c>
      <c r="AB51" s="122">
        <v>431.0</v>
      </c>
      <c r="AC51" s="122">
        <v>584.0</v>
      </c>
      <c r="AD51" s="122">
        <v>118.0</v>
      </c>
      <c r="AE51" s="122">
        <v>406.0</v>
      </c>
      <c r="AF51" s="122">
        <v>509.0</v>
      </c>
      <c r="AG51" s="122">
        <v>137.0</v>
      </c>
      <c r="AH51" s="122">
        <v>411.0</v>
      </c>
      <c r="AI51" s="122">
        <v>734.0</v>
      </c>
      <c r="AJ51" s="122">
        <v>450.0</v>
      </c>
      <c r="AK51" s="122">
        <v>388.0</v>
      </c>
      <c r="AL51" s="122">
        <v>404.0</v>
      </c>
      <c r="AM51" s="122">
        <v>513.0</v>
      </c>
      <c r="AN51" s="122">
        <v>689.0</v>
      </c>
      <c r="AO51" s="122">
        <v>529.0</v>
      </c>
    </row>
    <row r="52">
      <c r="A52" s="120" t="s">
        <v>148</v>
      </c>
      <c r="B52" s="122">
        <v>550.0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439.0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124.0</v>
      </c>
      <c r="AH52" s="122">
        <v>462.0</v>
      </c>
      <c r="AI52" s="122">
        <v>601.0</v>
      </c>
      <c r="AJ52" s="122">
        <v>318.0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165</v>
      </c>
      <c r="W53" s="122">
        <v>582.0</v>
      </c>
      <c r="X53" s="122">
        <v>431.0</v>
      </c>
      <c r="Y53" s="122">
        <v>465.0</v>
      </c>
      <c r="Z53" s="122">
        <v>624.0</v>
      </c>
      <c r="AA53" s="122">
        <v>595.0</v>
      </c>
      <c r="AB53" s="122">
        <v>637.0</v>
      </c>
      <c r="AC53" s="122">
        <v>565.0</v>
      </c>
      <c r="AD53" s="122">
        <v>315.0</v>
      </c>
      <c r="AE53" s="122">
        <v>443.0</v>
      </c>
      <c r="AF53" s="122">
        <v>666.0</v>
      </c>
      <c r="AG53" s="122">
        <v>267.0</v>
      </c>
      <c r="AH53" s="122">
        <v>575.0</v>
      </c>
      <c r="AI53" s="122">
        <v>1116.0</v>
      </c>
      <c r="AJ53" s="122">
        <v>502.0</v>
      </c>
      <c r="AK53" s="122">
        <v>502.0</v>
      </c>
      <c r="AL53" s="122">
        <v>559.0</v>
      </c>
      <c r="AM53" s="122">
        <v>376.0</v>
      </c>
      <c r="AN53" s="122">
        <v>628.0</v>
      </c>
      <c r="AO53" s="122">
        <v>606.0</v>
      </c>
    </row>
    <row r="54">
      <c r="A54" s="120" t="s">
        <v>150</v>
      </c>
      <c r="B54" s="122">
        <v>569.0</v>
      </c>
      <c r="C54" s="122">
        <v>850.0</v>
      </c>
      <c r="D54" s="122">
        <v>614.0</v>
      </c>
      <c r="E54" s="122">
        <v>712.0</v>
      </c>
      <c r="F54" s="122">
        <v>373.0</v>
      </c>
      <c r="G54" s="122">
        <v>593.0</v>
      </c>
      <c r="H54" s="122">
        <v>690.0</v>
      </c>
      <c r="I54" s="122">
        <v>652.0</v>
      </c>
      <c r="J54" s="122">
        <v>903.0</v>
      </c>
      <c r="K54" s="122">
        <v>662.0</v>
      </c>
      <c r="L54" s="122">
        <v>457.0</v>
      </c>
      <c r="M54" s="122">
        <v>917.0</v>
      </c>
      <c r="N54" s="122">
        <v>487.0</v>
      </c>
      <c r="O54" s="122">
        <v>296.0</v>
      </c>
      <c r="P54" s="122">
        <v>600.0</v>
      </c>
      <c r="Q54" s="122">
        <v>903.0</v>
      </c>
      <c r="R54" s="122">
        <v>762.0</v>
      </c>
      <c r="S54" s="122">
        <v>542.0</v>
      </c>
      <c r="T54" s="122">
        <v>491.0</v>
      </c>
      <c r="U54" s="122">
        <v>617.0</v>
      </c>
      <c r="V54" s="122" t="s">
        <v>165</v>
      </c>
      <c r="W54" s="122">
        <v>582.0</v>
      </c>
      <c r="X54" s="122">
        <v>496.0</v>
      </c>
      <c r="Y54" s="122">
        <v>730.0</v>
      </c>
      <c r="Z54" s="122">
        <v>599.0</v>
      </c>
      <c r="AA54" s="122">
        <v>754.0</v>
      </c>
      <c r="AB54" s="122">
        <v>810.0</v>
      </c>
      <c r="AC54" s="122">
        <v>754.0</v>
      </c>
      <c r="AD54" s="122">
        <v>354.0</v>
      </c>
      <c r="AE54" s="122">
        <v>453.0</v>
      </c>
      <c r="AF54" s="122">
        <v>620.0</v>
      </c>
      <c r="AG54" s="122">
        <v>208.0</v>
      </c>
      <c r="AH54" s="122">
        <v>550.0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570.0</v>
      </c>
      <c r="AD55" s="122">
        <v>197.0</v>
      </c>
      <c r="AE55" s="122">
        <v>481.0</v>
      </c>
      <c r="AF55" s="122">
        <v>546.0</v>
      </c>
      <c r="AG55" s="122">
        <v>94.0</v>
      </c>
      <c r="AH55" s="122">
        <v>493.0</v>
      </c>
      <c r="AI55" s="122">
        <v>467.0</v>
      </c>
      <c r="AJ55" s="122">
        <v>451.0</v>
      </c>
      <c r="AK55" s="122">
        <v>599.0</v>
      </c>
      <c r="AL55" s="122">
        <v>504.0</v>
      </c>
      <c r="AM55" s="122">
        <v>464.0</v>
      </c>
      <c r="AN55" s="122">
        <v>701.0</v>
      </c>
      <c r="AO55" s="122">
        <v>524.0</v>
      </c>
    </row>
    <row r="56">
      <c r="A56" s="120" t="s">
        <v>152</v>
      </c>
      <c r="B56" s="122">
        <v>383.0</v>
      </c>
      <c r="C56" s="122">
        <v>468.0</v>
      </c>
      <c r="D56" s="122">
        <v>583.0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165</v>
      </c>
      <c r="T56" s="122">
        <v>460.0</v>
      </c>
      <c r="U56" s="122">
        <v>238.0</v>
      </c>
      <c r="V56" s="122" t="s">
        <v>165</v>
      </c>
      <c r="W56" s="122">
        <v>384.0</v>
      </c>
      <c r="X56" s="122">
        <v>324.0</v>
      </c>
      <c r="Y56" s="122">
        <v>447.0</v>
      </c>
      <c r="Z56" s="122">
        <v>607.0</v>
      </c>
      <c r="AA56" s="122">
        <v>479.0</v>
      </c>
      <c r="AB56" s="122">
        <v>333.0</v>
      </c>
      <c r="AC56" s="122">
        <v>438.0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348.0</v>
      </c>
      <c r="O57" s="122">
        <v>284.0</v>
      </c>
      <c r="P57" s="122">
        <v>146.0</v>
      </c>
      <c r="Q57" s="122">
        <v>325.0</v>
      </c>
      <c r="R57" s="122">
        <v>370.0</v>
      </c>
      <c r="S57" s="122">
        <v>143.0</v>
      </c>
      <c r="T57" s="122">
        <v>330.0</v>
      </c>
      <c r="U57" s="122">
        <v>277.0</v>
      </c>
      <c r="V57" s="122">
        <v>0.0</v>
      </c>
      <c r="W57" s="122">
        <v>456.0</v>
      </c>
      <c r="X57" s="122">
        <v>298.0</v>
      </c>
      <c r="Y57" s="122">
        <v>293.0</v>
      </c>
      <c r="Z57" s="122">
        <v>453.0</v>
      </c>
      <c r="AA57" s="122">
        <v>367.0</v>
      </c>
      <c r="AB57" s="122">
        <v>189.0</v>
      </c>
      <c r="AC57" s="122">
        <v>343.0</v>
      </c>
      <c r="AD57" s="122">
        <v>170.0</v>
      </c>
      <c r="AE57" s="122">
        <v>245.0</v>
      </c>
      <c r="AF57" s="122">
        <v>458.0</v>
      </c>
      <c r="AG57" s="122">
        <v>221.0</v>
      </c>
      <c r="AH57" s="122">
        <v>291.0</v>
      </c>
      <c r="AI57" s="122">
        <v>296.0</v>
      </c>
      <c r="AJ57" s="122">
        <v>312.0</v>
      </c>
      <c r="AK57" s="122">
        <v>372.0</v>
      </c>
      <c r="AL57" s="122">
        <v>311.0</v>
      </c>
      <c r="AM57" s="122">
        <v>318.0</v>
      </c>
      <c r="AN57" s="122">
        <v>431.0</v>
      </c>
      <c r="AO57" s="122">
        <v>356.0</v>
      </c>
    </row>
    <row r="58">
      <c r="A58" s="120" t="s">
        <v>154</v>
      </c>
      <c r="B58" s="122">
        <v>142.0</v>
      </c>
      <c r="C58" s="122">
        <v>337.0</v>
      </c>
      <c r="D58" s="122">
        <v>383.0</v>
      </c>
      <c r="E58" s="122">
        <v>222.0</v>
      </c>
      <c r="F58" s="122">
        <v>231.0</v>
      </c>
      <c r="G58" s="122">
        <v>255.0</v>
      </c>
      <c r="H58" s="122">
        <v>282.0</v>
      </c>
      <c r="I58" s="122">
        <v>274.0</v>
      </c>
      <c r="J58" s="122">
        <v>275.0</v>
      </c>
      <c r="K58" s="122">
        <v>251.0</v>
      </c>
      <c r="L58" s="122">
        <v>206.0</v>
      </c>
      <c r="M58" s="122">
        <v>469.0</v>
      </c>
      <c r="N58" s="122">
        <v>278.0</v>
      </c>
      <c r="O58" s="122">
        <v>234.0</v>
      </c>
      <c r="P58" s="122">
        <v>109.0</v>
      </c>
      <c r="Q58" s="122">
        <v>383.0</v>
      </c>
      <c r="R58" s="122">
        <v>305.0</v>
      </c>
      <c r="S58" s="122" t="s">
        <v>165</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162.0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165</v>
      </c>
      <c r="T59" s="122">
        <v>180.0</v>
      </c>
      <c r="U59" s="122">
        <v>514.0</v>
      </c>
      <c r="V59" s="122">
        <v>0.0</v>
      </c>
      <c r="W59" s="122">
        <v>218.0</v>
      </c>
      <c r="X59" s="122">
        <v>122.0</v>
      </c>
      <c r="Y59" s="122">
        <v>280.0</v>
      </c>
      <c r="Z59" s="122">
        <v>227.0</v>
      </c>
      <c r="AA59" s="122">
        <v>248.0</v>
      </c>
      <c r="AB59" s="122">
        <v>115.0</v>
      </c>
      <c r="AC59" s="122">
        <v>276.0</v>
      </c>
      <c r="AD59" s="122">
        <v>79.0</v>
      </c>
      <c r="AE59" s="122">
        <v>189.0</v>
      </c>
      <c r="AF59" s="122">
        <v>227.0</v>
      </c>
      <c r="AG59" s="122">
        <v>163.0</v>
      </c>
      <c r="AH59" s="122">
        <v>190.0</v>
      </c>
      <c r="AI59" s="122">
        <v>143.0</v>
      </c>
      <c r="AJ59" s="122">
        <v>174.0</v>
      </c>
      <c r="AK59" s="122">
        <v>129.0</v>
      </c>
      <c r="AL59" s="122">
        <v>190.0</v>
      </c>
      <c r="AM59" s="122">
        <v>230.0</v>
      </c>
      <c r="AN59" s="122">
        <v>217.0</v>
      </c>
      <c r="AO59" s="122">
        <v>227.0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165</v>
      </c>
      <c r="N60" s="122">
        <v>149.0</v>
      </c>
      <c r="O60" s="122">
        <v>160.0</v>
      </c>
      <c r="P60" s="122" t="s">
        <v>165</v>
      </c>
      <c r="Q60" s="122">
        <v>236.0</v>
      </c>
      <c r="R60" s="122">
        <v>157.0</v>
      </c>
      <c r="S60" s="122">
        <v>171.0</v>
      </c>
      <c r="T60" s="122">
        <v>68.0</v>
      </c>
      <c r="U60" s="122">
        <v>315.0</v>
      </c>
      <c r="V60" s="122" t="s">
        <v>165</v>
      </c>
      <c r="W60" s="122">
        <v>166.0</v>
      </c>
      <c r="X60" s="122">
        <v>145.0</v>
      </c>
      <c r="Y60" s="122">
        <v>243.0</v>
      </c>
      <c r="Z60" s="122">
        <v>154.0</v>
      </c>
      <c r="AA60" s="122">
        <v>215.0</v>
      </c>
      <c r="AB60" s="122">
        <v>52.0</v>
      </c>
      <c r="AC60" s="122">
        <v>240.0</v>
      </c>
      <c r="AD60" s="122">
        <v>131.0</v>
      </c>
      <c r="AE60" s="122">
        <v>57.0</v>
      </c>
      <c r="AF60" s="122">
        <v>467.0</v>
      </c>
      <c r="AG60" s="122">
        <v>224.0</v>
      </c>
      <c r="AH60" s="122">
        <v>240.0</v>
      </c>
      <c r="AI60" s="122">
        <v>191.0</v>
      </c>
      <c r="AJ60" s="122">
        <v>143.0</v>
      </c>
      <c r="AK60" s="122">
        <v>129.0</v>
      </c>
      <c r="AL60" s="122">
        <v>190.0</v>
      </c>
      <c r="AM60" s="122">
        <v>199.0</v>
      </c>
      <c r="AN60" s="122">
        <v>154.0</v>
      </c>
      <c r="AO60" s="122">
        <v>200.0</v>
      </c>
    </row>
    <row r="61">
      <c r="A61" s="120" t="s">
        <v>157</v>
      </c>
      <c r="B61" s="122">
        <v>167.0</v>
      </c>
      <c r="C61" s="122">
        <v>139.0</v>
      </c>
      <c r="D61" s="122">
        <v>219.0</v>
      </c>
      <c r="E61" s="122">
        <v>212.0</v>
      </c>
      <c r="F61" s="122">
        <v>193.0</v>
      </c>
      <c r="G61" s="122">
        <v>139.0</v>
      </c>
      <c r="H61" s="122">
        <v>197.0</v>
      </c>
      <c r="I61" s="122">
        <v>211.0</v>
      </c>
      <c r="J61" s="122">
        <v>306.0</v>
      </c>
      <c r="K61" s="122">
        <v>173.0</v>
      </c>
      <c r="L61" s="122">
        <v>162.0</v>
      </c>
      <c r="M61" s="122">
        <v>149.0</v>
      </c>
      <c r="N61" s="122" t="s">
        <v>165</v>
      </c>
      <c r="O61" s="122">
        <v>173.0</v>
      </c>
      <c r="P61" s="122" t="s">
        <v>165</v>
      </c>
      <c r="Q61" s="122">
        <v>222.0</v>
      </c>
      <c r="R61" s="122">
        <v>134.0</v>
      </c>
      <c r="S61" s="122">
        <v>0.0</v>
      </c>
      <c r="T61" s="122">
        <v>106.0</v>
      </c>
      <c r="U61" s="122">
        <v>405.0</v>
      </c>
      <c r="V61" s="122">
        <v>0.0</v>
      </c>
      <c r="W61" s="122">
        <v>137.0</v>
      </c>
      <c r="X61" s="122">
        <v>160.0</v>
      </c>
      <c r="Y61" s="122">
        <v>348.0</v>
      </c>
      <c r="Z61" s="122">
        <v>194.0</v>
      </c>
      <c r="AA61" s="122">
        <v>213.0</v>
      </c>
      <c r="AB61" s="122">
        <v>138.0</v>
      </c>
      <c r="AC61" s="122">
        <v>257.0</v>
      </c>
      <c r="AD61" s="122">
        <v>66.0</v>
      </c>
      <c r="AE61" s="122">
        <v>94.0</v>
      </c>
      <c r="AF61" s="122">
        <v>841.0</v>
      </c>
      <c r="AG61" s="122">
        <v>345.0</v>
      </c>
      <c r="AH61" s="122">
        <v>120.0</v>
      </c>
      <c r="AI61" s="122">
        <v>95.0</v>
      </c>
      <c r="AJ61" s="122">
        <v>186.0</v>
      </c>
      <c r="AK61" s="122">
        <v>162.0</v>
      </c>
      <c r="AL61" s="122">
        <v>155.0</v>
      </c>
      <c r="AM61" s="122">
        <v>168.0</v>
      </c>
      <c r="AN61" s="122">
        <v>154.0</v>
      </c>
      <c r="AO61" s="122">
        <v>226.0</v>
      </c>
    </row>
    <row r="62">
      <c r="A62" s="120" t="s">
        <v>158</v>
      </c>
      <c r="B62" s="122">
        <v>148.0</v>
      </c>
      <c r="C62" s="122">
        <v>189.0</v>
      </c>
      <c r="D62" s="122">
        <v>170.0</v>
      </c>
      <c r="E62" s="122">
        <v>108.0</v>
      </c>
      <c r="F62" s="122">
        <v>180.0</v>
      </c>
      <c r="G62" s="122">
        <v>159.0</v>
      </c>
      <c r="H62" s="122">
        <v>232.0</v>
      </c>
      <c r="I62" s="122">
        <v>167.0</v>
      </c>
      <c r="J62" s="122">
        <v>161.0</v>
      </c>
      <c r="K62" s="122">
        <v>150.0</v>
      </c>
      <c r="L62" s="122">
        <v>103.0</v>
      </c>
      <c r="M62" s="122">
        <v>277.0</v>
      </c>
      <c r="N62" s="122">
        <v>139.0</v>
      </c>
      <c r="O62" s="122">
        <v>197.0</v>
      </c>
      <c r="P62" s="122">
        <v>91.0</v>
      </c>
      <c r="Q62" s="122">
        <v>222.0</v>
      </c>
      <c r="R62" s="122">
        <v>139.0</v>
      </c>
      <c r="S62" s="122">
        <v>171.0</v>
      </c>
      <c r="T62" s="122">
        <v>81.0</v>
      </c>
      <c r="U62" s="122">
        <v>514.0</v>
      </c>
      <c r="V62" s="122" t="s">
        <v>165</v>
      </c>
      <c r="W62" s="122">
        <v>218.0</v>
      </c>
      <c r="X62" s="122">
        <v>164.0</v>
      </c>
      <c r="Y62" s="122">
        <v>203.0</v>
      </c>
      <c r="Z62" s="122">
        <v>105.0</v>
      </c>
      <c r="AA62" s="122">
        <v>203.0</v>
      </c>
      <c r="AB62" s="122">
        <v>184.0</v>
      </c>
      <c r="AC62" s="122">
        <v>225.0</v>
      </c>
      <c r="AD62" s="122" t="s">
        <v>165</v>
      </c>
      <c r="AE62" s="122">
        <v>104.0</v>
      </c>
      <c r="AF62" s="122">
        <v>513.0</v>
      </c>
      <c r="AG62" s="122">
        <v>335.0</v>
      </c>
      <c r="AH62" s="122">
        <v>114.0</v>
      </c>
      <c r="AI62" s="122">
        <v>67.0</v>
      </c>
      <c r="AJ62" s="122">
        <v>138.0</v>
      </c>
      <c r="AK62" s="122">
        <v>210.0</v>
      </c>
      <c r="AL62" s="122">
        <v>124.0</v>
      </c>
      <c r="AM62" s="122">
        <v>172.0</v>
      </c>
      <c r="AN62" s="122">
        <v>270.0</v>
      </c>
      <c r="AO62" s="122">
        <v>208.0</v>
      </c>
    </row>
    <row r="63">
      <c r="A63" s="120" t="s">
        <v>159</v>
      </c>
      <c r="B63" s="122">
        <v>198.0</v>
      </c>
      <c r="C63" s="122">
        <v>175.0</v>
      </c>
      <c r="D63" s="122">
        <v>182.0</v>
      </c>
      <c r="E63" s="122">
        <v>150.0</v>
      </c>
      <c r="F63" s="122">
        <v>244.0</v>
      </c>
      <c r="G63" s="122">
        <v>179.0</v>
      </c>
      <c r="H63" s="122">
        <v>248.0</v>
      </c>
      <c r="I63" s="122">
        <v>286.0</v>
      </c>
      <c r="J63" s="122">
        <v>161.0</v>
      </c>
      <c r="K63" s="122">
        <v>129.0</v>
      </c>
      <c r="L63" s="122">
        <v>251.0</v>
      </c>
      <c r="M63" s="122">
        <v>277.0</v>
      </c>
      <c r="N63" s="122">
        <v>179.0</v>
      </c>
      <c r="O63" s="122">
        <v>185.0</v>
      </c>
      <c r="P63" s="122" t="s">
        <v>165</v>
      </c>
      <c r="Q63" s="122">
        <v>171.0</v>
      </c>
      <c r="R63" s="122">
        <v>185.0</v>
      </c>
      <c r="S63" s="122" t="s">
        <v>165</v>
      </c>
      <c r="T63" s="122">
        <v>143.0</v>
      </c>
      <c r="U63" s="122">
        <v>341.0</v>
      </c>
      <c r="V63" s="122" t="s">
        <v>165</v>
      </c>
      <c r="W63" s="122">
        <v>170.0</v>
      </c>
      <c r="X63" s="122">
        <v>286.0</v>
      </c>
      <c r="Y63" s="122">
        <v>253.0</v>
      </c>
      <c r="Z63" s="122">
        <v>154.0</v>
      </c>
      <c r="AA63" s="122">
        <v>149.0</v>
      </c>
      <c r="AB63" s="122">
        <v>126.0</v>
      </c>
      <c r="AC63" s="122">
        <v>216.0</v>
      </c>
      <c r="AD63" s="122">
        <v>131.0</v>
      </c>
      <c r="AE63" s="122">
        <v>217.0</v>
      </c>
      <c r="AF63" s="122">
        <v>430.0</v>
      </c>
      <c r="AG63" s="122">
        <v>290.0</v>
      </c>
      <c r="AH63" s="122">
        <v>139.0</v>
      </c>
      <c r="AI63" s="122">
        <v>95.0</v>
      </c>
      <c r="AJ63" s="122">
        <v>171.0</v>
      </c>
      <c r="AK63" s="122">
        <v>275.0</v>
      </c>
      <c r="AL63" s="122">
        <v>155.0</v>
      </c>
      <c r="AM63" s="122">
        <v>181.0</v>
      </c>
      <c r="AN63" s="122">
        <v>224.0</v>
      </c>
      <c r="AO63" s="122">
        <v>213.0</v>
      </c>
    </row>
    <row r="64">
      <c r="A64" s="120" t="s">
        <v>160</v>
      </c>
      <c r="B64" s="122">
        <v>124.0</v>
      </c>
      <c r="C64" s="122">
        <v>207.0</v>
      </c>
      <c r="D64" s="122">
        <v>164.0</v>
      </c>
      <c r="E64" s="122">
        <v>67.0</v>
      </c>
      <c r="F64" s="122">
        <v>154.0</v>
      </c>
      <c r="G64" s="122">
        <v>168.0</v>
      </c>
      <c r="H64" s="122">
        <v>201.0</v>
      </c>
      <c r="I64" s="122">
        <v>190.0</v>
      </c>
      <c r="J64" s="122">
        <v>191.0</v>
      </c>
      <c r="K64" s="122">
        <v>129.0</v>
      </c>
      <c r="L64" s="122">
        <v>192.0</v>
      </c>
      <c r="M64" s="122">
        <v>171.0</v>
      </c>
      <c r="N64" s="122">
        <v>248.0</v>
      </c>
      <c r="O64" s="122">
        <v>173.0</v>
      </c>
      <c r="P64" s="122">
        <v>109.0</v>
      </c>
      <c r="Q64" s="122">
        <v>205.0</v>
      </c>
      <c r="R64" s="122">
        <v>199.0</v>
      </c>
      <c r="S64" s="122" t="s">
        <v>165</v>
      </c>
      <c r="T64" s="122">
        <v>230.0</v>
      </c>
      <c r="U64" s="122">
        <v>193.0</v>
      </c>
      <c r="V64" s="122">
        <v>0.0</v>
      </c>
      <c r="W64" s="122">
        <v>238.0</v>
      </c>
      <c r="X64" s="122">
        <v>198.0</v>
      </c>
      <c r="Y64" s="122">
        <v>228.0</v>
      </c>
      <c r="Z64" s="122">
        <v>202.0</v>
      </c>
      <c r="AA64" s="122">
        <v>199.0</v>
      </c>
      <c r="AB64" s="122">
        <v>103.0</v>
      </c>
      <c r="AC64" s="122">
        <v>224.0</v>
      </c>
      <c r="AD64" s="122">
        <v>118.0</v>
      </c>
      <c r="AE64" s="122">
        <v>198.0</v>
      </c>
      <c r="AF64" s="122">
        <v>365.0</v>
      </c>
      <c r="AG64" s="122">
        <v>111.0</v>
      </c>
      <c r="AH64" s="122">
        <v>202.0</v>
      </c>
      <c r="AI64" s="122">
        <v>172.0</v>
      </c>
      <c r="AJ64" s="122">
        <v>141.0</v>
      </c>
      <c r="AK64" s="122">
        <v>146.0</v>
      </c>
      <c r="AL64" s="122">
        <v>221.0</v>
      </c>
      <c r="AM64" s="122">
        <v>217.0</v>
      </c>
      <c r="AN64" s="122">
        <v>262.0</v>
      </c>
      <c r="AO64" s="122">
        <v>204.0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317</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318</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319</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320</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321</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274</v>
      </c>
      <c r="C8" s="221" t="s">
        <v>275</v>
      </c>
      <c r="D8" s="221" t="s">
        <v>276</v>
      </c>
      <c r="E8" s="221" t="s">
        <v>277</v>
      </c>
      <c r="F8" s="221" t="s">
        <v>278</v>
      </c>
      <c r="G8" s="221" t="s">
        <v>279</v>
      </c>
      <c r="H8" s="221" t="s">
        <v>280</v>
      </c>
      <c r="I8" s="221" t="s">
        <v>281</v>
      </c>
      <c r="J8" s="221" t="s">
        <v>282</v>
      </c>
      <c r="K8" s="221" t="s">
        <v>283</v>
      </c>
      <c r="L8" s="221" t="s">
        <v>284</v>
      </c>
      <c r="M8" s="221" t="s">
        <v>285</v>
      </c>
      <c r="N8" s="221" t="s">
        <v>286</v>
      </c>
      <c r="O8" s="221" t="s">
        <v>287</v>
      </c>
      <c r="P8" s="221" t="s">
        <v>288</v>
      </c>
      <c r="Q8" s="221" t="s">
        <v>289</v>
      </c>
      <c r="R8" s="221" t="s">
        <v>290</v>
      </c>
      <c r="S8" s="221" t="s">
        <v>291</v>
      </c>
      <c r="T8" s="221" t="s">
        <v>292</v>
      </c>
      <c r="U8" s="221" t="s">
        <v>293</v>
      </c>
      <c r="V8" s="221" t="s">
        <v>294</v>
      </c>
      <c r="W8" s="221" t="s">
        <v>295</v>
      </c>
      <c r="X8" s="221" t="s">
        <v>296</v>
      </c>
      <c r="Y8" s="221" t="s">
        <v>297</v>
      </c>
      <c r="Z8" s="221" t="s">
        <v>298</v>
      </c>
      <c r="AA8" s="221" t="s">
        <v>299</v>
      </c>
      <c r="AB8" s="221" t="s">
        <v>300</v>
      </c>
      <c r="AC8" s="221" t="s">
        <v>301</v>
      </c>
      <c r="AD8" s="221" t="s">
        <v>302</v>
      </c>
      <c r="AE8" s="221" t="s">
        <v>303</v>
      </c>
      <c r="AF8" s="221" t="s">
        <v>304</v>
      </c>
      <c r="AG8" s="221" t="s">
        <v>305</v>
      </c>
      <c r="AH8" s="221" t="s">
        <v>306</v>
      </c>
      <c r="AI8" s="221" t="s">
        <v>307</v>
      </c>
      <c r="AJ8" s="221" t="s">
        <v>308</v>
      </c>
      <c r="AK8" s="221" t="s">
        <v>309</v>
      </c>
      <c r="AL8" s="221" t="s">
        <v>310</v>
      </c>
      <c r="AM8" s="221" t="s">
        <v>311</v>
      </c>
      <c r="AN8" s="221" t="s">
        <v>312</v>
      </c>
      <c r="AO8" s="221" t="s">
        <v>313</v>
      </c>
      <c r="AP8" s="221" t="s">
        <v>268</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322</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323</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324</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320</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325</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274</v>
      </c>
      <c r="C8" s="232" t="s">
        <v>275</v>
      </c>
      <c r="D8" s="232" t="s">
        <v>276</v>
      </c>
      <c r="E8" s="232" t="s">
        <v>277</v>
      </c>
      <c r="F8" s="232" t="s">
        <v>278</v>
      </c>
      <c r="G8" s="232" t="s">
        <v>279</v>
      </c>
      <c r="H8" s="232" t="s">
        <v>280</v>
      </c>
      <c r="I8" s="232" t="s">
        <v>281</v>
      </c>
      <c r="J8" s="232" t="s">
        <v>282</v>
      </c>
      <c r="K8" s="232" t="s">
        <v>283</v>
      </c>
      <c r="L8" s="232" t="s">
        <v>284</v>
      </c>
      <c r="M8" s="232" t="s">
        <v>285</v>
      </c>
      <c r="N8" s="232" t="s">
        <v>286</v>
      </c>
      <c r="O8" s="232" t="s">
        <v>287</v>
      </c>
      <c r="P8" s="232" t="s">
        <v>288</v>
      </c>
      <c r="Q8" s="232" t="s">
        <v>289</v>
      </c>
      <c r="R8" s="232" t="s">
        <v>290</v>
      </c>
      <c r="S8" s="232" t="s">
        <v>291</v>
      </c>
      <c r="T8" s="232" t="s">
        <v>292</v>
      </c>
      <c r="U8" s="232" t="s">
        <v>293</v>
      </c>
      <c r="V8" s="232" t="s">
        <v>294</v>
      </c>
      <c r="W8" s="232" t="s">
        <v>295</v>
      </c>
      <c r="X8" s="232" t="s">
        <v>296</v>
      </c>
      <c r="Y8" s="232" t="s">
        <v>297</v>
      </c>
      <c r="Z8" s="232" t="s">
        <v>298</v>
      </c>
      <c r="AA8" s="232" t="s">
        <v>299</v>
      </c>
      <c r="AB8" s="232" t="s">
        <v>300</v>
      </c>
      <c r="AC8" s="232" t="s">
        <v>301</v>
      </c>
      <c r="AD8" s="232" t="s">
        <v>302</v>
      </c>
      <c r="AE8" s="232" t="s">
        <v>303</v>
      </c>
      <c r="AF8" s="232" t="s">
        <v>304</v>
      </c>
      <c r="AG8" s="232" t="s">
        <v>305</v>
      </c>
      <c r="AH8" s="232" t="s">
        <v>306</v>
      </c>
      <c r="AI8" s="232" t="s">
        <v>307</v>
      </c>
      <c r="AJ8" s="232" t="s">
        <v>308</v>
      </c>
      <c r="AK8" s="232" t="s">
        <v>309</v>
      </c>
      <c r="AL8" s="232" t="s">
        <v>310</v>
      </c>
      <c r="AM8" s="232" t="s">
        <v>311</v>
      </c>
      <c r="AN8" s="232" t="s">
        <v>312</v>
      </c>
      <c r="AO8" s="232" t="s">
        <v>268</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165</v>
      </c>
      <c r="C17" s="234">
        <v>0.045</v>
      </c>
      <c r="D17" s="234">
        <v>0.052</v>
      </c>
      <c r="E17" s="234">
        <v>0.225</v>
      </c>
      <c r="F17" s="233" t="s">
        <v>165</v>
      </c>
      <c r="G17" s="234">
        <v>0.044</v>
      </c>
      <c r="H17" s="234">
        <v>0.103</v>
      </c>
      <c r="I17" s="234">
        <v>0.047</v>
      </c>
      <c r="J17" s="234">
        <v>0.046</v>
      </c>
      <c r="K17" s="234">
        <v>0.058</v>
      </c>
      <c r="L17" s="233" t="s">
        <v>165</v>
      </c>
      <c r="M17" s="233" t="s">
        <v>165</v>
      </c>
      <c r="N17" s="233" t="s">
        <v>165</v>
      </c>
      <c r="O17" s="234">
        <v>0.0</v>
      </c>
      <c r="P17" s="234">
        <v>0.0</v>
      </c>
      <c r="Q17" s="234">
        <v>0.071</v>
      </c>
      <c r="R17" s="234">
        <v>0.073</v>
      </c>
      <c r="S17" s="234">
        <v>0.0</v>
      </c>
      <c r="T17" s="233" t="s">
        <v>165</v>
      </c>
      <c r="U17" s="233" t="s">
        <v>165</v>
      </c>
      <c r="V17" s="234">
        <v>0.0</v>
      </c>
      <c r="W17" s="234">
        <v>0.037</v>
      </c>
      <c r="X17" s="234">
        <v>0.021</v>
      </c>
      <c r="Y17" s="234">
        <v>0.1</v>
      </c>
      <c r="Z17" s="233" t="s">
        <v>165</v>
      </c>
      <c r="AA17" s="234">
        <v>0.155</v>
      </c>
      <c r="AB17" s="233" t="s">
        <v>165</v>
      </c>
      <c r="AC17" s="234">
        <v>0.21</v>
      </c>
      <c r="AD17" s="234">
        <v>0.116</v>
      </c>
      <c r="AE17" s="233" t="s">
        <v>165</v>
      </c>
      <c r="AF17" s="234">
        <v>0.077</v>
      </c>
      <c r="AG17" s="233" t="s">
        <v>165</v>
      </c>
      <c r="AH17" s="234">
        <v>0.049</v>
      </c>
      <c r="AI17" s="233" t="s">
        <v>165</v>
      </c>
      <c r="AJ17" s="234">
        <v>0.074</v>
      </c>
      <c r="AK17" s="233" t="s">
        <v>165</v>
      </c>
      <c r="AL17" s="234">
        <v>0.086</v>
      </c>
      <c r="AM17" s="234">
        <v>0.074</v>
      </c>
      <c r="AN17" s="234">
        <v>0.107</v>
      </c>
      <c r="AO17" s="234">
        <v>0.114</v>
      </c>
    </row>
    <row r="18">
      <c r="A18" s="228" t="s">
        <v>115</v>
      </c>
      <c r="B18" s="233" t="s">
        <v>165</v>
      </c>
      <c r="C18" s="234">
        <v>0.039</v>
      </c>
      <c r="D18" s="233" t="s">
        <v>165</v>
      </c>
      <c r="E18" s="234">
        <v>0.193</v>
      </c>
      <c r="F18" s="233" t="s">
        <v>165</v>
      </c>
      <c r="G18" s="234">
        <v>0.037</v>
      </c>
      <c r="H18" s="234">
        <v>0.071</v>
      </c>
      <c r="I18" s="234">
        <v>0.061</v>
      </c>
      <c r="J18" s="234">
        <v>0.032</v>
      </c>
      <c r="K18" s="234">
        <v>0.071</v>
      </c>
      <c r="L18" s="234">
        <v>0.15</v>
      </c>
      <c r="M18" s="233" t="s">
        <v>165</v>
      </c>
      <c r="N18" s="233" t="s">
        <v>165</v>
      </c>
      <c r="O18" s="233" t="s">
        <v>165</v>
      </c>
      <c r="P18" s="233" t="s">
        <v>165</v>
      </c>
      <c r="Q18" s="234">
        <v>0.077</v>
      </c>
      <c r="R18" s="234">
        <v>0.066</v>
      </c>
      <c r="S18" s="233" t="s">
        <v>165</v>
      </c>
      <c r="T18" s="233" t="s">
        <v>165</v>
      </c>
      <c r="U18" s="233" t="s">
        <v>165</v>
      </c>
      <c r="V18" s="234">
        <v>0.0</v>
      </c>
      <c r="W18" s="234">
        <v>0.036</v>
      </c>
      <c r="X18" s="234">
        <v>0.035</v>
      </c>
      <c r="Y18" s="234">
        <v>0.079</v>
      </c>
      <c r="Z18" s="233" t="s">
        <v>165</v>
      </c>
      <c r="AA18" s="234">
        <v>0.129</v>
      </c>
      <c r="AB18" s="233" t="s">
        <v>165</v>
      </c>
      <c r="AC18" s="234">
        <v>0.157</v>
      </c>
      <c r="AD18" s="233" t="s">
        <v>165</v>
      </c>
      <c r="AE18" s="233" t="s">
        <v>165</v>
      </c>
      <c r="AF18" s="234">
        <v>0.08</v>
      </c>
      <c r="AG18" s="233" t="s">
        <v>165</v>
      </c>
      <c r="AH18" s="234">
        <v>0.029</v>
      </c>
      <c r="AI18" s="233" t="s">
        <v>165</v>
      </c>
      <c r="AJ18" s="234">
        <v>0.049</v>
      </c>
      <c r="AK18" s="234">
        <v>0.0</v>
      </c>
      <c r="AL18" s="234">
        <v>0.085</v>
      </c>
      <c r="AM18" s="233" t="s">
        <v>165</v>
      </c>
      <c r="AN18" s="234">
        <v>0.115</v>
      </c>
      <c r="AO18" s="234">
        <v>0.089</v>
      </c>
    </row>
    <row r="19">
      <c r="A19" s="228" t="s">
        <v>116</v>
      </c>
      <c r="B19" s="234">
        <v>0.058</v>
      </c>
      <c r="C19" s="234">
        <v>0.028</v>
      </c>
      <c r="D19" s="233" t="s">
        <v>165</v>
      </c>
      <c r="E19" s="234">
        <v>0.151</v>
      </c>
      <c r="F19" s="234">
        <v>0.0</v>
      </c>
      <c r="G19" s="234">
        <v>0.027</v>
      </c>
      <c r="H19" s="234">
        <v>0.066</v>
      </c>
      <c r="I19" s="234">
        <v>0.029</v>
      </c>
      <c r="J19" s="234">
        <v>0.022</v>
      </c>
      <c r="K19" s="234">
        <v>0.048</v>
      </c>
      <c r="L19" s="233" t="s">
        <v>165</v>
      </c>
      <c r="M19" s="233" t="s">
        <v>165</v>
      </c>
      <c r="N19" s="234">
        <v>0.087</v>
      </c>
      <c r="O19" s="233" t="s">
        <v>165</v>
      </c>
      <c r="P19" s="234">
        <v>0.0</v>
      </c>
      <c r="Q19" s="234">
        <v>0.053</v>
      </c>
      <c r="R19" s="234">
        <v>0.042</v>
      </c>
      <c r="S19" s="234">
        <v>0.0</v>
      </c>
      <c r="T19" s="234">
        <v>0.0</v>
      </c>
      <c r="U19" s="233" t="s">
        <v>165</v>
      </c>
      <c r="V19" s="233" t="s">
        <v>165</v>
      </c>
      <c r="W19" s="233" t="s">
        <v>165</v>
      </c>
      <c r="X19" s="234">
        <v>0.016</v>
      </c>
      <c r="Y19" s="234">
        <v>0.074</v>
      </c>
      <c r="Z19" s="234">
        <v>0.031</v>
      </c>
      <c r="AA19" s="234">
        <v>0.085</v>
      </c>
      <c r="AB19" s="233" t="s">
        <v>165</v>
      </c>
      <c r="AC19" s="234">
        <v>0.131</v>
      </c>
      <c r="AD19" s="233" t="s">
        <v>165</v>
      </c>
      <c r="AE19" s="234">
        <v>0.036</v>
      </c>
      <c r="AF19" s="234">
        <v>0.069</v>
      </c>
      <c r="AG19" s="233" t="s">
        <v>165</v>
      </c>
      <c r="AH19" s="234">
        <v>0.051</v>
      </c>
      <c r="AI19" s="234">
        <v>0.083</v>
      </c>
      <c r="AJ19" s="234">
        <v>0.034</v>
      </c>
      <c r="AK19" s="233" t="s">
        <v>165</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165</v>
      </c>
      <c r="K20" s="234">
        <v>0.024</v>
      </c>
      <c r="L20" s="233" t="s">
        <v>165</v>
      </c>
      <c r="M20" s="233" t="s">
        <v>165</v>
      </c>
      <c r="N20" s="233" t="s">
        <v>165</v>
      </c>
      <c r="O20" s="233" t="s">
        <v>165</v>
      </c>
      <c r="P20" s="233" t="s">
        <v>165</v>
      </c>
      <c r="Q20" s="234">
        <v>0.045</v>
      </c>
      <c r="R20" s="234">
        <v>0.035</v>
      </c>
      <c r="S20" s="233" t="s">
        <v>165</v>
      </c>
      <c r="T20" s="233" t="s">
        <v>165</v>
      </c>
      <c r="U20" s="233" t="s">
        <v>165</v>
      </c>
      <c r="V20" s="234">
        <v>0.0</v>
      </c>
      <c r="W20" s="233" t="s">
        <v>165</v>
      </c>
      <c r="X20" s="234">
        <v>0.017</v>
      </c>
      <c r="Y20" s="234">
        <v>0.045</v>
      </c>
      <c r="Z20" s="234">
        <v>0.035</v>
      </c>
      <c r="AA20" s="234">
        <v>0.071</v>
      </c>
      <c r="AB20" s="234">
        <v>0.047</v>
      </c>
      <c r="AC20" s="234">
        <v>0.108</v>
      </c>
      <c r="AD20" s="233" t="s">
        <v>165</v>
      </c>
      <c r="AE20" s="233" t="s">
        <v>165</v>
      </c>
      <c r="AF20" s="234">
        <v>0.046</v>
      </c>
      <c r="AG20" s="233" t="s">
        <v>165</v>
      </c>
      <c r="AH20" s="234">
        <v>0.053</v>
      </c>
      <c r="AI20" s="234">
        <v>0.028</v>
      </c>
      <c r="AJ20" s="234">
        <v>0.037</v>
      </c>
      <c r="AK20" s="233" t="s">
        <v>165</v>
      </c>
      <c r="AL20" s="234">
        <v>0.034</v>
      </c>
      <c r="AM20" s="233" t="s">
        <v>165</v>
      </c>
      <c r="AN20" s="234">
        <v>0.061</v>
      </c>
      <c r="AO20" s="234">
        <v>0.057</v>
      </c>
    </row>
    <row r="21">
      <c r="A21" s="228" t="s">
        <v>118</v>
      </c>
      <c r="B21" s="233" t="s">
        <v>165</v>
      </c>
      <c r="C21" s="234">
        <v>0.023</v>
      </c>
      <c r="D21" s="233" t="s">
        <v>165</v>
      </c>
      <c r="E21" s="234">
        <v>0.088</v>
      </c>
      <c r="F21" s="233" t="s">
        <v>165</v>
      </c>
      <c r="G21" s="234">
        <v>0.022</v>
      </c>
      <c r="H21" s="234">
        <v>0.047</v>
      </c>
      <c r="I21" s="234">
        <v>0.019</v>
      </c>
      <c r="J21" s="234">
        <v>0.0</v>
      </c>
      <c r="K21" s="234">
        <v>0.034</v>
      </c>
      <c r="L21" s="234">
        <v>0.0</v>
      </c>
      <c r="M21" s="233" t="s">
        <v>165</v>
      </c>
      <c r="N21" s="233" t="s">
        <v>165</v>
      </c>
      <c r="O21" s="234">
        <v>0.0</v>
      </c>
      <c r="P21" s="233" t="s">
        <v>165</v>
      </c>
      <c r="Q21" s="234">
        <v>0.093</v>
      </c>
      <c r="R21" s="234">
        <v>0.042</v>
      </c>
      <c r="S21" s="234">
        <v>0.0</v>
      </c>
      <c r="T21" s="235">
        <v>0.025</v>
      </c>
      <c r="U21" s="233" t="s">
        <v>165</v>
      </c>
      <c r="V21" s="234">
        <v>0.0</v>
      </c>
      <c r="W21" s="234">
        <v>0.041</v>
      </c>
      <c r="X21" s="234">
        <v>0.019</v>
      </c>
      <c r="Y21" s="234">
        <v>0.038</v>
      </c>
      <c r="Z21" s="233" t="s">
        <v>165</v>
      </c>
      <c r="AA21" s="234">
        <v>0.066</v>
      </c>
      <c r="AB21" s="234">
        <v>0.041</v>
      </c>
      <c r="AC21" s="234">
        <v>0.117</v>
      </c>
      <c r="AD21" s="233" t="s">
        <v>165</v>
      </c>
      <c r="AE21" s="233" t="s">
        <v>165</v>
      </c>
      <c r="AF21" s="234">
        <v>0.0</v>
      </c>
      <c r="AG21" s="234">
        <v>0.0</v>
      </c>
      <c r="AH21" s="233" t="s">
        <v>165</v>
      </c>
      <c r="AI21" s="234">
        <v>0.0</v>
      </c>
      <c r="AJ21" s="234">
        <v>0.02</v>
      </c>
      <c r="AK21" s="233" t="s">
        <v>165</v>
      </c>
      <c r="AL21" s="234">
        <v>0.026</v>
      </c>
      <c r="AM21" s="233" t="s">
        <v>165</v>
      </c>
      <c r="AN21" s="234">
        <v>0.068</v>
      </c>
      <c r="AO21" s="234">
        <v>0.052</v>
      </c>
    </row>
    <row r="22">
      <c r="A22" s="228" t="s">
        <v>119</v>
      </c>
      <c r="B22" s="233" t="s">
        <v>165</v>
      </c>
      <c r="C22" s="233" t="s">
        <v>165</v>
      </c>
      <c r="D22" s="233" t="s">
        <v>165</v>
      </c>
      <c r="E22" s="234">
        <v>0.086</v>
      </c>
      <c r="F22" s="234">
        <v>0.0</v>
      </c>
      <c r="G22" s="233" t="s">
        <v>165</v>
      </c>
      <c r="H22" s="234">
        <v>0.031</v>
      </c>
      <c r="I22" s="234">
        <v>0.03</v>
      </c>
      <c r="J22" s="233" t="s">
        <v>165</v>
      </c>
      <c r="K22" s="234">
        <v>0.014</v>
      </c>
      <c r="L22" s="233" t="s">
        <v>165</v>
      </c>
      <c r="M22" s="234">
        <v>0.0</v>
      </c>
      <c r="N22" s="233" t="s">
        <v>165</v>
      </c>
      <c r="O22" s="234">
        <v>0.0</v>
      </c>
      <c r="P22" s="233" t="s">
        <v>165</v>
      </c>
      <c r="Q22" s="234">
        <v>0.028</v>
      </c>
      <c r="R22" s="233" t="s">
        <v>165</v>
      </c>
      <c r="S22" s="234">
        <v>0.0</v>
      </c>
      <c r="T22" s="233" t="s">
        <v>165</v>
      </c>
      <c r="U22" s="233" t="s">
        <v>165</v>
      </c>
      <c r="V22" s="234">
        <v>0.0</v>
      </c>
      <c r="W22" s="233" t="s">
        <v>165</v>
      </c>
      <c r="X22" s="233" t="s">
        <v>165</v>
      </c>
      <c r="Y22" s="234">
        <v>0.036</v>
      </c>
      <c r="Z22" s="233" t="s">
        <v>165</v>
      </c>
      <c r="AA22" s="234">
        <v>0.041</v>
      </c>
      <c r="AB22" s="234">
        <v>0.027</v>
      </c>
      <c r="AC22" s="234">
        <v>0.078</v>
      </c>
      <c r="AD22" s="234">
        <v>0.0</v>
      </c>
      <c r="AE22" s="233" t="s">
        <v>165</v>
      </c>
      <c r="AF22" s="233" t="s">
        <v>165</v>
      </c>
      <c r="AG22" s="234">
        <v>0.0</v>
      </c>
      <c r="AH22" s="233" t="s">
        <v>165</v>
      </c>
      <c r="AI22" s="233" t="s">
        <v>165</v>
      </c>
      <c r="AJ22" s="234">
        <v>0.017</v>
      </c>
      <c r="AK22" s="234">
        <v>0.0</v>
      </c>
      <c r="AL22" s="234">
        <v>0.02</v>
      </c>
      <c r="AM22" s="234">
        <v>0.0</v>
      </c>
      <c r="AN22" s="234">
        <v>0.043</v>
      </c>
      <c r="AO22" s="234">
        <v>0.033</v>
      </c>
    </row>
    <row r="23">
      <c r="A23" s="228" t="s">
        <v>120</v>
      </c>
      <c r="B23" s="233" t="s">
        <v>165</v>
      </c>
      <c r="C23" s="233" t="s">
        <v>165</v>
      </c>
      <c r="D23" s="233" t="s">
        <v>165</v>
      </c>
      <c r="E23" s="234">
        <v>0.084</v>
      </c>
      <c r="F23" s="233" t="s">
        <v>165</v>
      </c>
      <c r="G23" s="233" t="s">
        <v>165</v>
      </c>
      <c r="H23" s="234">
        <v>0.032</v>
      </c>
      <c r="I23" s="234">
        <v>0.02</v>
      </c>
      <c r="J23" s="233" t="s">
        <v>165</v>
      </c>
      <c r="K23" s="234">
        <v>0.019</v>
      </c>
      <c r="L23" s="233" t="s">
        <v>165</v>
      </c>
      <c r="M23" s="234">
        <v>0.0</v>
      </c>
      <c r="N23" s="233" t="s">
        <v>165</v>
      </c>
      <c r="O23" s="234">
        <v>0.0</v>
      </c>
      <c r="P23" s="234">
        <v>0.0</v>
      </c>
      <c r="Q23" s="234">
        <v>0.037</v>
      </c>
      <c r="R23" s="234">
        <v>0.015</v>
      </c>
      <c r="S23" s="234">
        <v>0.0</v>
      </c>
      <c r="T23" s="233" t="s">
        <v>165</v>
      </c>
      <c r="U23" s="234">
        <v>0.0</v>
      </c>
      <c r="V23" s="234">
        <v>0.0</v>
      </c>
      <c r="W23" s="233" t="s">
        <v>165</v>
      </c>
      <c r="X23" s="233" t="s">
        <v>165</v>
      </c>
      <c r="Y23" s="234">
        <v>0.018</v>
      </c>
      <c r="Z23" s="234">
        <v>0.043</v>
      </c>
      <c r="AA23" s="234">
        <v>0.037</v>
      </c>
      <c r="AB23" s="234">
        <v>0.0</v>
      </c>
      <c r="AC23" s="234">
        <v>0.053</v>
      </c>
      <c r="AD23" s="234">
        <v>0.0</v>
      </c>
      <c r="AE23" s="233" t="s">
        <v>165</v>
      </c>
      <c r="AF23" s="233" t="s">
        <v>165</v>
      </c>
      <c r="AG23" s="233" t="s">
        <v>165</v>
      </c>
      <c r="AH23" s="233" t="s">
        <v>165</v>
      </c>
      <c r="AI23" s="233" t="s">
        <v>165</v>
      </c>
      <c r="AJ23" s="234">
        <v>0.011</v>
      </c>
      <c r="AK23" s="234">
        <v>0.0</v>
      </c>
      <c r="AL23" s="233" t="s">
        <v>165</v>
      </c>
      <c r="AM23" s="234">
        <v>0.0</v>
      </c>
      <c r="AN23" s="234">
        <v>0.037</v>
      </c>
      <c r="AO23" s="234">
        <v>0.027</v>
      </c>
    </row>
    <row r="24">
      <c r="A24" s="228" t="s">
        <v>121</v>
      </c>
      <c r="B24" s="234">
        <v>0.0</v>
      </c>
      <c r="C24" s="233" t="s">
        <v>165</v>
      </c>
      <c r="D24" s="233" t="s">
        <v>165</v>
      </c>
      <c r="E24" s="234">
        <v>0.074</v>
      </c>
      <c r="F24" s="233" t="s">
        <v>165</v>
      </c>
      <c r="G24" s="234">
        <v>0.0</v>
      </c>
      <c r="H24" s="234">
        <v>0.019</v>
      </c>
      <c r="I24" s="233" t="s">
        <v>165</v>
      </c>
      <c r="J24" s="233" t="s">
        <v>165</v>
      </c>
      <c r="K24" s="234">
        <v>0.014</v>
      </c>
      <c r="L24" s="234">
        <v>0.0</v>
      </c>
      <c r="M24" s="234">
        <v>0.0</v>
      </c>
      <c r="N24" s="234">
        <v>0.0</v>
      </c>
      <c r="O24" s="234">
        <v>0.0</v>
      </c>
      <c r="P24" s="233" t="s">
        <v>165</v>
      </c>
      <c r="Q24" s="234">
        <v>0.015</v>
      </c>
      <c r="R24" s="234">
        <v>0.024</v>
      </c>
      <c r="S24" s="234">
        <v>0.0</v>
      </c>
      <c r="T24" s="233" t="s">
        <v>165</v>
      </c>
      <c r="U24" s="233" t="s">
        <v>165</v>
      </c>
      <c r="V24" s="234">
        <v>0.0</v>
      </c>
      <c r="W24" s="234">
        <v>0.016</v>
      </c>
      <c r="X24" s="233" t="s">
        <v>165</v>
      </c>
      <c r="Y24" s="233" t="s">
        <v>165</v>
      </c>
      <c r="Z24" s="233" t="s">
        <v>165</v>
      </c>
      <c r="AA24" s="234">
        <v>0.032</v>
      </c>
      <c r="AB24" s="234">
        <v>0.0</v>
      </c>
      <c r="AC24" s="234">
        <v>0.043</v>
      </c>
      <c r="AD24" s="233" t="s">
        <v>165</v>
      </c>
      <c r="AE24" s="233" t="s">
        <v>165</v>
      </c>
      <c r="AF24" s="233" t="s">
        <v>165</v>
      </c>
      <c r="AG24" s="234">
        <v>0.0</v>
      </c>
      <c r="AH24" s="234">
        <v>0.0</v>
      </c>
      <c r="AI24" s="233" t="s">
        <v>165</v>
      </c>
      <c r="AJ24" s="234">
        <v>0.013</v>
      </c>
      <c r="AK24" s="234">
        <v>0.0</v>
      </c>
      <c r="AL24" s="234">
        <v>0.027</v>
      </c>
      <c r="AM24" s="233" t="s">
        <v>165</v>
      </c>
      <c r="AN24" s="234">
        <v>0.036</v>
      </c>
      <c r="AO24" s="234">
        <v>0.021</v>
      </c>
    </row>
    <row r="25">
      <c r="A25" s="228" t="s">
        <v>122</v>
      </c>
      <c r="B25" s="233" t="s">
        <v>165</v>
      </c>
      <c r="C25" s="233" t="s">
        <v>165</v>
      </c>
      <c r="D25" s="233" t="s">
        <v>165</v>
      </c>
      <c r="E25" s="234">
        <v>0.044</v>
      </c>
      <c r="F25" s="233" t="s">
        <v>165</v>
      </c>
      <c r="G25" s="233" t="s">
        <v>165</v>
      </c>
      <c r="H25" s="234">
        <v>0.009</v>
      </c>
      <c r="I25" s="234">
        <v>0.02</v>
      </c>
      <c r="J25" s="233" t="s">
        <v>165</v>
      </c>
      <c r="K25" s="234">
        <v>0.01</v>
      </c>
      <c r="L25" s="234">
        <v>0.0</v>
      </c>
      <c r="M25" s="233" t="s">
        <v>165</v>
      </c>
      <c r="N25" s="233" t="s">
        <v>165</v>
      </c>
      <c r="O25" s="233" t="s">
        <v>165</v>
      </c>
      <c r="P25" s="234">
        <v>0.0</v>
      </c>
      <c r="Q25" s="234">
        <v>0.021</v>
      </c>
      <c r="R25" s="234">
        <v>0.019</v>
      </c>
      <c r="S25" s="234">
        <v>0.0</v>
      </c>
      <c r="T25" s="234">
        <v>0.025</v>
      </c>
      <c r="U25" s="234">
        <v>0.0</v>
      </c>
      <c r="V25" s="234">
        <v>0.0</v>
      </c>
      <c r="W25" s="234">
        <v>0.029</v>
      </c>
      <c r="X25" s="233" t="s">
        <v>165</v>
      </c>
      <c r="Y25" s="234">
        <v>0.022</v>
      </c>
      <c r="Z25" s="233" t="s">
        <v>165</v>
      </c>
      <c r="AA25" s="234">
        <v>0.038</v>
      </c>
      <c r="AB25" s="233" t="s">
        <v>165</v>
      </c>
      <c r="AC25" s="234">
        <v>0.039</v>
      </c>
      <c r="AD25" s="234">
        <v>0.0</v>
      </c>
      <c r="AE25" s="233" t="s">
        <v>165</v>
      </c>
      <c r="AF25" s="233" t="s">
        <v>165</v>
      </c>
      <c r="AG25" s="233" t="s">
        <v>165</v>
      </c>
      <c r="AH25" s="233" t="s">
        <v>165</v>
      </c>
      <c r="AI25" s="233" t="s">
        <v>165</v>
      </c>
      <c r="AJ25" s="234">
        <v>0.009</v>
      </c>
      <c r="AK25" s="233" t="s">
        <v>165</v>
      </c>
      <c r="AL25" s="234">
        <v>0.024</v>
      </c>
      <c r="AM25" s="233" t="s">
        <v>165</v>
      </c>
      <c r="AN25" s="234">
        <v>0.026</v>
      </c>
      <c r="AO25" s="234">
        <v>0.02</v>
      </c>
    </row>
    <row r="26">
      <c r="A26" s="228" t="s">
        <v>123</v>
      </c>
      <c r="B26" s="233" t="s">
        <v>165</v>
      </c>
      <c r="C26" s="233" t="s">
        <v>165</v>
      </c>
      <c r="D26" s="233" t="s">
        <v>165</v>
      </c>
      <c r="E26" s="234">
        <v>0.024</v>
      </c>
      <c r="F26" s="233" t="s">
        <v>165</v>
      </c>
      <c r="G26" s="234">
        <v>0.021</v>
      </c>
      <c r="H26" s="234">
        <v>0.037</v>
      </c>
      <c r="I26" s="233" t="s">
        <v>165</v>
      </c>
      <c r="J26" s="233" t="s">
        <v>165</v>
      </c>
      <c r="K26" s="234">
        <v>0.01</v>
      </c>
      <c r="L26" s="234">
        <v>0.0</v>
      </c>
      <c r="M26" s="233" t="s">
        <v>165</v>
      </c>
      <c r="N26" s="233" t="s">
        <v>165</v>
      </c>
      <c r="O26" s="233" t="s">
        <v>165</v>
      </c>
      <c r="P26" s="233" t="s">
        <v>165</v>
      </c>
      <c r="Q26" s="234">
        <v>0.029</v>
      </c>
      <c r="R26" s="233" t="s">
        <v>165</v>
      </c>
      <c r="S26" s="233" t="s">
        <v>165</v>
      </c>
      <c r="T26" s="234">
        <v>0.019</v>
      </c>
      <c r="U26" s="234">
        <v>0.0</v>
      </c>
      <c r="V26" s="234">
        <v>0.0</v>
      </c>
      <c r="W26" s="234">
        <v>0.019</v>
      </c>
      <c r="X26" s="233" t="s">
        <v>165</v>
      </c>
      <c r="Y26" s="234">
        <v>0.026</v>
      </c>
      <c r="Z26" s="233" t="s">
        <v>165</v>
      </c>
      <c r="AA26" s="234">
        <v>0.015</v>
      </c>
      <c r="AB26" s="233" t="s">
        <v>165</v>
      </c>
      <c r="AC26" s="234">
        <v>0.034</v>
      </c>
      <c r="AD26" s="234">
        <v>0.0</v>
      </c>
      <c r="AE26" s="233" t="s">
        <v>165</v>
      </c>
      <c r="AF26" s="234">
        <v>0.028</v>
      </c>
      <c r="AG26" s="233" t="s">
        <v>165</v>
      </c>
      <c r="AH26" s="233" t="s">
        <v>165</v>
      </c>
      <c r="AI26" s="233" t="s">
        <v>165</v>
      </c>
      <c r="AJ26" s="234">
        <v>0.01</v>
      </c>
      <c r="AK26" s="234">
        <v>0.0</v>
      </c>
      <c r="AL26" s="234">
        <v>0.02</v>
      </c>
      <c r="AM26" s="234">
        <v>0.018</v>
      </c>
      <c r="AN26" s="234">
        <v>0.014</v>
      </c>
      <c r="AO26" s="234">
        <v>0.019</v>
      </c>
    </row>
    <row r="27">
      <c r="A27" s="228" t="s">
        <v>124</v>
      </c>
      <c r="B27" s="233" t="s">
        <v>165</v>
      </c>
      <c r="C27" s="234">
        <v>0.017</v>
      </c>
      <c r="D27" s="233" t="s">
        <v>165</v>
      </c>
      <c r="E27" s="234">
        <v>0.05</v>
      </c>
      <c r="F27" s="233" t="s">
        <v>165</v>
      </c>
      <c r="G27" s="234">
        <v>0.015</v>
      </c>
      <c r="H27" s="234">
        <v>0.019</v>
      </c>
      <c r="I27" s="233" t="s">
        <v>165</v>
      </c>
      <c r="J27" s="234">
        <v>0.015</v>
      </c>
      <c r="K27" s="234">
        <v>0.008</v>
      </c>
      <c r="L27" s="234">
        <v>0.0</v>
      </c>
      <c r="M27" s="234">
        <v>0.0</v>
      </c>
      <c r="N27" s="233" t="s">
        <v>165</v>
      </c>
      <c r="O27" s="233" t="s">
        <v>165</v>
      </c>
      <c r="P27" s="233" t="s">
        <v>165</v>
      </c>
      <c r="Q27" s="234">
        <v>0.014</v>
      </c>
      <c r="R27" s="234">
        <v>0.019</v>
      </c>
      <c r="S27" s="234">
        <v>0.0</v>
      </c>
      <c r="T27" s="234">
        <v>0.021</v>
      </c>
      <c r="U27" s="233" t="s">
        <v>165</v>
      </c>
      <c r="V27" s="233" t="s">
        <v>165</v>
      </c>
      <c r="W27" s="234">
        <v>0.017</v>
      </c>
      <c r="X27" s="234">
        <v>0.0</v>
      </c>
      <c r="Y27" s="234">
        <v>0.028</v>
      </c>
      <c r="Z27" s="234">
        <v>0.034</v>
      </c>
      <c r="AA27" s="234">
        <v>0.024</v>
      </c>
      <c r="AB27" s="233" t="s">
        <v>165</v>
      </c>
      <c r="AC27" s="234">
        <v>0.03</v>
      </c>
      <c r="AD27" s="234">
        <v>0.0</v>
      </c>
      <c r="AE27" s="233" t="s">
        <v>165</v>
      </c>
      <c r="AF27" s="234">
        <v>0.016</v>
      </c>
      <c r="AG27" s="233" t="s">
        <v>165</v>
      </c>
      <c r="AH27" s="233" t="s">
        <v>165</v>
      </c>
      <c r="AI27" s="233" t="s">
        <v>165</v>
      </c>
      <c r="AJ27" s="234">
        <v>0.014</v>
      </c>
      <c r="AK27" s="233" t="s">
        <v>165</v>
      </c>
      <c r="AL27" s="234">
        <v>0.026</v>
      </c>
      <c r="AM27" s="233" t="s">
        <v>165</v>
      </c>
      <c r="AN27" s="234">
        <v>0.021</v>
      </c>
      <c r="AO27" s="234">
        <v>0.018</v>
      </c>
    </row>
    <row r="28">
      <c r="A28" s="228" t="s">
        <v>125</v>
      </c>
      <c r="B28" s="233" t="s">
        <v>165</v>
      </c>
      <c r="C28" s="234">
        <v>0.023</v>
      </c>
      <c r="D28" s="233" t="s">
        <v>165</v>
      </c>
      <c r="E28" s="234">
        <v>0.062</v>
      </c>
      <c r="F28" s="233" t="s">
        <v>165</v>
      </c>
      <c r="G28" s="233" t="s">
        <v>165</v>
      </c>
      <c r="H28" s="234">
        <v>0.029</v>
      </c>
      <c r="I28" s="234">
        <v>0.023</v>
      </c>
      <c r="J28" s="233" t="s">
        <v>165</v>
      </c>
      <c r="K28" s="234">
        <v>0.02</v>
      </c>
      <c r="L28" s="234">
        <v>0.0</v>
      </c>
      <c r="M28" s="233" t="s">
        <v>165</v>
      </c>
      <c r="N28" s="234">
        <v>0.0</v>
      </c>
      <c r="O28" s="234">
        <v>0.0</v>
      </c>
      <c r="P28" s="234">
        <v>0.0</v>
      </c>
      <c r="Q28" s="234">
        <v>0.028</v>
      </c>
      <c r="R28" s="234">
        <v>0.017</v>
      </c>
      <c r="S28" s="233" t="s">
        <v>165</v>
      </c>
      <c r="T28" s="233" t="s">
        <v>165</v>
      </c>
      <c r="U28" s="233" t="s">
        <v>165</v>
      </c>
      <c r="V28" s="234">
        <v>0.0</v>
      </c>
      <c r="W28" s="233" t="s">
        <v>165</v>
      </c>
      <c r="X28" s="233" t="s">
        <v>165</v>
      </c>
      <c r="Y28" s="234">
        <v>0.026</v>
      </c>
      <c r="Z28" s="233" t="s">
        <v>165</v>
      </c>
      <c r="AA28" s="234">
        <v>0.046</v>
      </c>
      <c r="AB28" s="233" t="s">
        <v>165</v>
      </c>
      <c r="AC28" s="234">
        <v>0.038</v>
      </c>
      <c r="AD28" s="234">
        <v>0.0</v>
      </c>
      <c r="AE28" s="233" t="s">
        <v>165</v>
      </c>
      <c r="AF28" s="234">
        <v>0.05</v>
      </c>
      <c r="AG28" s="233" t="s">
        <v>165</v>
      </c>
      <c r="AH28" s="233" t="s">
        <v>165</v>
      </c>
      <c r="AI28" s="233" t="s">
        <v>165</v>
      </c>
      <c r="AJ28" s="234">
        <v>0.017</v>
      </c>
      <c r="AK28" s="234">
        <v>0.0</v>
      </c>
      <c r="AL28" s="234">
        <v>0.019</v>
      </c>
      <c r="AM28" s="233" t="s">
        <v>165</v>
      </c>
      <c r="AN28" s="234">
        <v>0.029</v>
      </c>
      <c r="AO28" s="234">
        <v>0.024</v>
      </c>
    </row>
    <row r="29">
      <c r="A29" s="236" t="s">
        <v>126</v>
      </c>
      <c r="B29" s="234">
        <v>0.0</v>
      </c>
      <c r="C29" s="234">
        <v>0.017</v>
      </c>
      <c r="D29" s="233" t="s">
        <v>165</v>
      </c>
      <c r="E29" s="234">
        <v>0.077</v>
      </c>
      <c r="F29" s="233" t="s">
        <v>165</v>
      </c>
      <c r="G29" s="234">
        <v>0.013</v>
      </c>
      <c r="H29" s="234">
        <v>0.029</v>
      </c>
      <c r="I29" s="234">
        <v>0.02</v>
      </c>
      <c r="J29" s="234">
        <v>0.009</v>
      </c>
      <c r="K29" s="234">
        <v>0.019</v>
      </c>
      <c r="L29" s="233" t="s">
        <v>165</v>
      </c>
      <c r="M29" s="234">
        <v>0.0</v>
      </c>
      <c r="N29" s="233" t="s">
        <v>165</v>
      </c>
      <c r="O29" s="233" t="s">
        <v>165</v>
      </c>
      <c r="P29" s="233" t="s">
        <v>165</v>
      </c>
      <c r="Q29" s="234">
        <v>0.036</v>
      </c>
      <c r="R29" s="234">
        <v>0.015</v>
      </c>
      <c r="S29" s="234">
        <v>0.0</v>
      </c>
      <c r="T29" s="233" t="s">
        <v>165</v>
      </c>
      <c r="U29" s="233" t="s">
        <v>165</v>
      </c>
      <c r="V29" s="233" t="s">
        <v>165</v>
      </c>
      <c r="W29" s="234">
        <v>0.011</v>
      </c>
      <c r="X29" s="234">
        <v>0.008</v>
      </c>
      <c r="Y29" s="234">
        <v>0.051</v>
      </c>
      <c r="Z29" s="235">
        <v>0.046</v>
      </c>
      <c r="AA29" s="234">
        <v>0.058</v>
      </c>
      <c r="AB29" s="233" t="s">
        <v>165</v>
      </c>
      <c r="AC29" s="234">
        <v>0.044</v>
      </c>
      <c r="AD29" s="234">
        <v>0.0</v>
      </c>
      <c r="AE29" s="233" t="s">
        <v>165</v>
      </c>
      <c r="AF29" s="234">
        <v>0.034</v>
      </c>
      <c r="AG29" s="233" t="s">
        <v>165</v>
      </c>
      <c r="AH29" s="233" t="s">
        <v>165</v>
      </c>
      <c r="AI29" s="234">
        <v>0.038</v>
      </c>
      <c r="AJ29" s="234">
        <v>0.023</v>
      </c>
      <c r="AK29" s="233" t="s">
        <v>165</v>
      </c>
      <c r="AL29" s="234">
        <v>0.017</v>
      </c>
      <c r="AM29" s="233" t="s">
        <v>165</v>
      </c>
      <c r="AN29" s="234">
        <v>0.023</v>
      </c>
      <c r="AO29" s="234">
        <v>0.027</v>
      </c>
    </row>
    <row r="30">
      <c r="A30" s="228" t="s">
        <v>127</v>
      </c>
      <c r="B30" s="233" t="s">
        <v>165</v>
      </c>
      <c r="C30" s="234">
        <v>0.012</v>
      </c>
      <c r="D30" s="234">
        <v>0.035</v>
      </c>
      <c r="E30" s="234">
        <v>0.075</v>
      </c>
      <c r="F30" s="233" t="s">
        <v>165</v>
      </c>
      <c r="G30" s="234">
        <v>0.008</v>
      </c>
      <c r="H30" s="234">
        <v>0.052</v>
      </c>
      <c r="I30" s="234">
        <v>0.017</v>
      </c>
      <c r="J30" s="234">
        <v>0.019</v>
      </c>
      <c r="K30" s="234">
        <v>0.013</v>
      </c>
      <c r="L30" s="233" t="s">
        <v>165</v>
      </c>
      <c r="M30" s="233" t="s">
        <v>165</v>
      </c>
      <c r="N30" s="233" t="s">
        <v>165</v>
      </c>
      <c r="O30" s="233" t="s">
        <v>165</v>
      </c>
      <c r="P30" s="233" t="s">
        <v>165</v>
      </c>
      <c r="Q30" s="234">
        <v>0.026</v>
      </c>
      <c r="R30" s="234">
        <v>0.038</v>
      </c>
      <c r="S30" s="234">
        <v>0.0</v>
      </c>
      <c r="T30" s="234">
        <v>0.018</v>
      </c>
      <c r="U30" s="234">
        <v>0.0</v>
      </c>
      <c r="V30" s="233" t="s">
        <v>165</v>
      </c>
      <c r="W30" s="234">
        <v>0.013</v>
      </c>
      <c r="X30" s="234">
        <v>0.011</v>
      </c>
      <c r="Y30" s="234">
        <v>0.054</v>
      </c>
      <c r="Z30" s="233" t="s">
        <v>165</v>
      </c>
      <c r="AA30" s="234">
        <v>0.058</v>
      </c>
      <c r="AB30" s="234">
        <v>0.0</v>
      </c>
      <c r="AC30" s="234">
        <v>0.049</v>
      </c>
      <c r="AD30" s="233" t="s">
        <v>165</v>
      </c>
      <c r="AE30" s="233" t="s">
        <v>165</v>
      </c>
      <c r="AF30" s="233" t="s">
        <v>165</v>
      </c>
      <c r="AG30" s="233" t="s">
        <v>165</v>
      </c>
      <c r="AH30" s="233" t="s">
        <v>165</v>
      </c>
      <c r="AI30" s="233" t="s">
        <v>165</v>
      </c>
      <c r="AJ30" s="234">
        <v>0.021</v>
      </c>
      <c r="AK30" s="233" t="s">
        <v>165</v>
      </c>
      <c r="AL30" s="234">
        <v>0.034</v>
      </c>
      <c r="AM30" s="233" t="s">
        <v>165</v>
      </c>
      <c r="AN30" s="234">
        <v>0.023</v>
      </c>
      <c r="AO30" s="234">
        <v>0.029</v>
      </c>
    </row>
    <row r="31">
      <c r="A31" s="237" t="s">
        <v>128</v>
      </c>
      <c r="B31" s="233" t="s">
        <v>165</v>
      </c>
      <c r="C31" s="234">
        <v>0.005</v>
      </c>
      <c r="D31" s="233" t="s">
        <v>165</v>
      </c>
      <c r="E31" s="234">
        <v>0.073</v>
      </c>
      <c r="F31" s="234">
        <v>0.0</v>
      </c>
      <c r="G31" s="234">
        <v>0.011</v>
      </c>
      <c r="H31" s="234">
        <v>0.057</v>
      </c>
      <c r="I31" s="234">
        <v>0.018</v>
      </c>
      <c r="J31" s="233" t="s">
        <v>165</v>
      </c>
      <c r="K31" s="234">
        <v>0.017</v>
      </c>
      <c r="L31" s="233" t="s">
        <v>165</v>
      </c>
      <c r="M31" s="233" t="s">
        <v>165</v>
      </c>
      <c r="N31" s="233" t="s">
        <v>165</v>
      </c>
      <c r="O31" s="233" t="s">
        <v>165</v>
      </c>
      <c r="P31" s="234">
        <v>0.0</v>
      </c>
      <c r="Q31" s="234">
        <v>0.033</v>
      </c>
      <c r="R31" s="234">
        <v>0.036</v>
      </c>
      <c r="S31" s="234">
        <v>0.0</v>
      </c>
      <c r="T31" s="233" t="s">
        <v>165</v>
      </c>
      <c r="U31" s="233" t="s">
        <v>165</v>
      </c>
      <c r="V31" s="233" t="s">
        <v>165</v>
      </c>
      <c r="W31" s="234">
        <v>0.008</v>
      </c>
      <c r="X31" s="234">
        <v>0.015</v>
      </c>
      <c r="Y31" s="234">
        <v>0.042</v>
      </c>
      <c r="Z31" s="233" t="s">
        <v>165</v>
      </c>
      <c r="AA31" s="234">
        <v>0.052</v>
      </c>
      <c r="AB31" s="233" t="s">
        <v>165</v>
      </c>
      <c r="AC31" s="234">
        <v>0.051</v>
      </c>
      <c r="AD31" s="233" t="s">
        <v>165</v>
      </c>
      <c r="AE31" s="234">
        <v>0.024</v>
      </c>
      <c r="AF31" s="234">
        <v>0.026</v>
      </c>
      <c r="AG31" s="233" t="s">
        <v>165</v>
      </c>
      <c r="AH31" s="234">
        <v>0.0</v>
      </c>
      <c r="AI31" s="234">
        <v>0.0</v>
      </c>
      <c r="AJ31" s="234">
        <v>0.021</v>
      </c>
      <c r="AK31" s="234">
        <v>0.0</v>
      </c>
      <c r="AL31" s="234">
        <v>0.021</v>
      </c>
      <c r="AM31" s="234">
        <v>0.013</v>
      </c>
      <c r="AN31" s="234">
        <v>0.027</v>
      </c>
      <c r="AO31" s="234">
        <v>0.026</v>
      </c>
    </row>
    <row r="32">
      <c r="A32" s="237" t="s">
        <v>129</v>
      </c>
      <c r="B32" s="233" t="s">
        <v>165</v>
      </c>
      <c r="C32" s="234">
        <v>0.007</v>
      </c>
      <c r="D32" s="233" t="s">
        <v>165</v>
      </c>
      <c r="E32" s="234">
        <v>0.067</v>
      </c>
      <c r="F32" s="233" t="s">
        <v>165</v>
      </c>
      <c r="G32" s="234">
        <v>0.011</v>
      </c>
      <c r="H32" s="234">
        <v>0.024</v>
      </c>
      <c r="I32" s="234">
        <v>0.02</v>
      </c>
      <c r="J32" s="234">
        <v>0.011</v>
      </c>
      <c r="K32" s="234">
        <v>0.013</v>
      </c>
      <c r="L32" s="233" t="s">
        <v>165</v>
      </c>
      <c r="M32" s="233" t="s">
        <v>165</v>
      </c>
      <c r="N32" s="233" t="s">
        <v>165</v>
      </c>
      <c r="O32" s="234">
        <v>0.0</v>
      </c>
      <c r="P32" s="233" t="s">
        <v>165</v>
      </c>
      <c r="Q32" s="234">
        <v>0.023</v>
      </c>
      <c r="R32" s="234">
        <v>0.012</v>
      </c>
      <c r="S32" s="234">
        <v>0.0</v>
      </c>
      <c r="T32" s="234">
        <v>0.0</v>
      </c>
      <c r="U32" s="234">
        <v>0.07</v>
      </c>
      <c r="V32" s="233" t="s">
        <v>165</v>
      </c>
      <c r="W32" s="235">
        <v>0.009</v>
      </c>
      <c r="X32" s="234">
        <v>0.023</v>
      </c>
      <c r="Y32" s="234">
        <v>0.03</v>
      </c>
      <c r="Z32" s="234">
        <v>0.0</v>
      </c>
      <c r="AA32" s="234">
        <v>0.034</v>
      </c>
      <c r="AB32" s="233" t="s">
        <v>165</v>
      </c>
      <c r="AC32" s="234">
        <v>0.054</v>
      </c>
      <c r="AD32" s="233" t="s">
        <v>165</v>
      </c>
      <c r="AE32" s="233" t="s">
        <v>165</v>
      </c>
      <c r="AF32" s="234">
        <v>0.034</v>
      </c>
      <c r="AG32" s="234">
        <v>0.033</v>
      </c>
      <c r="AH32" s="233" t="s">
        <v>165</v>
      </c>
      <c r="AI32" s="234">
        <v>0.0</v>
      </c>
      <c r="AJ32" s="234">
        <v>0.014</v>
      </c>
      <c r="AK32" s="233" t="s">
        <v>165</v>
      </c>
      <c r="AL32" s="234">
        <v>0.029</v>
      </c>
      <c r="AM32" s="234">
        <v>0.0</v>
      </c>
      <c r="AN32" s="234">
        <v>0.023</v>
      </c>
      <c r="AO32" s="234">
        <v>0.024</v>
      </c>
    </row>
    <row r="33">
      <c r="A33" s="237" t="s">
        <v>130</v>
      </c>
      <c r="B33" s="234">
        <v>0.0</v>
      </c>
      <c r="C33" s="234">
        <v>0.004</v>
      </c>
      <c r="D33" s="233" t="s">
        <v>165</v>
      </c>
      <c r="E33" s="234">
        <v>0.087</v>
      </c>
      <c r="F33" s="234">
        <v>0.0</v>
      </c>
      <c r="G33" s="234">
        <v>0.016</v>
      </c>
      <c r="H33" s="234">
        <v>0.034</v>
      </c>
      <c r="I33" s="234">
        <v>0.026</v>
      </c>
      <c r="J33" s="234">
        <v>0.017</v>
      </c>
      <c r="K33" s="234">
        <v>0.013</v>
      </c>
      <c r="L33" s="233" t="s">
        <v>165</v>
      </c>
      <c r="M33" s="233" t="s">
        <v>165</v>
      </c>
      <c r="N33" s="233" t="s">
        <v>165</v>
      </c>
      <c r="O33" s="233" t="s">
        <v>165</v>
      </c>
      <c r="P33" s="233" t="s">
        <v>165</v>
      </c>
      <c r="Q33" s="234">
        <v>0.047</v>
      </c>
      <c r="R33" s="234">
        <v>0.021</v>
      </c>
      <c r="S33" s="234">
        <v>0.0</v>
      </c>
      <c r="T33" s="234">
        <v>0.018</v>
      </c>
      <c r="U33" s="234">
        <v>0.028</v>
      </c>
      <c r="V33" s="234">
        <v>0.0</v>
      </c>
      <c r="W33" s="233" t="s">
        <v>165</v>
      </c>
      <c r="X33" s="234">
        <v>0.03</v>
      </c>
      <c r="Y33" s="234">
        <v>0.034</v>
      </c>
      <c r="Z33" s="233" t="s">
        <v>165</v>
      </c>
      <c r="AA33" s="234">
        <v>0.035</v>
      </c>
      <c r="AB33" s="233" t="s">
        <v>165</v>
      </c>
      <c r="AC33" s="234">
        <v>0.044</v>
      </c>
      <c r="AD33" s="234">
        <v>0.0</v>
      </c>
      <c r="AE33" s="233" t="s">
        <v>165</v>
      </c>
      <c r="AF33" s="234">
        <v>0.005</v>
      </c>
      <c r="AG33" s="234">
        <v>0.014</v>
      </c>
      <c r="AH33" s="234">
        <v>0.028</v>
      </c>
      <c r="AI33" s="233" t="s">
        <v>165</v>
      </c>
      <c r="AJ33" s="234">
        <v>0.024</v>
      </c>
      <c r="AK33" s="233" t="s">
        <v>165</v>
      </c>
      <c r="AL33" s="233" t="s">
        <v>165</v>
      </c>
      <c r="AM33" s="233" t="s">
        <v>165</v>
      </c>
      <c r="AN33" s="234">
        <v>0.02</v>
      </c>
      <c r="AO33" s="234">
        <v>0.021</v>
      </c>
    </row>
    <row r="34">
      <c r="A34" s="237" t="s">
        <v>131</v>
      </c>
      <c r="B34" s="233" t="s">
        <v>165</v>
      </c>
      <c r="C34" s="234">
        <v>0.001</v>
      </c>
      <c r="D34" s="233" t="s">
        <v>165</v>
      </c>
      <c r="E34" s="234">
        <v>0.049</v>
      </c>
      <c r="F34" s="233" t="s">
        <v>165</v>
      </c>
      <c r="G34" s="234">
        <v>0.013</v>
      </c>
      <c r="H34" s="234">
        <v>0.025</v>
      </c>
      <c r="I34" s="234">
        <v>0.014</v>
      </c>
      <c r="J34" s="234">
        <v>0.014</v>
      </c>
      <c r="K34" s="234">
        <v>0.005</v>
      </c>
      <c r="L34" s="234">
        <v>0.0</v>
      </c>
      <c r="M34" s="233" t="s">
        <v>165</v>
      </c>
      <c r="N34" s="233" t="s">
        <v>165</v>
      </c>
      <c r="O34" s="233" t="s">
        <v>165</v>
      </c>
      <c r="P34" s="234">
        <v>0.0</v>
      </c>
      <c r="Q34" s="234">
        <v>0.027</v>
      </c>
      <c r="R34" s="234">
        <v>0.017</v>
      </c>
      <c r="S34" s="234">
        <v>0.0</v>
      </c>
      <c r="T34" s="233" t="s">
        <v>165</v>
      </c>
      <c r="U34" s="234">
        <v>0.021</v>
      </c>
      <c r="V34" s="234">
        <v>0.0</v>
      </c>
      <c r="W34" s="234">
        <v>0.006</v>
      </c>
      <c r="X34" s="234">
        <v>0.011</v>
      </c>
      <c r="Y34" s="234">
        <v>0.026</v>
      </c>
      <c r="Z34" s="233" t="s">
        <v>165</v>
      </c>
      <c r="AA34" s="234">
        <v>0.025</v>
      </c>
      <c r="AB34" s="234">
        <v>0.02</v>
      </c>
      <c r="AC34" s="234">
        <v>0.028</v>
      </c>
      <c r="AD34" s="233" t="s">
        <v>165</v>
      </c>
      <c r="AE34" s="233" t="s">
        <v>165</v>
      </c>
      <c r="AF34" s="234">
        <v>0.002</v>
      </c>
      <c r="AG34" s="233" t="s">
        <v>165</v>
      </c>
      <c r="AH34" s="234">
        <v>0.023</v>
      </c>
      <c r="AI34" s="233" t="s">
        <v>165</v>
      </c>
      <c r="AJ34" s="234">
        <v>0.01</v>
      </c>
      <c r="AK34" s="233" t="s">
        <v>165</v>
      </c>
      <c r="AL34" s="234">
        <v>0.011</v>
      </c>
      <c r="AM34" s="233" t="s">
        <v>165</v>
      </c>
      <c r="AN34" s="234">
        <v>0.021</v>
      </c>
      <c r="AO34" s="234">
        <v>0.013</v>
      </c>
    </row>
    <row r="35">
      <c r="A35" s="237" t="s">
        <v>132</v>
      </c>
      <c r="B35" s="233" t="s">
        <v>165</v>
      </c>
      <c r="C35" s="233" t="s">
        <v>165</v>
      </c>
      <c r="D35" s="233" t="s">
        <v>165</v>
      </c>
      <c r="E35" s="233" t="s">
        <v>165</v>
      </c>
      <c r="F35" s="234">
        <v>0.0</v>
      </c>
      <c r="G35" s="233" t="s">
        <v>165</v>
      </c>
      <c r="H35" s="234">
        <v>0.022</v>
      </c>
      <c r="I35" s="234">
        <v>0.016</v>
      </c>
      <c r="J35" s="234">
        <v>0.0</v>
      </c>
      <c r="K35" s="234">
        <v>0.009</v>
      </c>
      <c r="L35" s="234">
        <v>0.0</v>
      </c>
      <c r="M35" s="233" t="s">
        <v>165</v>
      </c>
      <c r="N35" s="233" t="s">
        <v>165</v>
      </c>
      <c r="O35" s="234">
        <v>0.0</v>
      </c>
      <c r="P35" s="233" t="s">
        <v>165</v>
      </c>
      <c r="Q35" s="234">
        <v>0.023</v>
      </c>
      <c r="R35" s="234">
        <v>0.011</v>
      </c>
      <c r="S35" s="234">
        <v>0.0</v>
      </c>
      <c r="T35" s="233" t="s">
        <v>165</v>
      </c>
      <c r="U35" s="233" t="s">
        <v>165</v>
      </c>
      <c r="V35" s="234">
        <v>0.0</v>
      </c>
      <c r="W35" s="234">
        <v>0.005</v>
      </c>
      <c r="X35" s="234">
        <v>0.009</v>
      </c>
      <c r="Y35" s="234">
        <v>0.041</v>
      </c>
      <c r="Z35" s="233" t="s">
        <v>165</v>
      </c>
      <c r="AA35" s="234">
        <v>0.02</v>
      </c>
      <c r="AB35" s="233" t="s">
        <v>165</v>
      </c>
      <c r="AC35" s="234">
        <v>0.015</v>
      </c>
      <c r="AD35" s="234">
        <v>0.0</v>
      </c>
      <c r="AE35" s="233" t="s">
        <v>165</v>
      </c>
      <c r="AF35" s="234">
        <v>0.002</v>
      </c>
      <c r="AG35" s="234">
        <v>0.0</v>
      </c>
      <c r="AH35" s="234">
        <v>0.023</v>
      </c>
      <c r="AI35" s="233" t="s">
        <v>165</v>
      </c>
      <c r="AJ35" s="234">
        <v>0.017</v>
      </c>
      <c r="AK35" s="234">
        <v>0.0</v>
      </c>
      <c r="AL35" s="233" t="s">
        <v>165</v>
      </c>
      <c r="AM35" s="233" t="s">
        <v>165</v>
      </c>
      <c r="AN35" s="234">
        <v>0.011</v>
      </c>
      <c r="AO35" s="234">
        <v>0.01</v>
      </c>
    </row>
    <row r="36">
      <c r="A36" s="237" t="s">
        <v>133</v>
      </c>
      <c r="B36" s="234">
        <v>0.01</v>
      </c>
      <c r="C36" s="234">
        <v>0.001</v>
      </c>
      <c r="D36" s="234">
        <v>0.027</v>
      </c>
      <c r="E36" s="234">
        <v>0.049</v>
      </c>
      <c r="F36" s="233" t="s">
        <v>165</v>
      </c>
      <c r="G36" s="233" t="s">
        <v>165</v>
      </c>
      <c r="H36" s="234">
        <v>0.02</v>
      </c>
      <c r="I36" s="234">
        <v>0.041</v>
      </c>
      <c r="J36" s="233" t="s">
        <v>165</v>
      </c>
      <c r="K36" s="234">
        <v>0.015</v>
      </c>
      <c r="L36" s="234">
        <v>0.0</v>
      </c>
      <c r="M36" s="233" t="s">
        <v>165</v>
      </c>
      <c r="N36" s="234">
        <v>0.0</v>
      </c>
      <c r="O36" s="234">
        <v>0.0</v>
      </c>
      <c r="P36" s="234">
        <v>0.0</v>
      </c>
      <c r="Q36" s="234">
        <v>0.017</v>
      </c>
      <c r="R36" s="233" t="s">
        <v>165</v>
      </c>
      <c r="S36" s="234">
        <v>0.0</v>
      </c>
      <c r="T36" s="233" t="s">
        <v>165</v>
      </c>
      <c r="U36" s="234">
        <v>0.019</v>
      </c>
      <c r="V36" s="234">
        <v>0.0</v>
      </c>
      <c r="W36" s="234">
        <v>0.008</v>
      </c>
      <c r="X36" s="234">
        <v>0.011</v>
      </c>
      <c r="Y36" s="234">
        <v>0.019</v>
      </c>
      <c r="Z36" s="233" t="s">
        <v>165</v>
      </c>
      <c r="AA36" s="234">
        <v>0.035</v>
      </c>
      <c r="AB36" s="233" t="s">
        <v>165</v>
      </c>
      <c r="AC36" s="234">
        <v>0.015</v>
      </c>
      <c r="AD36" s="234">
        <v>0.0</v>
      </c>
      <c r="AE36" s="233" t="s">
        <v>165</v>
      </c>
      <c r="AF36" s="234">
        <v>0.002</v>
      </c>
      <c r="AG36" s="233" t="s">
        <v>165</v>
      </c>
      <c r="AH36" s="233" t="s">
        <v>165</v>
      </c>
      <c r="AI36" s="234">
        <v>0.0</v>
      </c>
      <c r="AJ36" s="234">
        <v>0.016</v>
      </c>
      <c r="AK36" s="233" t="s">
        <v>165</v>
      </c>
      <c r="AL36" s="234">
        <v>0.025</v>
      </c>
      <c r="AM36" s="234">
        <v>0.018</v>
      </c>
      <c r="AN36" s="234">
        <v>0.024</v>
      </c>
      <c r="AO36" s="234">
        <v>0.011</v>
      </c>
    </row>
    <row r="37">
      <c r="A37" s="237" t="s">
        <v>134</v>
      </c>
      <c r="B37" s="234">
        <v>0.009</v>
      </c>
      <c r="C37" s="234">
        <v>0.001</v>
      </c>
      <c r="D37" s="234">
        <v>0.032</v>
      </c>
      <c r="E37" s="234">
        <v>0.052</v>
      </c>
      <c r="F37" s="233" t="s">
        <v>165</v>
      </c>
      <c r="G37" s="234">
        <v>0.028</v>
      </c>
      <c r="H37" s="234">
        <v>0.022</v>
      </c>
      <c r="I37" s="234">
        <v>0.019</v>
      </c>
      <c r="J37" s="233" t="s">
        <v>165</v>
      </c>
      <c r="K37" s="234">
        <v>0.008</v>
      </c>
      <c r="L37" s="233" t="s">
        <v>165</v>
      </c>
      <c r="M37" s="234">
        <v>0.0</v>
      </c>
      <c r="N37" s="234">
        <v>0.0</v>
      </c>
      <c r="O37" s="233" t="s">
        <v>165</v>
      </c>
      <c r="P37" s="233" t="s">
        <v>165</v>
      </c>
      <c r="Q37" s="234">
        <v>0.031</v>
      </c>
      <c r="R37" s="234">
        <v>0.008</v>
      </c>
      <c r="S37" s="234">
        <v>0.0</v>
      </c>
      <c r="T37" s="234">
        <v>0.0</v>
      </c>
      <c r="U37" s="234">
        <v>0.088</v>
      </c>
      <c r="V37" s="234">
        <v>0.0</v>
      </c>
      <c r="W37" s="234">
        <v>0.011</v>
      </c>
      <c r="X37" s="234">
        <v>0.007</v>
      </c>
      <c r="Y37" s="234">
        <v>0.028</v>
      </c>
      <c r="Z37" s="234">
        <v>0.018</v>
      </c>
      <c r="AA37" s="234">
        <v>0.023</v>
      </c>
      <c r="AB37" s="233" t="s">
        <v>165</v>
      </c>
      <c r="AC37" s="234">
        <v>0.023</v>
      </c>
      <c r="AD37" s="233" t="s">
        <v>165</v>
      </c>
      <c r="AE37" s="233" t="s">
        <v>165</v>
      </c>
      <c r="AF37" s="234">
        <v>0.003</v>
      </c>
      <c r="AG37" s="234">
        <v>0.01</v>
      </c>
      <c r="AH37" s="234">
        <v>0.018</v>
      </c>
      <c r="AI37" s="233" t="s">
        <v>165</v>
      </c>
      <c r="AJ37" s="234">
        <v>0.02</v>
      </c>
      <c r="AK37" s="233" t="s">
        <v>165</v>
      </c>
      <c r="AL37" s="234">
        <v>0.017</v>
      </c>
      <c r="AM37" s="234">
        <v>0.023</v>
      </c>
      <c r="AN37" s="234">
        <v>0.017</v>
      </c>
      <c r="AO37" s="234">
        <v>0.015</v>
      </c>
    </row>
    <row r="38">
      <c r="A38" s="237" t="s">
        <v>135</v>
      </c>
      <c r="B38" s="233" t="s">
        <v>165</v>
      </c>
      <c r="C38" s="233" t="s">
        <v>165</v>
      </c>
      <c r="D38" s="234">
        <v>0.018</v>
      </c>
      <c r="E38" s="234">
        <v>0.067</v>
      </c>
      <c r="F38" s="233" t="s">
        <v>165</v>
      </c>
      <c r="G38" s="234">
        <v>0.007</v>
      </c>
      <c r="H38" s="234">
        <v>0.021</v>
      </c>
      <c r="I38" s="234">
        <v>0.014</v>
      </c>
      <c r="J38" s="233" t="s">
        <v>165</v>
      </c>
      <c r="K38" s="234">
        <v>0.006</v>
      </c>
      <c r="L38" s="233" t="s">
        <v>165</v>
      </c>
      <c r="M38" s="234">
        <v>0.0</v>
      </c>
      <c r="N38" s="233" t="s">
        <v>165</v>
      </c>
      <c r="O38" s="233" t="s">
        <v>165</v>
      </c>
      <c r="P38" s="233" t="s">
        <v>165</v>
      </c>
      <c r="Q38" s="234">
        <v>0.038</v>
      </c>
      <c r="R38" s="234">
        <v>0.021</v>
      </c>
      <c r="S38" s="234">
        <v>0.0</v>
      </c>
      <c r="T38" s="233" t="s">
        <v>165</v>
      </c>
      <c r="U38" s="234">
        <v>0.084</v>
      </c>
      <c r="V38" s="234">
        <v>0.0</v>
      </c>
      <c r="W38" s="233" t="s">
        <v>165</v>
      </c>
      <c r="X38" s="234">
        <v>0.006</v>
      </c>
      <c r="Y38" s="234">
        <v>0.025</v>
      </c>
      <c r="Z38" s="234">
        <v>0.022</v>
      </c>
      <c r="AA38" s="234">
        <v>0.04</v>
      </c>
      <c r="AB38" s="234">
        <v>0.0</v>
      </c>
      <c r="AC38" s="234">
        <v>0.018</v>
      </c>
      <c r="AD38" s="233" t="s">
        <v>165</v>
      </c>
      <c r="AE38" s="233" t="s">
        <v>165</v>
      </c>
      <c r="AF38" s="234">
        <v>0.003</v>
      </c>
      <c r="AG38" s="233" t="s">
        <v>165</v>
      </c>
      <c r="AH38" s="233" t="s">
        <v>165</v>
      </c>
      <c r="AI38" s="234">
        <v>0.025</v>
      </c>
      <c r="AJ38" s="234">
        <v>0.013</v>
      </c>
      <c r="AK38" s="233" t="s">
        <v>165</v>
      </c>
      <c r="AL38" s="234">
        <v>0.015</v>
      </c>
      <c r="AM38" s="234">
        <v>0.017</v>
      </c>
      <c r="AN38" s="234">
        <v>0.012</v>
      </c>
      <c r="AO38" s="234">
        <v>0.013</v>
      </c>
    </row>
    <row r="39">
      <c r="A39" s="237" t="s">
        <v>136</v>
      </c>
      <c r="B39" s="233" t="s">
        <v>165</v>
      </c>
      <c r="C39" s="234">
        <v>0.001</v>
      </c>
      <c r="D39" s="235">
        <v>0.01</v>
      </c>
      <c r="E39" s="234">
        <v>0.055</v>
      </c>
      <c r="F39" s="233" t="s">
        <v>165</v>
      </c>
      <c r="G39" s="234">
        <v>0.015</v>
      </c>
      <c r="H39" s="234">
        <v>0.031</v>
      </c>
      <c r="I39" s="234">
        <v>0.021</v>
      </c>
      <c r="J39" s="234">
        <v>0.014</v>
      </c>
      <c r="K39" s="234">
        <v>0.022</v>
      </c>
      <c r="L39" s="233" t="s">
        <v>165</v>
      </c>
      <c r="M39" s="233" t="s">
        <v>165</v>
      </c>
      <c r="N39" s="233" t="s">
        <v>165</v>
      </c>
      <c r="O39" s="233" t="s">
        <v>165</v>
      </c>
      <c r="P39" s="233" t="s">
        <v>165</v>
      </c>
      <c r="Q39" s="234">
        <v>0.031</v>
      </c>
      <c r="R39" s="234">
        <v>0.022</v>
      </c>
      <c r="S39" s="233" t="s">
        <v>165</v>
      </c>
      <c r="T39" s="233" t="s">
        <v>165</v>
      </c>
      <c r="U39" s="234">
        <v>0.097</v>
      </c>
      <c r="V39" s="234">
        <v>0.0</v>
      </c>
      <c r="W39" s="233" t="s">
        <v>165</v>
      </c>
      <c r="X39" s="234">
        <v>0.015</v>
      </c>
      <c r="Y39" s="234">
        <v>0.039</v>
      </c>
      <c r="Z39" s="234">
        <v>0.015</v>
      </c>
      <c r="AA39" s="234">
        <v>0.048</v>
      </c>
      <c r="AB39" s="234">
        <v>0.015</v>
      </c>
      <c r="AC39" s="234">
        <v>0.02</v>
      </c>
      <c r="AD39" s="233" t="s">
        <v>165</v>
      </c>
      <c r="AE39" s="233" t="s">
        <v>165</v>
      </c>
      <c r="AF39" s="234">
        <v>0.004</v>
      </c>
      <c r="AG39" s="234">
        <v>0.021</v>
      </c>
      <c r="AH39" s="233" t="s">
        <v>165</v>
      </c>
      <c r="AI39" s="234">
        <v>0.0</v>
      </c>
      <c r="AJ39" s="234">
        <v>0.021</v>
      </c>
      <c r="AK39" s="233" t="s">
        <v>165</v>
      </c>
      <c r="AL39" s="234">
        <v>0.022</v>
      </c>
      <c r="AM39" s="234">
        <v>0.025</v>
      </c>
      <c r="AN39" s="234">
        <v>0.027</v>
      </c>
      <c r="AO39" s="234">
        <v>0.018</v>
      </c>
    </row>
    <row r="40">
      <c r="A40" s="237" t="s">
        <v>137</v>
      </c>
      <c r="B40" s="234">
        <v>0.008</v>
      </c>
      <c r="C40" s="234">
        <v>0.002</v>
      </c>
      <c r="D40" s="234">
        <v>0.016</v>
      </c>
      <c r="E40" s="234">
        <v>0.081</v>
      </c>
      <c r="F40" s="233" t="s">
        <v>165</v>
      </c>
      <c r="G40" s="234">
        <v>0.02</v>
      </c>
      <c r="H40" s="234">
        <v>0.042</v>
      </c>
      <c r="I40" s="234">
        <v>0.025</v>
      </c>
      <c r="J40" s="234">
        <v>0.008</v>
      </c>
      <c r="K40" s="234">
        <v>0.023</v>
      </c>
      <c r="L40" s="234">
        <v>0.023</v>
      </c>
      <c r="M40" s="234">
        <v>0.037</v>
      </c>
      <c r="N40" s="233" t="s">
        <v>165</v>
      </c>
      <c r="O40" s="233" t="s">
        <v>165</v>
      </c>
      <c r="P40" s="234">
        <v>0.024</v>
      </c>
      <c r="Q40" s="234">
        <v>0.025</v>
      </c>
      <c r="R40" s="234">
        <v>0.026</v>
      </c>
      <c r="S40" s="233" t="s">
        <v>165</v>
      </c>
      <c r="T40" s="233" t="s">
        <v>165</v>
      </c>
      <c r="U40" s="234">
        <v>0.194</v>
      </c>
      <c r="V40" s="234">
        <v>0.0</v>
      </c>
      <c r="W40" s="234">
        <v>0.008</v>
      </c>
      <c r="X40" s="234">
        <v>0.023</v>
      </c>
      <c r="Y40" s="234">
        <v>0.045</v>
      </c>
      <c r="Z40" s="234">
        <v>0.021</v>
      </c>
      <c r="AA40" s="234">
        <v>0.05</v>
      </c>
      <c r="AB40" s="234">
        <v>0.01</v>
      </c>
      <c r="AC40" s="234">
        <v>0.019</v>
      </c>
      <c r="AD40" s="233" t="s">
        <v>165</v>
      </c>
      <c r="AE40" s="233" t="s">
        <v>165</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165</v>
      </c>
      <c r="G41" s="234">
        <v>0.026</v>
      </c>
      <c r="H41" s="234">
        <v>0.055</v>
      </c>
      <c r="I41" s="234">
        <v>0.037</v>
      </c>
      <c r="J41" s="234">
        <v>0.015</v>
      </c>
      <c r="K41" s="234">
        <v>0.031</v>
      </c>
      <c r="L41" s="233" t="s">
        <v>165</v>
      </c>
      <c r="M41" s="233" t="s">
        <v>165</v>
      </c>
      <c r="N41" s="233" t="s">
        <v>165</v>
      </c>
      <c r="O41" s="234">
        <v>0.0</v>
      </c>
      <c r="P41" s="233" t="s">
        <v>165</v>
      </c>
      <c r="Q41" s="234">
        <v>0.047</v>
      </c>
      <c r="R41" s="234">
        <v>0.029</v>
      </c>
      <c r="S41" s="233" t="s">
        <v>165</v>
      </c>
      <c r="T41" s="233" t="s">
        <v>165</v>
      </c>
      <c r="U41" s="234">
        <v>0.082</v>
      </c>
      <c r="V41" s="233" t="s">
        <v>165</v>
      </c>
      <c r="W41" s="234">
        <v>0.013</v>
      </c>
      <c r="X41" s="234">
        <v>0.015</v>
      </c>
      <c r="Y41" s="234">
        <v>0.056</v>
      </c>
      <c r="Z41" s="234">
        <v>0.038</v>
      </c>
      <c r="AA41" s="234">
        <v>0.069</v>
      </c>
      <c r="AB41" s="234">
        <v>0.024</v>
      </c>
      <c r="AC41" s="234">
        <v>0.026</v>
      </c>
      <c r="AD41" s="233" t="s">
        <v>165</v>
      </c>
      <c r="AE41" s="233" t="s">
        <v>165</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165</v>
      </c>
      <c r="M42" s="233" t="s">
        <v>165</v>
      </c>
      <c r="N42" s="234">
        <v>0.057</v>
      </c>
      <c r="O42" s="233" t="s">
        <v>165</v>
      </c>
      <c r="P42" s="234">
        <v>0.0</v>
      </c>
      <c r="Q42" s="234">
        <v>0.067</v>
      </c>
      <c r="R42" s="234">
        <v>0.047</v>
      </c>
      <c r="S42" s="233" t="s">
        <v>165</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165</v>
      </c>
      <c r="M43" s="234">
        <v>0.06</v>
      </c>
      <c r="N43" s="234">
        <v>0.051</v>
      </c>
      <c r="O43" s="235">
        <v>0.025</v>
      </c>
      <c r="P43" s="234">
        <v>0.028</v>
      </c>
      <c r="Q43" s="234">
        <v>0.089</v>
      </c>
      <c r="R43" s="234">
        <v>0.049</v>
      </c>
      <c r="S43" s="235">
        <v>0.035</v>
      </c>
      <c r="T43" s="234">
        <v>0.03</v>
      </c>
      <c r="U43" s="234">
        <v>0.037</v>
      </c>
      <c r="V43" s="233" t="s">
        <v>165</v>
      </c>
      <c r="W43" s="234">
        <v>0.017</v>
      </c>
      <c r="X43" s="234">
        <v>0.026</v>
      </c>
      <c r="Y43" s="234">
        <v>0.096</v>
      </c>
      <c r="Z43" s="234">
        <v>0.024</v>
      </c>
      <c r="AA43" s="234">
        <v>0.088</v>
      </c>
      <c r="AB43" s="234">
        <v>0.04</v>
      </c>
      <c r="AC43" s="234">
        <v>0.04</v>
      </c>
      <c r="AD43" s="233" t="s">
        <v>165</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165</v>
      </c>
      <c r="T44" s="234">
        <v>0.022</v>
      </c>
      <c r="U44" s="234">
        <v>0.059</v>
      </c>
      <c r="V44" s="233" t="s">
        <v>165</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165</v>
      </c>
      <c r="T45" s="234">
        <v>0.029</v>
      </c>
      <c r="U45" s="234">
        <v>0.082</v>
      </c>
      <c r="V45" s="233" t="s">
        <v>165</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165</v>
      </c>
      <c r="T46" s="234">
        <v>0.027</v>
      </c>
      <c r="U46" s="234">
        <v>0.068</v>
      </c>
      <c r="V46" s="233" t="s">
        <v>165</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165</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165</v>
      </c>
      <c r="T48" s="234">
        <v>0.072</v>
      </c>
      <c r="U48" s="234">
        <v>0.087</v>
      </c>
      <c r="V48" s="233" t="s">
        <v>165</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165</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165</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165</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327</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330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331</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165</v>
      </c>
      <c r="G9" s="122">
        <v>35.0</v>
      </c>
      <c r="H9" s="122">
        <v>54.0</v>
      </c>
      <c r="I9" s="122">
        <v>46.0</v>
      </c>
      <c r="J9" s="122">
        <v>0.0</v>
      </c>
      <c r="K9" s="122">
        <v>42.0</v>
      </c>
      <c r="L9" s="122" t="s">
        <v>165</v>
      </c>
      <c r="M9" s="122" t="s">
        <v>165</v>
      </c>
      <c r="N9" s="122" t="s">
        <v>165</v>
      </c>
      <c r="O9" s="122" t="s">
        <v>165</v>
      </c>
      <c r="P9" s="122" t="s">
        <v>165</v>
      </c>
      <c r="Q9" s="122">
        <v>27.0</v>
      </c>
      <c r="R9" s="122">
        <v>60.0</v>
      </c>
      <c r="S9" s="122" t="s">
        <v>165</v>
      </c>
      <c r="T9" s="122">
        <v>44.0</v>
      </c>
      <c r="U9" s="122" t="s">
        <v>165</v>
      </c>
      <c r="V9" s="122">
        <v>0.0</v>
      </c>
      <c r="W9" s="122">
        <v>32.0</v>
      </c>
      <c r="X9" s="122">
        <v>34.0</v>
      </c>
      <c r="Y9" s="122">
        <v>46.0</v>
      </c>
      <c r="Z9" s="122">
        <v>40.0</v>
      </c>
      <c r="AA9" s="122">
        <v>60.0</v>
      </c>
      <c r="AB9" s="122">
        <v>29.0</v>
      </c>
      <c r="AC9" s="122">
        <v>55.0</v>
      </c>
      <c r="AD9" s="122">
        <v>0.0</v>
      </c>
      <c r="AE9" s="122">
        <v>66.0</v>
      </c>
      <c r="AF9" s="122">
        <v>37.0</v>
      </c>
      <c r="AG9" s="122">
        <v>29.0</v>
      </c>
      <c r="AH9" s="122">
        <v>44.0</v>
      </c>
      <c r="AI9" s="122" t="s">
        <v>165</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165</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165</v>
      </c>
      <c r="G11" s="122">
        <v>156.0</v>
      </c>
      <c r="H11" s="122">
        <v>387.0</v>
      </c>
      <c r="I11" s="122">
        <v>156.0</v>
      </c>
      <c r="J11" s="122">
        <v>130.0</v>
      </c>
      <c r="K11" s="122">
        <v>291.0</v>
      </c>
      <c r="L11" s="122">
        <v>133.0</v>
      </c>
      <c r="M11" s="122">
        <v>192.0</v>
      </c>
      <c r="N11" s="122">
        <v>179.0</v>
      </c>
      <c r="O11" s="122">
        <v>62.0</v>
      </c>
      <c r="P11" s="122">
        <v>91.0</v>
      </c>
      <c r="Q11" s="122">
        <v>397.0</v>
      </c>
      <c r="R11" s="122">
        <v>263.0</v>
      </c>
      <c r="S11" s="122" t="s">
        <v>165</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165</v>
      </c>
      <c r="M12" s="122" t="s">
        <v>165</v>
      </c>
      <c r="N12" s="122" t="s">
        <v>165</v>
      </c>
      <c r="O12" s="122" t="s">
        <v>165</v>
      </c>
      <c r="P12" s="122" t="s">
        <v>165</v>
      </c>
      <c r="Q12" s="122">
        <v>147.0</v>
      </c>
      <c r="R12" s="122">
        <v>92.0</v>
      </c>
      <c r="S12" s="122">
        <v>0.0</v>
      </c>
      <c r="T12" s="122">
        <v>75.0</v>
      </c>
      <c r="U12" s="122" t="s">
        <v>165</v>
      </c>
      <c r="V12" s="122">
        <v>0.0</v>
      </c>
      <c r="W12" s="122">
        <v>117.0</v>
      </c>
      <c r="X12" s="122">
        <v>42.0</v>
      </c>
      <c r="Y12" s="122">
        <v>114.0</v>
      </c>
      <c r="Z12" s="122">
        <v>105.0</v>
      </c>
      <c r="AA12" s="122">
        <v>217.0</v>
      </c>
      <c r="AB12" s="122">
        <v>29.0</v>
      </c>
      <c r="AC12" s="122">
        <v>376.0</v>
      </c>
      <c r="AD12" s="122" t="s">
        <v>165</v>
      </c>
      <c r="AE12" s="122">
        <v>57.0</v>
      </c>
      <c r="AF12" s="122">
        <v>55.0</v>
      </c>
      <c r="AG12" s="122" t="s">
        <v>165</v>
      </c>
      <c r="AH12" s="122">
        <v>32.0</v>
      </c>
      <c r="AI12" s="122">
        <v>67.0</v>
      </c>
      <c r="AJ12" s="122">
        <v>60.0</v>
      </c>
      <c r="AK12" s="122" t="s">
        <v>165</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165</v>
      </c>
      <c r="M13" s="122" t="s">
        <v>165</v>
      </c>
      <c r="N13" s="122">
        <v>50.0</v>
      </c>
      <c r="O13" s="122">
        <v>62.0</v>
      </c>
      <c r="P13" s="122">
        <v>109.0</v>
      </c>
      <c r="Q13" s="122">
        <v>181.0</v>
      </c>
      <c r="R13" s="122">
        <v>129.0</v>
      </c>
      <c r="S13" s="122" t="s">
        <v>165</v>
      </c>
      <c r="T13" s="122">
        <v>131.0</v>
      </c>
      <c r="U13" s="122">
        <v>51.0</v>
      </c>
      <c r="V13" s="122" t="s">
        <v>165</v>
      </c>
      <c r="W13" s="122">
        <v>129.0</v>
      </c>
      <c r="X13" s="122">
        <v>42.0</v>
      </c>
      <c r="Y13" s="122">
        <v>320.0</v>
      </c>
      <c r="Z13" s="122">
        <v>170.0</v>
      </c>
      <c r="AA13" s="122">
        <v>379.0</v>
      </c>
      <c r="AB13" s="122">
        <v>57.0</v>
      </c>
      <c r="AC13" s="122">
        <v>343.0</v>
      </c>
      <c r="AD13" s="122" t="s">
        <v>165</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165</v>
      </c>
      <c r="C14" s="122">
        <v>148.0</v>
      </c>
      <c r="D14" s="122">
        <v>67.0</v>
      </c>
      <c r="E14" s="122">
        <v>686.0</v>
      </c>
      <c r="F14" s="122" t="s">
        <v>165</v>
      </c>
      <c r="G14" s="122">
        <v>98.0</v>
      </c>
      <c r="H14" s="122">
        <v>291.0</v>
      </c>
      <c r="I14" s="122">
        <v>173.0</v>
      </c>
      <c r="J14" s="122">
        <v>184.0</v>
      </c>
      <c r="K14" s="122">
        <v>116.0</v>
      </c>
      <c r="L14" s="122">
        <v>118.0</v>
      </c>
      <c r="M14" s="122">
        <v>149.0</v>
      </c>
      <c r="N14" s="122">
        <v>129.0</v>
      </c>
      <c r="O14" s="122" t="s">
        <v>165</v>
      </c>
      <c r="P14" s="122" t="s">
        <v>165</v>
      </c>
      <c r="Q14" s="122">
        <v>243.0</v>
      </c>
      <c r="R14" s="122">
        <v>171.0</v>
      </c>
      <c r="S14" s="122">
        <v>0.0</v>
      </c>
      <c r="T14" s="122">
        <v>68.0</v>
      </c>
      <c r="U14" s="122">
        <v>219.0</v>
      </c>
      <c r="V14" s="122" t="s">
        <v>165</v>
      </c>
      <c r="W14" s="122">
        <v>85.0</v>
      </c>
      <c r="X14" s="122">
        <v>183.0</v>
      </c>
      <c r="Y14" s="122">
        <v>277.0</v>
      </c>
      <c r="Z14" s="122">
        <v>65.0</v>
      </c>
      <c r="AA14" s="122">
        <v>360.0</v>
      </c>
      <c r="AB14" s="122">
        <v>69.0</v>
      </c>
      <c r="AC14" s="122">
        <v>511.0</v>
      </c>
      <c r="AD14" s="122" t="s">
        <v>165</v>
      </c>
      <c r="AE14" s="122">
        <v>104.0</v>
      </c>
      <c r="AF14" s="122">
        <v>166.0</v>
      </c>
      <c r="AG14" s="122">
        <v>98.0</v>
      </c>
      <c r="AH14" s="122">
        <v>89.0</v>
      </c>
      <c r="AI14" s="122" t="s">
        <v>165</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165</v>
      </c>
      <c r="M15" s="122" t="s">
        <v>165</v>
      </c>
      <c r="N15" s="122" t="s">
        <v>165</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165</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165</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165</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334</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165</v>
      </c>
      <c r="C9" s="122" t="s">
        <v>165</v>
      </c>
      <c r="D9" s="122" t="s">
        <v>165</v>
      </c>
      <c r="E9" s="122" t="s">
        <v>165</v>
      </c>
      <c r="F9" s="122">
        <v>0.0</v>
      </c>
      <c r="G9" s="122" t="s">
        <v>165</v>
      </c>
      <c r="H9" s="122">
        <v>17.0</v>
      </c>
      <c r="I9" s="122" t="s">
        <v>165</v>
      </c>
      <c r="J9" s="122">
        <v>0.0</v>
      </c>
      <c r="K9" s="122">
        <v>13.0</v>
      </c>
      <c r="L9" s="122">
        <v>0.0</v>
      </c>
      <c r="M9" s="122">
        <v>0.0</v>
      </c>
      <c r="N9" s="122">
        <v>0.0</v>
      </c>
      <c r="O9" s="122">
        <v>0.0</v>
      </c>
      <c r="P9" s="122" t="s">
        <v>165</v>
      </c>
      <c r="Q9" s="122" t="s">
        <v>165</v>
      </c>
      <c r="R9" s="122" t="s">
        <v>165</v>
      </c>
      <c r="S9" s="122">
        <v>0.0</v>
      </c>
      <c r="T9" s="122" t="s">
        <v>165</v>
      </c>
      <c r="U9" s="122">
        <v>0.0</v>
      </c>
      <c r="V9" s="122">
        <v>0.0</v>
      </c>
      <c r="W9" s="122" t="s">
        <v>165</v>
      </c>
      <c r="X9" s="122" t="s">
        <v>165</v>
      </c>
      <c r="Y9" s="122">
        <v>15.0</v>
      </c>
      <c r="Z9" s="122" t="s">
        <v>165</v>
      </c>
      <c r="AA9" s="122">
        <v>15.0</v>
      </c>
      <c r="AB9" s="122" t="s">
        <v>165</v>
      </c>
      <c r="AC9" s="122">
        <v>18.0</v>
      </c>
      <c r="AD9" s="122">
        <v>0.0</v>
      </c>
      <c r="AE9" s="122">
        <v>0.0</v>
      </c>
      <c r="AF9" s="122" t="s">
        <v>165</v>
      </c>
      <c r="AG9" s="122" t="s">
        <v>165</v>
      </c>
      <c r="AH9" s="122">
        <v>0.0</v>
      </c>
      <c r="AI9" s="122">
        <v>0.0</v>
      </c>
      <c r="AJ9" s="122" t="s">
        <v>165</v>
      </c>
      <c r="AK9" s="122">
        <v>0.0</v>
      </c>
      <c r="AL9" s="122" t="s">
        <v>165</v>
      </c>
      <c r="AM9" s="122" t="s">
        <v>165</v>
      </c>
      <c r="AN9" s="122" t="s">
        <v>165</v>
      </c>
      <c r="AO9" s="122">
        <v>11.0</v>
      </c>
    </row>
    <row r="10">
      <c r="A10" s="240">
        <v>43922.0</v>
      </c>
      <c r="B10" s="122">
        <v>0.0</v>
      </c>
      <c r="C10" s="122">
        <v>27.0</v>
      </c>
      <c r="D10" s="122" t="s">
        <v>165</v>
      </c>
      <c r="E10" s="122">
        <v>201.0</v>
      </c>
      <c r="F10" s="122">
        <v>0.0</v>
      </c>
      <c r="G10" s="122" t="s">
        <v>165</v>
      </c>
      <c r="H10" s="122">
        <v>50.0</v>
      </c>
      <c r="I10" s="122">
        <v>35.0</v>
      </c>
      <c r="J10" s="122">
        <v>0.0</v>
      </c>
      <c r="K10" s="122">
        <v>34.0</v>
      </c>
      <c r="L10" s="122">
        <v>0.0</v>
      </c>
      <c r="M10" s="122">
        <v>0.0</v>
      </c>
      <c r="N10" s="122">
        <v>0.0</v>
      </c>
      <c r="O10" s="122" t="s">
        <v>165</v>
      </c>
      <c r="P10" s="122" t="s">
        <v>165</v>
      </c>
      <c r="Q10" s="122">
        <v>51.0</v>
      </c>
      <c r="R10" s="122">
        <v>28.0</v>
      </c>
      <c r="S10" s="122">
        <v>0.0</v>
      </c>
      <c r="T10" s="122" t="s">
        <v>165</v>
      </c>
      <c r="U10" s="122" t="s">
        <v>165</v>
      </c>
      <c r="V10" s="122">
        <v>0.0</v>
      </c>
      <c r="W10" s="122">
        <v>0.0</v>
      </c>
      <c r="X10" s="122" t="s">
        <v>165</v>
      </c>
      <c r="Y10" s="122">
        <v>99.0</v>
      </c>
      <c r="Z10" s="122" t="s">
        <v>165</v>
      </c>
      <c r="AA10" s="122">
        <v>84.0</v>
      </c>
      <c r="AB10" s="122">
        <v>0.0</v>
      </c>
      <c r="AC10" s="122">
        <v>157.0</v>
      </c>
      <c r="AD10" s="122" t="s">
        <v>165</v>
      </c>
      <c r="AE10" s="122">
        <v>0.0</v>
      </c>
      <c r="AF10" s="122">
        <v>28.0</v>
      </c>
      <c r="AG10" s="122">
        <v>23.0</v>
      </c>
      <c r="AH10" s="122">
        <v>0.0</v>
      </c>
      <c r="AI10" s="122" t="s">
        <v>165</v>
      </c>
      <c r="AJ10" s="122">
        <v>26.0</v>
      </c>
      <c r="AK10" s="122">
        <v>0.0</v>
      </c>
      <c r="AL10" s="122" t="s">
        <v>165</v>
      </c>
      <c r="AM10" s="122" t="s">
        <v>165</v>
      </c>
      <c r="AN10" s="122">
        <v>48.0</v>
      </c>
      <c r="AO10" s="122">
        <v>59.0</v>
      </c>
    </row>
    <row r="11">
      <c r="A11" s="240">
        <v>43952.0</v>
      </c>
      <c r="B11" s="122" t="s">
        <v>165</v>
      </c>
      <c r="C11" s="122" t="s">
        <v>165</v>
      </c>
      <c r="D11" s="122" t="s">
        <v>165</v>
      </c>
      <c r="E11" s="122">
        <v>196.0</v>
      </c>
      <c r="F11" s="122">
        <v>0.0</v>
      </c>
      <c r="G11" s="122" t="s">
        <v>165</v>
      </c>
      <c r="H11" s="122">
        <v>37.0</v>
      </c>
      <c r="I11" s="122">
        <v>20.0</v>
      </c>
      <c r="J11" s="122">
        <v>0.0</v>
      </c>
      <c r="K11" s="122">
        <v>11.0</v>
      </c>
      <c r="L11" s="122" t="s">
        <v>165</v>
      </c>
      <c r="M11" s="122" t="s">
        <v>165</v>
      </c>
      <c r="N11" s="122" t="s">
        <v>165</v>
      </c>
      <c r="O11" s="122">
        <v>0.0</v>
      </c>
      <c r="P11" s="122" t="s">
        <v>165</v>
      </c>
      <c r="Q11" s="122">
        <v>58.0</v>
      </c>
      <c r="R11" s="122">
        <v>23.0</v>
      </c>
      <c r="S11" s="122">
        <v>0.0</v>
      </c>
      <c r="T11" s="122" t="s">
        <v>165</v>
      </c>
      <c r="U11" s="122" t="s">
        <v>165</v>
      </c>
      <c r="V11" s="122">
        <v>0.0</v>
      </c>
      <c r="W11" s="122" t="s">
        <v>165</v>
      </c>
      <c r="X11" s="122" t="s">
        <v>165</v>
      </c>
      <c r="Y11" s="122">
        <v>59.0</v>
      </c>
      <c r="Z11" s="122">
        <v>49.0</v>
      </c>
      <c r="AA11" s="122">
        <v>61.0</v>
      </c>
      <c r="AB11" s="122">
        <v>0.0</v>
      </c>
      <c r="AC11" s="122">
        <v>97.0</v>
      </c>
      <c r="AD11" s="122" t="s">
        <v>165</v>
      </c>
      <c r="AE11" s="122">
        <v>0.0</v>
      </c>
      <c r="AF11" s="122" t="s">
        <v>165</v>
      </c>
      <c r="AG11" s="122">
        <v>20.0</v>
      </c>
      <c r="AH11" s="122" t="s">
        <v>165</v>
      </c>
      <c r="AI11" s="122" t="s">
        <v>165</v>
      </c>
      <c r="AJ11" s="122">
        <v>20.0</v>
      </c>
      <c r="AK11" s="122">
        <v>0.0</v>
      </c>
      <c r="AL11" s="122">
        <v>24.0</v>
      </c>
      <c r="AM11" s="122">
        <v>0.0</v>
      </c>
      <c r="AN11" s="122">
        <v>51.0</v>
      </c>
      <c r="AO11" s="122">
        <v>43.0</v>
      </c>
    </row>
    <row r="12">
      <c r="A12" s="240">
        <v>43983.0</v>
      </c>
      <c r="B12" s="122">
        <v>0.0</v>
      </c>
      <c r="C12" s="122" t="s">
        <v>165</v>
      </c>
      <c r="D12" s="122">
        <v>0.0</v>
      </c>
      <c r="E12" s="122">
        <v>57.0</v>
      </c>
      <c r="F12" s="122" t="s">
        <v>165</v>
      </c>
      <c r="G12" s="122">
        <v>0.0</v>
      </c>
      <c r="H12" s="122">
        <v>12.0</v>
      </c>
      <c r="I12" s="122" t="s">
        <v>165</v>
      </c>
      <c r="J12" s="122" t="s">
        <v>165</v>
      </c>
      <c r="K12" s="122">
        <v>11.0</v>
      </c>
      <c r="L12" s="122">
        <v>0.0</v>
      </c>
      <c r="M12" s="122">
        <v>0.0</v>
      </c>
      <c r="N12" s="122">
        <v>0.0</v>
      </c>
      <c r="O12" s="122">
        <v>0.0</v>
      </c>
      <c r="P12" s="122">
        <v>0.0</v>
      </c>
      <c r="Q12" s="122" t="s">
        <v>165</v>
      </c>
      <c r="R12" s="122" t="s">
        <v>165</v>
      </c>
      <c r="S12" s="122">
        <v>0.0</v>
      </c>
      <c r="T12" s="122">
        <v>0.0</v>
      </c>
      <c r="U12" s="122">
        <v>0.0</v>
      </c>
      <c r="V12" s="122">
        <v>0.0</v>
      </c>
      <c r="W12" s="122">
        <v>24.0</v>
      </c>
      <c r="X12" s="122">
        <v>0.0</v>
      </c>
      <c r="Y12" s="122" t="s">
        <v>165</v>
      </c>
      <c r="Z12" s="122" t="s">
        <v>165</v>
      </c>
      <c r="AA12" s="122">
        <v>25.0</v>
      </c>
      <c r="AB12" s="122">
        <v>0.0</v>
      </c>
      <c r="AC12" s="122">
        <v>47.0</v>
      </c>
      <c r="AD12" s="122">
        <v>0.0</v>
      </c>
      <c r="AE12" s="122">
        <v>0.0</v>
      </c>
      <c r="AF12" s="122" t="s">
        <v>165</v>
      </c>
      <c r="AG12" s="122">
        <v>0.0</v>
      </c>
      <c r="AH12" s="122">
        <v>0.0</v>
      </c>
      <c r="AI12" s="122" t="s">
        <v>165</v>
      </c>
      <c r="AJ12" s="122">
        <v>7.0</v>
      </c>
      <c r="AK12" s="122">
        <v>0.0</v>
      </c>
      <c r="AL12" s="122">
        <v>17.0</v>
      </c>
      <c r="AM12" s="122" t="s">
        <v>165</v>
      </c>
      <c r="AN12" s="122">
        <v>36.0</v>
      </c>
      <c r="AO12" s="122">
        <v>18.0</v>
      </c>
    </row>
    <row r="13">
      <c r="A13" s="240">
        <v>44013.0</v>
      </c>
      <c r="B13" s="122" t="s">
        <v>165</v>
      </c>
      <c r="C13" s="122">
        <v>0.0</v>
      </c>
      <c r="D13" s="122" t="s">
        <v>165</v>
      </c>
      <c r="E13" s="122" t="s">
        <v>165</v>
      </c>
      <c r="F13" s="122" t="s">
        <v>165</v>
      </c>
      <c r="G13" s="122" t="s">
        <v>165</v>
      </c>
      <c r="H13" s="122">
        <v>17.0</v>
      </c>
      <c r="I13" s="122" t="s">
        <v>165</v>
      </c>
      <c r="J13" s="122" t="s">
        <v>165</v>
      </c>
      <c r="K13" s="122">
        <v>13.0</v>
      </c>
      <c r="L13" s="122">
        <v>0.0</v>
      </c>
      <c r="M13" s="122">
        <v>0.0</v>
      </c>
      <c r="N13" s="122">
        <v>0.0</v>
      </c>
      <c r="O13" s="122">
        <v>0.0</v>
      </c>
      <c r="P13" s="122">
        <v>0.0</v>
      </c>
      <c r="Q13" s="122">
        <v>0.0</v>
      </c>
      <c r="R13" s="122" t="s">
        <v>165</v>
      </c>
      <c r="S13" s="122">
        <v>0.0</v>
      </c>
      <c r="T13" s="122" t="s">
        <v>165</v>
      </c>
      <c r="U13" s="122" t="s">
        <v>165</v>
      </c>
      <c r="V13" s="122">
        <v>0.0</v>
      </c>
      <c r="W13" s="122" t="s">
        <v>165</v>
      </c>
      <c r="X13" s="122" t="s">
        <v>165</v>
      </c>
      <c r="Y13" s="122" t="s">
        <v>165</v>
      </c>
      <c r="Z13" s="122" t="s">
        <v>165</v>
      </c>
      <c r="AA13" s="122">
        <v>20.0</v>
      </c>
      <c r="AB13" s="122">
        <v>0.0</v>
      </c>
      <c r="AC13" s="122">
        <v>33.0</v>
      </c>
      <c r="AD13" s="122">
        <v>0.0</v>
      </c>
      <c r="AE13" s="122">
        <v>0.0</v>
      </c>
      <c r="AF13" s="122">
        <v>32.0</v>
      </c>
      <c r="AG13" s="122">
        <v>0.0</v>
      </c>
      <c r="AH13" s="122">
        <v>0.0</v>
      </c>
      <c r="AI13" s="122">
        <v>0.0</v>
      </c>
      <c r="AJ13" s="122">
        <v>14.0</v>
      </c>
      <c r="AK13" s="122">
        <v>0.0</v>
      </c>
      <c r="AL13" s="122">
        <v>35.0</v>
      </c>
      <c r="AM13" s="122" t="s">
        <v>165</v>
      </c>
      <c r="AN13" s="122">
        <v>43.0</v>
      </c>
      <c r="AO13" s="122">
        <v>16.0</v>
      </c>
    </row>
    <row r="14">
      <c r="A14" s="240">
        <v>44044.0</v>
      </c>
      <c r="B14" s="122">
        <v>0.0</v>
      </c>
      <c r="C14" s="122" t="s">
        <v>165</v>
      </c>
      <c r="D14" s="122" t="s">
        <v>165</v>
      </c>
      <c r="E14" s="122">
        <v>57.0</v>
      </c>
      <c r="F14" s="122">
        <v>0.0</v>
      </c>
      <c r="G14" s="122" t="s">
        <v>165</v>
      </c>
      <c r="H14" s="122">
        <v>21.0</v>
      </c>
      <c r="I14" s="122" t="s">
        <v>165</v>
      </c>
      <c r="J14" s="122" t="s">
        <v>165</v>
      </c>
      <c r="K14" s="122" t="s">
        <v>165</v>
      </c>
      <c r="L14" s="122" t="s">
        <v>165</v>
      </c>
      <c r="M14" s="122">
        <v>0.0</v>
      </c>
      <c r="N14" s="122">
        <v>0.0</v>
      </c>
      <c r="O14" s="122">
        <v>0.0</v>
      </c>
      <c r="P14" s="122">
        <v>0.0</v>
      </c>
      <c r="Q14" s="122" t="s">
        <v>165</v>
      </c>
      <c r="R14" s="122" t="s">
        <v>165</v>
      </c>
      <c r="S14" s="122">
        <v>0.0</v>
      </c>
      <c r="T14" s="122">
        <v>0.0</v>
      </c>
      <c r="U14" s="122" t="s">
        <v>165</v>
      </c>
      <c r="V14" s="122">
        <v>0.0</v>
      </c>
      <c r="W14" s="122" t="s">
        <v>165</v>
      </c>
      <c r="X14" s="122" t="s">
        <v>165</v>
      </c>
      <c r="Y14" s="122">
        <v>40.0</v>
      </c>
      <c r="Z14" s="122">
        <v>0.0</v>
      </c>
      <c r="AA14" s="122">
        <v>31.0</v>
      </c>
      <c r="AB14" s="122">
        <v>0.0</v>
      </c>
      <c r="AC14" s="122">
        <v>53.0</v>
      </c>
      <c r="AD14" s="122">
        <v>0.0</v>
      </c>
      <c r="AE14" s="122">
        <v>0.0</v>
      </c>
      <c r="AF14" s="122" t="s">
        <v>165</v>
      </c>
      <c r="AG14" s="122" t="s">
        <v>165</v>
      </c>
      <c r="AH14" s="122" t="s">
        <v>165</v>
      </c>
      <c r="AI14" s="122" t="s">
        <v>165</v>
      </c>
      <c r="AJ14" s="122">
        <v>16.0</v>
      </c>
      <c r="AK14" s="122">
        <v>0.0</v>
      </c>
      <c r="AL14" s="122">
        <v>17.0</v>
      </c>
      <c r="AM14" s="122" t="s">
        <v>165</v>
      </c>
      <c r="AN14" s="122">
        <v>24.0</v>
      </c>
      <c r="AO14" s="122">
        <v>21.0</v>
      </c>
    </row>
    <row r="15">
      <c r="A15" s="240">
        <v>44075.0</v>
      </c>
      <c r="B15" s="122">
        <v>0.0</v>
      </c>
      <c r="C15" s="122">
        <v>0.0</v>
      </c>
      <c r="D15" s="122" t="s">
        <v>165</v>
      </c>
      <c r="E15" s="122" t="s">
        <v>165</v>
      </c>
      <c r="F15" s="122" t="s">
        <v>165</v>
      </c>
      <c r="G15" s="122" t="s">
        <v>165</v>
      </c>
      <c r="H15" s="122">
        <v>18.0</v>
      </c>
      <c r="I15" s="122">
        <v>20.0</v>
      </c>
      <c r="J15" s="122" t="s">
        <v>165</v>
      </c>
      <c r="K15" s="122" t="s">
        <v>165</v>
      </c>
      <c r="L15" s="122">
        <v>0.0</v>
      </c>
      <c r="M15" s="122">
        <v>0.0</v>
      </c>
      <c r="N15" s="122" t="s">
        <v>165</v>
      </c>
      <c r="O15" s="122">
        <v>0.0</v>
      </c>
      <c r="P15" s="122">
        <v>0.0</v>
      </c>
      <c r="Q15" s="122">
        <v>48.0</v>
      </c>
      <c r="R15" s="122" t="s">
        <v>165</v>
      </c>
      <c r="S15" s="122">
        <v>0.0</v>
      </c>
      <c r="T15" s="122">
        <v>0.0</v>
      </c>
      <c r="U15" s="122" t="s">
        <v>165</v>
      </c>
      <c r="V15" s="122">
        <v>0.0</v>
      </c>
      <c r="W15" s="122" t="s">
        <v>165</v>
      </c>
      <c r="X15" s="122" t="s">
        <v>165</v>
      </c>
      <c r="Y15" s="122">
        <v>18.0</v>
      </c>
      <c r="Z15" s="122" t="s">
        <v>165</v>
      </c>
      <c r="AA15" s="122">
        <v>22.0</v>
      </c>
      <c r="AB15" s="122">
        <v>0.0</v>
      </c>
      <c r="AC15" s="122">
        <v>28.0</v>
      </c>
      <c r="AD15" s="122" t="s">
        <v>165</v>
      </c>
      <c r="AE15" s="122" t="s">
        <v>165</v>
      </c>
      <c r="AF15" s="122" t="s">
        <v>165</v>
      </c>
      <c r="AG15" s="122" t="s">
        <v>165</v>
      </c>
      <c r="AH15" s="122">
        <v>0.0</v>
      </c>
      <c r="AI15" s="122">
        <v>0.0</v>
      </c>
      <c r="AJ15" s="122">
        <v>7.0</v>
      </c>
      <c r="AK15" s="122">
        <v>0.0</v>
      </c>
      <c r="AL15" s="122" t="s">
        <v>165</v>
      </c>
      <c r="AM15" s="122" t="s">
        <v>165</v>
      </c>
      <c r="AN15" s="122">
        <v>17.0</v>
      </c>
      <c r="AO15" s="122">
        <v>15.0</v>
      </c>
    </row>
    <row r="16">
      <c r="A16" s="240">
        <v>44105.0</v>
      </c>
      <c r="B16" s="122" t="s">
        <v>165</v>
      </c>
      <c r="C16" s="122" t="s">
        <v>165</v>
      </c>
      <c r="D16" s="122" t="s">
        <v>165</v>
      </c>
      <c r="E16" s="122">
        <v>93.0</v>
      </c>
      <c r="F16" s="122" t="s">
        <v>165</v>
      </c>
      <c r="G16" s="122">
        <v>38.0</v>
      </c>
      <c r="H16" s="122">
        <v>52.0</v>
      </c>
      <c r="I16" s="122">
        <v>40.0</v>
      </c>
      <c r="J16" s="122">
        <v>38.0</v>
      </c>
      <c r="K16" s="122">
        <v>38.0</v>
      </c>
      <c r="L16" s="122" t="s">
        <v>165</v>
      </c>
      <c r="M16" s="122">
        <v>0.0</v>
      </c>
      <c r="N16" s="122">
        <v>50.0</v>
      </c>
      <c r="O16" s="122" t="s">
        <v>165</v>
      </c>
      <c r="P16" s="122">
        <v>0.0</v>
      </c>
      <c r="Q16" s="122">
        <v>55.0</v>
      </c>
      <c r="R16" s="122">
        <v>28.0</v>
      </c>
      <c r="S16" s="122">
        <v>0.0</v>
      </c>
      <c r="T16" s="122" t="s">
        <v>165</v>
      </c>
      <c r="U16" s="122" t="s">
        <v>165</v>
      </c>
      <c r="V16" s="122">
        <v>0.0</v>
      </c>
      <c r="W16" s="122" t="s">
        <v>165</v>
      </c>
      <c r="X16" s="122">
        <v>23.0</v>
      </c>
      <c r="Y16" s="122">
        <v>55.0</v>
      </c>
      <c r="Z16" s="122" t="s">
        <v>165</v>
      </c>
      <c r="AA16" s="122">
        <v>68.0</v>
      </c>
      <c r="AB16" s="122" t="s">
        <v>165</v>
      </c>
      <c r="AC16" s="122">
        <v>82.0</v>
      </c>
      <c r="AD16" s="122" t="s">
        <v>165</v>
      </c>
      <c r="AE16" s="122" t="s">
        <v>165</v>
      </c>
      <c r="AF16" s="122" t="s">
        <v>165</v>
      </c>
      <c r="AG16" s="122" t="s">
        <v>165</v>
      </c>
      <c r="AH16" s="122">
        <v>0.0</v>
      </c>
      <c r="AI16" s="122" t="s">
        <v>165</v>
      </c>
      <c r="AJ16" s="122">
        <v>36.0</v>
      </c>
      <c r="AK16" s="122" t="s">
        <v>165</v>
      </c>
      <c r="AL16" s="122">
        <v>31.0</v>
      </c>
      <c r="AM16" s="122">
        <v>0.0</v>
      </c>
      <c r="AN16" s="122">
        <v>41.0</v>
      </c>
      <c r="AO16" s="122">
        <v>44.0</v>
      </c>
    </row>
    <row r="17">
      <c r="A17" s="240">
        <v>44136.0</v>
      </c>
      <c r="B17" s="122">
        <v>62.0</v>
      </c>
      <c r="C17" s="122">
        <v>67.0</v>
      </c>
      <c r="D17" s="122">
        <v>103.0</v>
      </c>
      <c r="E17" s="122">
        <v>93.0</v>
      </c>
      <c r="F17" s="122" t="s">
        <v>165</v>
      </c>
      <c r="G17" s="122">
        <v>84.0</v>
      </c>
      <c r="H17" s="122">
        <v>147.0</v>
      </c>
      <c r="I17" s="122">
        <v>87.0</v>
      </c>
      <c r="J17" s="122">
        <v>46.0</v>
      </c>
      <c r="K17" s="122">
        <v>114.0</v>
      </c>
      <c r="L17" s="122" t="s">
        <v>165</v>
      </c>
      <c r="M17" s="122" t="s">
        <v>165</v>
      </c>
      <c r="N17" s="122">
        <v>70.0</v>
      </c>
      <c r="O17" s="122">
        <v>74.0</v>
      </c>
      <c r="P17" s="122" t="s">
        <v>165</v>
      </c>
      <c r="Q17" s="122">
        <v>130.0</v>
      </c>
      <c r="R17" s="122">
        <v>162.0</v>
      </c>
      <c r="S17" s="122">
        <v>0.0</v>
      </c>
      <c r="T17" s="122">
        <v>31.0</v>
      </c>
      <c r="U17" s="122">
        <v>77.0</v>
      </c>
      <c r="V17" s="122">
        <v>0.0</v>
      </c>
      <c r="W17" s="122">
        <v>44.0</v>
      </c>
      <c r="X17" s="122">
        <v>80.0</v>
      </c>
      <c r="Y17" s="122">
        <v>126.0</v>
      </c>
      <c r="Z17" s="122">
        <v>97.0</v>
      </c>
      <c r="AA17" s="122">
        <v>151.0</v>
      </c>
      <c r="AB17" s="122" t="s">
        <v>165</v>
      </c>
      <c r="AC17" s="122">
        <v>162.0</v>
      </c>
      <c r="AD17" s="122" t="s">
        <v>165</v>
      </c>
      <c r="AE17" s="122">
        <v>75.0</v>
      </c>
      <c r="AF17" s="122">
        <v>65.0</v>
      </c>
      <c r="AG17" s="122">
        <v>33.0</v>
      </c>
      <c r="AH17" s="122" t="s">
        <v>165</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165</v>
      </c>
      <c r="N18" s="122">
        <v>50.0</v>
      </c>
      <c r="O18" s="122">
        <v>86.0</v>
      </c>
      <c r="P18" s="122" t="s">
        <v>165</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165</v>
      </c>
      <c r="AE18" s="122">
        <v>85.0</v>
      </c>
      <c r="AF18" s="122">
        <v>139.0</v>
      </c>
      <c r="AG18" s="122">
        <v>20.0</v>
      </c>
      <c r="AH18" s="122">
        <v>32.0</v>
      </c>
      <c r="AI18" s="122">
        <v>105.0</v>
      </c>
      <c r="AJ18" s="122">
        <v>152.0</v>
      </c>
      <c r="AK18" s="122" t="s">
        <v>165</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165</v>
      </c>
      <c r="Q19" s="122">
        <v>161.0</v>
      </c>
      <c r="R19" s="122">
        <v>97.0</v>
      </c>
      <c r="S19" s="122" t="s">
        <v>165</v>
      </c>
      <c r="T19" s="122">
        <v>100.0</v>
      </c>
      <c r="U19" s="122">
        <v>71.0</v>
      </c>
      <c r="V19" s="122">
        <v>0.0</v>
      </c>
      <c r="W19" s="122">
        <v>89.0</v>
      </c>
      <c r="X19" s="122">
        <v>69.0</v>
      </c>
      <c r="Y19" s="122">
        <v>123.0</v>
      </c>
      <c r="Z19" s="122">
        <v>105.0</v>
      </c>
      <c r="AA19" s="122">
        <v>166.0</v>
      </c>
      <c r="AB19" s="122">
        <v>34.0</v>
      </c>
      <c r="AC19" s="122">
        <v>165.0</v>
      </c>
      <c r="AD19" s="122" t="s">
        <v>165</v>
      </c>
      <c r="AE19" s="122">
        <v>94.0</v>
      </c>
      <c r="AF19" s="122">
        <v>125.0</v>
      </c>
      <c r="AG19" s="122">
        <v>33.0</v>
      </c>
      <c r="AH19" s="122" t="s">
        <v>165</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165</v>
      </c>
      <c r="G20" s="122">
        <v>58.0</v>
      </c>
      <c r="H20" s="122">
        <v>80.0</v>
      </c>
      <c r="I20" s="122">
        <v>17.0</v>
      </c>
      <c r="J20" s="122">
        <v>84.0</v>
      </c>
      <c r="K20" s="122">
        <v>72.0</v>
      </c>
      <c r="L20" s="122" t="s">
        <v>165</v>
      </c>
      <c r="M20" s="122" t="s">
        <v>165</v>
      </c>
      <c r="N20" s="122" t="s">
        <v>165</v>
      </c>
      <c r="O20" s="122" t="s">
        <v>165</v>
      </c>
      <c r="P20" s="122" t="s">
        <v>165</v>
      </c>
      <c r="Q20" s="122">
        <v>86.0</v>
      </c>
      <c r="R20" s="122">
        <v>28.0</v>
      </c>
      <c r="S20" s="122">
        <v>0.0</v>
      </c>
      <c r="T20" s="122" t="s">
        <v>165</v>
      </c>
      <c r="U20" s="122" t="s">
        <v>165</v>
      </c>
      <c r="V20" s="122">
        <v>0.0</v>
      </c>
      <c r="W20" s="122" t="s">
        <v>165</v>
      </c>
      <c r="X20" s="122">
        <v>31.0</v>
      </c>
      <c r="Y20" s="122">
        <v>92.0</v>
      </c>
      <c r="Z20" s="122">
        <v>49.0</v>
      </c>
      <c r="AA20" s="122">
        <v>61.0</v>
      </c>
      <c r="AB20" s="122" t="s">
        <v>165</v>
      </c>
      <c r="AC20" s="122">
        <v>76.0</v>
      </c>
      <c r="AD20" s="122">
        <v>0.0</v>
      </c>
      <c r="AE20" s="122" t="s">
        <v>165</v>
      </c>
      <c r="AF20" s="122">
        <v>46.0</v>
      </c>
      <c r="AG20" s="122" t="s">
        <v>165</v>
      </c>
      <c r="AH20" s="122" t="s">
        <v>165</v>
      </c>
      <c r="AI20" s="122">
        <v>67.0</v>
      </c>
      <c r="AJ20" s="122">
        <v>54.0</v>
      </c>
      <c r="AK20" s="122" t="s">
        <v>165</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165</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338</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339</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340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344</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165</v>
      </c>
      <c r="I9" s="122" t="s">
        <v>165</v>
      </c>
      <c r="J9" s="122">
        <v>0.0</v>
      </c>
      <c r="K9" s="122">
        <v>0.0</v>
      </c>
      <c r="L9" s="122">
        <v>0.0</v>
      </c>
      <c r="M9" s="122">
        <v>0.0</v>
      </c>
      <c r="N9" s="122">
        <v>0.0</v>
      </c>
      <c r="O9" s="122">
        <v>0.0</v>
      </c>
      <c r="P9" s="122">
        <v>0.0</v>
      </c>
      <c r="Q9" s="122">
        <v>0.0</v>
      </c>
      <c r="R9" s="122">
        <v>0.0</v>
      </c>
      <c r="S9" s="122" t="s">
        <v>165</v>
      </c>
      <c r="T9" s="122">
        <v>0.0</v>
      </c>
      <c r="U9" s="122">
        <v>0.0</v>
      </c>
      <c r="V9" s="122">
        <v>0.0</v>
      </c>
      <c r="W9" s="122">
        <v>0.0</v>
      </c>
      <c r="X9" s="122">
        <v>0.0</v>
      </c>
      <c r="Y9" s="122">
        <v>0.0</v>
      </c>
      <c r="Z9" s="122">
        <v>0.0</v>
      </c>
      <c r="AA9" s="122">
        <v>0.0</v>
      </c>
      <c r="AB9" s="122">
        <v>0.0</v>
      </c>
      <c r="AC9" s="122" t="s">
        <v>165</v>
      </c>
      <c r="AD9" s="122">
        <v>0.0</v>
      </c>
      <c r="AE9" s="122">
        <v>0.0</v>
      </c>
      <c r="AF9" s="122" t="s">
        <v>165</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165</v>
      </c>
      <c r="F10" s="122">
        <v>0.0</v>
      </c>
      <c r="G10" s="122" t="s">
        <v>165</v>
      </c>
      <c r="H10" s="122" t="s">
        <v>165</v>
      </c>
      <c r="I10" s="122" t="s">
        <v>165</v>
      </c>
      <c r="J10" s="122">
        <v>0.0</v>
      </c>
      <c r="K10" s="122" t="s">
        <v>165</v>
      </c>
      <c r="L10" s="122">
        <v>0.0</v>
      </c>
      <c r="M10" s="122">
        <v>0.0</v>
      </c>
      <c r="N10" s="122">
        <v>0.0</v>
      </c>
      <c r="O10" s="122" t="s">
        <v>165</v>
      </c>
      <c r="P10" s="122">
        <v>0.0</v>
      </c>
      <c r="Q10" s="122" t="s">
        <v>165</v>
      </c>
      <c r="R10" s="122">
        <v>0.0</v>
      </c>
      <c r="S10" s="122">
        <v>0.0</v>
      </c>
      <c r="T10" s="122">
        <v>0.0</v>
      </c>
      <c r="U10" s="122">
        <v>0.0</v>
      </c>
      <c r="V10" s="122">
        <v>0.0</v>
      </c>
      <c r="W10" s="122" t="s">
        <v>165</v>
      </c>
      <c r="X10" s="122" t="s">
        <v>165</v>
      </c>
      <c r="Y10" s="122" t="s">
        <v>165</v>
      </c>
      <c r="Z10" s="122">
        <v>0.0</v>
      </c>
      <c r="AA10" s="122">
        <v>7.0</v>
      </c>
      <c r="AB10" s="122">
        <v>0.0</v>
      </c>
      <c r="AC10" s="122">
        <v>16.0</v>
      </c>
      <c r="AD10" s="122">
        <v>0.0</v>
      </c>
      <c r="AE10" s="122" t="s">
        <v>165</v>
      </c>
      <c r="AF10" s="122">
        <v>0.0</v>
      </c>
      <c r="AG10" s="122" t="s">
        <v>165</v>
      </c>
      <c r="AH10" s="122" t="s">
        <v>165</v>
      </c>
      <c r="AI10" s="122">
        <v>0.0</v>
      </c>
      <c r="AJ10" s="122">
        <v>7.0</v>
      </c>
      <c r="AK10" s="122">
        <v>0.0</v>
      </c>
      <c r="AL10" s="122" t="s">
        <v>165</v>
      </c>
      <c r="AM10" s="122" t="s">
        <v>165</v>
      </c>
      <c r="AN10" s="122" t="s">
        <v>165</v>
      </c>
      <c r="AO10" s="122">
        <v>7.0</v>
      </c>
    </row>
    <row r="11">
      <c r="A11" s="240">
        <v>43952.0</v>
      </c>
      <c r="B11" s="122">
        <v>0.0</v>
      </c>
      <c r="C11" s="122" t="s">
        <v>165</v>
      </c>
      <c r="D11" s="122" t="s">
        <v>165</v>
      </c>
      <c r="E11" s="122" t="s">
        <v>165</v>
      </c>
      <c r="F11" s="122">
        <v>0.0</v>
      </c>
      <c r="G11" s="122">
        <v>0.0</v>
      </c>
      <c r="H11" s="122" t="s">
        <v>165</v>
      </c>
      <c r="I11" s="122" t="s">
        <v>165</v>
      </c>
      <c r="J11" s="122">
        <v>0.0</v>
      </c>
      <c r="K11" s="122" t="s">
        <v>165</v>
      </c>
      <c r="L11" s="122" t="s">
        <v>165</v>
      </c>
      <c r="M11" s="122">
        <v>0.0</v>
      </c>
      <c r="N11" s="122">
        <v>0.0</v>
      </c>
      <c r="O11" s="122">
        <v>0.0</v>
      </c>
      <c r="P11" s="122">
        <v>0.0</v>
      </c>
      <c r="Q11" s="122" t="s">
        <v>165</v>
      </c>
      <c r="R11" s="122" t="s">
        <v>165</v>
      </c>
      <c r="S11" s="122">
        <v>0.0</v>
      </c>
      <c r="T11" s="122" t="s">
        <v>165</v>
      </c>
      <c r="U11" s="122">
        <v>0.0</v>
      </c>
      <c r="V11" s="122">
        <v>0.0</v>
      </c>
      <c r="W11" s="122">
        <v>0.0</v>
      </c>
      <c r="X11" s="122" t="s">
        <v>165</v>
      </c>
      <c r="Y11" s="122" t="s">
        <v>165</v>
      </c>
      <c r="Z11" s="122" t="s">
        <v>165</v>
      </c>
      <c r="AA11" s="122" t="s">
        <v>165</v>
      </c>
      <c r="AB11" s="122">
        <v>0.0</v>
      </c>
      <c r="AC11" s="122">
        <v>16.0</v>
      </c>
      <c r="AD11" s="122">
        <v>0.0</v>
      </c>
      <c r="AE11" s="122">
        <v>0.0</v>
      </c>
      <c r="AF11" s="122" t="s">
        <v>165</v>
      </c>
      <c r="AG11" s="122">
        <v>0.0</v>
      </c>
      <c r="AH11" s="122" t="s">
        <v>165</v>
      </c>
      <c r="AI11" s="122" t="s">
        <v>165</v>
      </c>
      <c r="AJ11" s="122">
        <v>0.0</v>
      </c>
      <c r="AK11" s="122">
        <v>0.0</v>
      </c>
      <c r="AL11" s="122" t="s">
        <v>165</v>
      </c>
      <c r="AM11" s="122">
        <v>0.0</v>
      </c>
      <c r="AN11" s="122">
        <v>17.0</v>
      </c>
      <c r="AO11" s="122">
        <v>6.0</v>
      </c>
    </row>
    <row r="12">
      <c r="A12" s="240">
        <v>43983.0</v>
      </c>
      <c r="B12" s="122">
        <v>0.0</v>
      </c>
      <c r="C12" s="122" t="s">
        <v>165</v>
      </c>
      <c r="D12" s="122">
        <v>0.0</v>
      </c>
      <c r="E12" s="122" t="s">
        <v>165</v>
      </c>
      <c r="F12" s="122">
        <v>0.0</v>
      </c>
      <c r="G12" s="122">
        <v>0.0</v>
      </c>
      <c r="H12" s="122">
        <v>6.0</v>
      </c>
      <c r="I12" s="122">
        <v>0.0</v>
      </c>
      <c r="J12" s="122">
        <v>0.0</v>
      </c>
      <c r="K12" s="122" t="s">
        <v>165</v>
      </c>
      <c r="L12" s="122">
        <v>0.0</v>
      </c>
      <c r="M12" s="122">
        <v>0.0</v>
      </c>
      <c r="N12" s="122">
        <v>0.0</v>
      </c>
      <c r="O12" s="122">
        <v>0.0</v>
      </c>
      <c r="P12" s="122">
        <v>0.0</v>
      </c>
      <c r="Q12" s="122">
        <v>17.0</v>
      </c>
      <c r="R12" s="122">
        <v>0.0</v>
      </c>
      <c r="S12" s="122">
        <v>0.0</v>
      </c>
      <c r="T12" s="122">
        <v>0.0</v>
      </c>
      <c r="U12" s="122">
        <v>0.0</v>
      </c>
      <c r="V12" s="122">
        <v>0.0</v>
      </c>
      <c r="W12" s="122">
        <v>0.0</v>
      </c>
      <c r="X12" s="122">
        <v>0.0</v>
      </c>
      <c r="Y12" s="122" t="s">
        <v>165</v>
      </c>
      <c r="Z12" s="122" t="s">
        <v>165</v>
      </c>
      <c r="AA12" s="122">
        <v>7.0</v>
      </c>
      <c r="AB12" s="122">
        <v>0.0</v>
      </c>
      <c r="AC12" s="122">
        <v>8.0</v>
      </c>
      <c r="AD12" s="122">
        <v>0.0</v>
      </c>
      <c r="AE12" s="122">
        <v>0.0</v>
      </c>
      <c r="AF12" s="122">
        <v>0.0</v>
      </c>
      <c r="AG12" s="122">
        <v>0.0</v>
      </c>
      <c r="AH12" s="122">
        <v>0.0</v>
      </c>
      <c r="AI12" s="122" t="s">
        <v>165</v>
      </c>
      <c r="AJ12" s="122" t="s">
        <v>165</v>
      </c>
      <c r="AK12" s="122">
        <v>0.0</v>
      </c>
      <c r="AL12" s="122">
        <v>0.0</v>
      </c>
      <c r="AM12" s="122">
        <v>0.0</v>
      </c>
      <c r="AN12" s="122" t="s">
        <v>165</v>
      </c>
      <c r="AO12" s="122">
        <v>4.0</v>
      </c>
    </row>
    <row r="13">
      <c r="A13" s="240">
        <v>44013.0</v>
      </c>
      <c r="B13" s="122">
        <v>0.0</v>
      </c>
      <c r="C13" s="122">
        <v>0.0</v>
      </c>
      <c r="D13" s="122" t="s">
        <v>165</v>
      </c>
      <c r="E13" s="122" t="s">
        <v>165</v>
      </c>
      <c r="F13" s="122" t="s">
        <v>165</v>
      </c>
      <c r="G13" s="122">
        <v>0.0</v>
      </c>
      <c r="H13" s="122">
        <v>0.0</v>
      </c>
      <c r="I13" s="122">
        <v>0.0</v>
      </c>
      <c r="J13" s="122">
        <v>0.0</v>
      </c>
      <c r="K13" s="122">
        <v>0.0</v>
      </c>
      <c r="L13" s="122">
        <v>0.0</v>
      </c>
      <c r="M13" s="122">
        <v>0.0</v>
      </c>
      <c r="N13" s="122">
        <v>0.0</v>
      </c>
      <c r="O13" s="122">
        <v>0.0</v>
      </c>
      <c r="P13" s="122">
        <v>0.0</v>
      </c>
      <c r="Q13" s="122">
        <v>0.0</v>
      </c>
      <c r="R13" s="122">
        <v>0.0</v>
      </c>
      <c r="S13" s="122">
        <v>0.0</v>
      </c>
      <c r="T13" s="122" t="s">
        <v>165</v>
      </c>
      <c r="U13" s="122">
        <v>0.0</v>
      </c>
      <c r="V13" s="122">
        <v>0.0</v>
      </c>
      <c r="W13" s="122">
        <v>0.0</v>
      </c>
      <c r="X13" s="122">
        <v>0.0</v>
      </c>
      <c r="Y13" s="122">
        <v>0.0</v>
      </c>
      <c r="Z13" s="122">
        <v>0.0</v>
      </c>
      <c r="AA13" s="122">
        <v>0.0</v>
      </c>
      <c r="AB13" s="122">
        <v>0.0</v>
      </c>
      <c r="AC13" s="122">
        <v>4.0</v>
      </c>
      <c r="AD13" s="122">
        <v>0.0</v>
      </c>
      <c r="AE13" s="122">
        <v>0.0</v>
      </c>
      <c r="AF13" s="122" t="s">
        <v>165</v>
      </c>
      <c r="AG13" s="122">
        <v>0.0</v>
      </c>
      <c r="AH13" s="122" t="s">
        <v>165</v>
      </c>
      <c r="AI13" s="122">
        <v>0.0</v>
      </c>
      <c r="AJ13" s="122" t="s">
        <v>165</v>
      </c>
      <c r="AK13" s="122">
        <v>0.0</v>
      </c>
      <c r="AL13" s="122">
        <v>0.0</v>
      </c>
      <c r="AM13" s="122">
        <v>0.0</v>
      </c>
      <c r="AN13" s="122" t="s">
        <v>165</v>
      </c>
      <c r="AO13" s="122">
        <v>2.0</v>
      </c>
    </row>
    <row r="14">
      <c r="A14" s="240">
        <v>44044.0</v>
      </c>
      <c r="B14" s="122">
        <v>0.0</v>
      </c>
      <c r="C14" s="122">
        <v>0.0</v>
      </c>
      <c r="D14" s="122" t="s">
        <v>165</v>
      </c>
      <c r="E14" s="122">
        <v>0.0</v>
      </c>
      <c r="F14" s="122">
        <v>0.0</v>
      </c>
      <c r="G14" s="122">
        <v>0.0</v>
      </c>
      <c r="H14" s="122" t="s">
        <v>165</v>
      </c>
      <c r="I14" s="122">
        <v>0.0</v>
      </c>
      <c r="J14" s="122">
        <v>0.0</v>
      </c>
      <c r="K14" s="122">
        <v>0.0</v>
      </c>
      <c r="L14" s="122" t="s">
        <v>165</v>
      </c>
      <c r="M14" s="122">
        <v>0.0</v>
      </c>
      <c r="N14" s="122">
        <v>0.0</v>
      </c>
      <c r="O14" s="122">
        <v>0.0</v>
      </c>
      <c r="P14" s="122">
        <v>0.0</v>
      </c>
      <c r="Q14" s="122">
        <v>0.0</v>
      </c>
      <c r="R14" s="122" t="s">
        <v>165</v>
      </c>
      <c r="S14" s="122">
        <v>0.0</v>
      </c>
      <c r="T14" s="122">
        <v>0.0</v>
      </c>
      <c r="U14" s="122">
        <v>0.0</v>
      </c>
      <c r="V14" s="122">
        <v>0.0</v>
      </c>
      <c r="W14" s="122">
        <v>0.0</v>
      </c>
      <c r="X14" s="122" t="s">
        <v>165</v>
      </c>
      <c r="Y14" s="122" t="s">
        <v>165</v>
      </c>
      <c r="Z14" s="122" t="s">
        <v>165</v>
      </c>
      <c r="AA14" s="122">
        <v>0.0</v>
      </c>
      <c r="AB14" s="122">
        <v>0.0</v>
      </c>
      <c r="AC14" s="122">
        <v>3.0</v>
      </c>
      <c r="AD14" s="122">
        <v>0.0</v>
      </c>
      <c r="AE14" s="122">
        <v>0.0</v>
      </c>
      <c r="AF14" s="122">
        <v>0.0</v>
      </c>
      <c r="AG14" s="122">
        <v>0.0</v>
      </c>
      <c r="AH14" s="122">
        <v>0.0</v>
      </c>
      <c r="AI14" s="122">
        <v>0.0</v>
      </c>
      <c r="AJ14" s="122" t="s">
        <v>165</v>
      </c>
      <c r="AK14" s="122">
        <v>0.0</v>
      </c>
      <c r="AL14" s="122">
        <v>0.0</v>
      </c>
      <c r="AM14" s="122">
        <v>0.0</v>
      </c>
      <c r="AN14" s="122" t="s">
        <v>165</v>
      </c>
      <c r="AO14" s="122">
        <v>2.0</v>
      </c>
    </row>
    <row r="15">
      <c r="A15" s="240">
        <v>44075.0</v>
      </c>
      <c r="B15" s="122">
        <v>0.0</v>
      </c>
      <c r="C15" s="122">
        <v>0.0</v>
      </c>
      <c r="D15" s="122">
        <v>0.0</v>
      </c>
      <c r="E15" s="122" t="s">
        <v>165</v>
      </c>
      <c r="F15" s="122">
        <v>0.0</v>
      </c>
      <c r="G15" s="122">
        <v>0.0</v>
      </c>
      <c r="H15" s="122" t="s">
        <v>165</v>
      </c>
      <c r="I15" s="122" t="s">
        <v>165</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165</v>
      </c>
      <c r="Z15" s="122">
        <v>0.0</v>
      </c>
      <c r="AA15" s="122" t="s">
        <v>165</v>
      </c>
      <c r="AB15" s="122">
        <v>0.0</v>
      </c>
      <c r="AC15" s="122" t="s">
        <v>165</v>
      </c>
      <c r="AD15" s="122">
        <v>0.0</v>
      </c>
      <c r="AE15" s="122">
        <v>0.0</v>
      </c>
      <c r="AF15" s="122">
        <v>0.0</v>
      </c>
      <c r="AG15" s="122">
        <v>0.0</v>
      </c>
      <c r="AH15" s="122">
        <v>0.0</v>
      </c>
      <c r="AI15" s="122">
        <v>0.0</v>
      </c>
      <c r="AJ15" s="122" t="s">
        <v>165</v>
      </c>
      <c r="AK15" s="122">
        <v>0.0</v>
      </c>
      <c r="AL15" s="122">
        <v>0.0</v>
      </c>
      <c r="AM15" s="122" t="s">
        <v>165</v>
      </c>
      <c r="AN15" s="122">
        <v>0.0</v>
      </c>
      <c r="AO15" s="122">
        <v>1.0</v>
      </c>
    </row>
    <row r="16">
      <c r="A16" s="240">
        <v>44105.0</v>
      </c>
      <c r="B16" s="122">
        <v>0.0</v>
      </c>
      <c r="C16" s="122">
        <v>0.0</v>
      </c>
      <c r="D16" s="122" t="s">
        <v>165</v>
      </c>
      <c r="E16" s="122">
        <v>0.0</v>
      </c>
      <c r="F16" s="122">
        <v>0.0</v>
      </c>
      <c r="G16" s="122" t="s">
        <v>165</v>
      </c>
      <c r="H16" s="122">
        <v>6.0</v>
      </c>
      <c r="I16" s="122" t="s">
        <v>165</v>
      </c>
      <c r="J16" s="122">
        <v>0.0</v>
      </c>
      <c r="K16" s="122">
        <v>0.0</v>
      </c>
      <c r="L16" s="122">
        <v>0.0</v>
      </c>
      <c r="M16" s="122">
        <v>0.0</v>
      </c>
      <c r="N16" s="122">
        <v>0.0</v>
      </c>
      <c r="O16" s="122">
        <v>0.0</v>
      </c>
      <c r="P16" s="122">
        <v>0.0</v>
      </c>
      <c r="Q16" s="122" t="s">
        <v>165</v>
      </c>
      <c r="R16" s="122">
        <v>0.0</v>
      </c>
      <c r="S16" s="122">
        <v>0.0</v>
      </c>
      <c r="T16" s="122">
        <v>0.0</v>
      </c>
      <c r="U16" s="122" t="s">
        <v>165</v>
      </c>
      <c r="V16" s="122">
        <v>0.0</v>
      </c>
      <c r="W16" s="122">
        <v>0.0</v>
      </c>
      <c r="X16" s="122">
        <v>0.0</v>
      </c>
      <c r="Y16" s="122" t="s">
        <v>165</v>
      </c>
      <c r="Z16" s="122" t="s">
        <v>165</v>
      </c>
      <c r="AA16" s="122" t="s">
        <v>165</v>
      </c>
      <c r="AB16" s="122">
        <v>0.0</v>
      </c>
      <c r="AC16" s="122">
        <v>6.0</v>
      </c>
      <c r="AD16" s="122">
        <v>0.0</v>
      </c>
      <c r="AE16" s="122">
        <v>0.0</v>
      </c>
      <c r="AF16" s="122">
        <v>0.0</v>
      </c>
      <c r="AG16" s="122">
        <v>0.0</v>
      </c>
      <c r="AH16" s="122">
        <v>0.0</v>
      </c>
      <c r="AI16" s="122">
        <v>0.0</v>
      </c>
      <c r="AJ16" s="122" t="s">
        <v>165</v>
      </c>
      <c r="AK16" s="122">
        <v>0.0</v>
      </c>
      <c r="AL16" s="122">
        <v>0.0</v>
      </c>
      <c r="AM16" s="122">
        <v>0.0</v>
      </c>
      <c r="AN16" s="122" t="s">
        <v>165</v>
      </c>
      <c r="AO16" s="122">
        <v>3.0</v>
      </c>
    </row>
    <row r="17">
      <c r="A17" s="240">
        <v>44136.0</v>
      </c>
      <c r="B17" s="122" t="s">
        <v>165</v>
      </c>
      <c r="C17" s="122">
        <v>0.0</v>
      </c>
      <c r="D17" s="122">
        <v>0.0</v>
      </c>
      <c r="E17" s="122" t="s">
        <v>165</v>
      </c>
      <c r="F17" s="122">
        <v>0.0</v>
      </c>
      <c r="G17" s="122" t="s">
        <v>165</v>
      </c>
      <c r="H17" s="122">
        <v>7.0</v>
      </c>
      <c r="I17" s="122" t="s">
        <v>165</v>
      </c>
      <c r="J17" s="122">
        <v>0.0</v>
      </c>
      <c r="K17" s="122">
        <v>13.0</v>
      </c>
      <c r="L17" s="122">
        <v>0.0</v>
      </c>
      <c r="M17" s="122" t="s">
        <v>165</v>
      </c>
      <c r="N17" s="122" t="s">
        <v>165</v>
      </c>
      <c r="O17" s="122">
        <v>0.0</v>
      </c>
      <c r="P17" s="122">
        <v>0.0</v>
      </c>
      <c r="Q17" s="122" t="s">
        <v>165</v>
      </c>
      <c r="R17" s="122" t="s">
        <v>165</v>
      </c>
      <c r="S17" s="122">
        <v>0.0</v>
      </c>
      <c r="T17" s="122">
        <v>0.0</v>
      </c>
      <c r="U17" s="122" t="s">
        <v>165</v>
      </c>
      <c r="V17" s="122">
        <v>0.0</v>
      </c>
      <c r="W17" s="122">
        <v>0.0</v>
      </c>
      <c r="X17" s="122" t="s">
        <v>165</v>
      </c>
      <c r="Y17" s="122">
        <v>15.0</v>
      </c>
      <c r="Z17" s="122">
        <v>0.0</v>
      </c>
      <c r="AA17" s="122">
        <v>10.0</v>
      </c>
      <c r="AB17" s="122">
        <v>0.0</v>
      </c>
      <c r="AC17" s="122">
        <v>11.0</v>
      </c>
      <c r="AD17" s="122">
        <v>0.0</v>
      </c>
      <c r="AE17" s="122" t="s">
        <v>165</v>
      </c>
      <c r="AF17" s="122" t="s">
        <v>165</v>
      </c>
      <c r="AG17" s="122">
        <v>0.0</v>
      </c>
      <c r="AH17" s="122" t="s">
        <v>165</v>
      </c>
      <c r="AI17" s="122" t="s">
        <v>165</v>
      </c>
      <c r="AJ17" s="122">
        <v>10.0</v>
      </c>
      <c r="AK17" s="122">
        <v>0.0</v>
      </c>
      <c r="AL17" s="122" t="s">
        <v>165</v>
      </c>
      <c r="AM17" s="122" t="s">
        <v>165</v>
      </c>
      <c r="AN17" s="122">
        <v>12.0</v>
      </c>
      <c r="AO17" s="122">
        <v>9.0</v>
      </c>
    </row>
    <row r="18">
      <c r="A18" s="240">
        <v>44166.0</v>
      </c>
      <c r="B18" s="122" t="s">
        <v>165</v>
      </c>
      <c r="C18" s="122" t="s">
        <v>165</v>
      </c>
      <c r="D18" s="122" t="s">
        <v>165</v>
      </c>
      <c r="E18" s="122" t="s">
        <v>165</v>
      </c>
      <c r="F18" s="122">
        <v>0.0</v>
      </c>
      <c r="G18" s="122">
        <v>20.0</v>
      </c>
      <c r="H18" s="122">
        <v>28.0</v>
      </c>
      <c r="I18" s="122">
        <v>26.0</v>
      </c>
      <c r="J18" s="122" t="s">
        <v>165</v>
      </c>
      <c r="K18" s="122">
        <v>34.0</v>
      </c>
      <c r="L18" s="122" t="s">
        <v>165</v>
      </c>
      <c r="M18" s="122" t="s">
        <v>165</v>
      </c>
      <c r="N18" s="122" t="s">
        <v>165</v>
      </c>
      <c r="O18" s="122">
        <v>0.0</v>
      </c>
      <c r="P18" s="122">
        <v>0.0</v>
      </c>
      <c r="Q18" s="122">
        <v>21.0</v>
      </c>
      <c r="R18" s="122" t="s">
        <v>165</v>
      </c>
      <c r="S18" s="122">
        <v>0.0</v>
      </c>
      <c r="T18" s="122">
        <v>0.0</v>
      </c>
      <c r="U18" s="122" t="s">
        <v>165</v>
      </c>
      <c r="V18" s="122">
        <v>0.0</v>
      </c>
      <c r="W18" s="122" t="s">
        <v>165</v>
      </c>
      <c r="X18" s="122" t="s">
        <v>165</v>
      </c>
      <c r="Y18" s="122">
        <v>31.0</v>
      </c>
      <c r="Z18" s="122" t="s">
        <v>165</v>
      </c>
      <c r="AA18" s="122">
        <v>22.0</v>
      </c>
      <c r="AB18" s="122">
        <v>0.0</v>
      </c>
      <c r="AC18" s="122">
        <v>27.0</v>
      </c>
      <c r="AD18" s="122">
        <v>0.0</v>
      </c>
      <c r="AE18" s="122">
        <v>0.0</v>
      </c>
      <c r="AF18" s="122">
        <v>23.0</v>
      </c>
      <c r="AG18" s="122" t="s">
        <v>165</v>
      </c>
      <c r="AH18" s="122" t="s">
        <v>165</v>
      </c>
      <c r="AI18" s="122">
        <v>0.0</v>
      </c>
      <c r="AJ18" s="122">
        <v>16.0</v>
      </c>
      <c r="AK18" s="122">
        <v>0.0</v>
      </c>
      <c r="AL18" s="122">
        <v>35.0</v>
      </c>
      <c r="AM18" s="122">
        <v>22.0</v>
      </c>
      <c r="AN18" s="122">
        <v>51.0</v>
      </c>
      <c r="AO18" s="122">
        <v>21.0</v>
      </c>
    </row>
    <row r="19">
      <c r="A19" s="240">
        <v>44197.0</v>
      </c>
      <c r="B19" s="122" t="s">
        <v>165</v>
      </c>
      <c r="C19" s="122" t="s">
        <v>165</v>
      </c>
      <c r="D19" s="122" t="s">
        <v>165</v>
      </c>
      <c r="E19" s="122" t="s">
        <v>165</v>
      </c>
      <c r="F19" s="122" t="s">
        <v>165</v>
      </c>
      <c r="G19" s="122" t="s">
        <v>165</v>
      </c>
      <c r="H19" s="122">
        <v>20.0</v>
      </c>
      <c r="I19" s="122">
        <v>29.0</v>
      </c>
      <c r="J19" s="122" t="s">
        <v>165</v>
      </c>
      <c r="K19" s="122">
        <v>32.0</v>
      </c>
      <c r="L19" s="122" t="s">
        <v>165</v>
      </c>
      <c r="M19" s="122" t="s">
        <v>165</v>
      </c>
      <c r="N19" s="122" t="s">
        <v>165</v>
      </c>
      <c r="O19" s="122">
        <v>0.0</v>
      </c>
      <c r="P19" s="122" t="s">
        <v>165</v>
      </c>
      <c r="Q19" s="122">
        <v>17.0</v>
      </c>
      <c r="R19" s="122">
        <v>37.0</v>
      </c>
      <c r="S19" s="122" t="s">
        <v>165</v>
      </c>
      <c r="T19" s="122" t="s">
        <v>165</v>
      </c>
      <c r="U19" s="122" t="s">
        <v>165</v>
      </c>
      <c r="V19" s="122">
        <v>0.0</v>
      </c>
      <c r="W19" s="122" t="s">
        <v>165</v>
      </c>
      <c r="X19" s="122">
        <v>19.0</v>
      </c>
      <c r="Y19" s="122">
        <v>22.0</v>
      </c>
      <c r="Z19" s="122" t="s">
        <v>165</v>
      </c>
      <c r="AA19" s="122">
        <v>24.0</v>
      </c>
      <c r="AB19" s="122" t="s">
        <v>165</v>
      </c>
      <c r="AC19" s="122">
        <v>22.0</v>
      </c>
      <c r="AD19" s="122">
        <v>0.0</v>
      </c>
      <c r="AE19" s="122" t="s">
        <v>165</v>
      </c>
      <c r="AF19" s="122">
        <v>37.0</v>
      </c>
      <c r="AG19" s="122" t="s">
        <v>165</v>
      </c>
      <c r="AH19" s="122" t="s">
        <v>165</v>
      </c>
      <c r="AI19" s="122" t="s">
        <v>165</v>
      </c>
      <c r="AJ19" s="122">
        <v>17.0</v>
      </c>
      <c r="AK19" s="122" t="s">
        <v>165</v>
      </c>
      <c r="AL19" s="122" t="s">
        <v>165</v>
      </c>
      <c r="AM19" s="122">
        <v>31.0</v>
      </c>
      <c r="AN19" s="122">
        <v>29.0</v>
      </c>
      <c r="AO19" s="122">
        <v>20.0</v>
      </c>
    </row>
    <row r="20">
      <c r="A20" s="240">
        <v>44228.0</v>
      </c>
      <c r="B20" s="122">
        <v>0.0</v>
      </c>
      <c r="C20" s="122" t="s">
        <v>165</v>
      </c>
      <c r="D20" s="122">
        <v>0.0</v>
      </c>
      <c r="E20" s="122">
        <v>0.0</v>
      </c>
      <c r="F20" s="122">
        <v>0.0</v>
      </c>
      <c r="G20" s="122">
        <v>14.0</v>
      </c>
      <c r="H20" s="122" t="s">
        <v>165</v>
      </c>
      <c r="I20" s="122" t="s">
        <v>165</v>
      </c>
      <c r="J20" s="122" t="s">
        <v>165</v>
      </c>
      <c r="K20" s="122" t="s">
        <v>165</v>
      </c>
      <c r="L20" s="122">
        <v>0.0</v>
      </c>
      <c r="M20" s="122" t="s">
        <v>165</v>
      </c>
      <c r="N20" s="122" t="s">
        <v>165</v>
      </c>
      <c r="O20" s="122">
        <v>0.0</v>
      </c>
      <c r="P20" s="122">
        <v>0.0</v>
      </c>
      <c r="Q20" s="122" t="s">
        <v>165</v>
      </c>
      <c r="R20" s="122" t="s">
        <v>165</v>
      </c>
      <c r="S20" s="122" t="s">
        <v>165</v>
      </c>
      <c r="T20" s="122">
        <v>0.0</v>
      </c>
      <c r="U20" s="122" t="s">
        <v>165</v>
      </c>
      <c r="V20" s="122">
        <v>0.0</v>
      </c>
      <c r="W20" s="122" t="s">
        <v>165</v>
      </c>
      <c r="X20" s="122">
        <v>0.0</v>
      </c>
      <c r="Y20" s="122">
        <v>15.0</v>
      </c>
      <c r="Z20" s="122" t="s">
        <v>165</v>
      </c>
      <c r="AA20" s="122">
        <v>10.0</v>
      </c>
      <c r="AB20" s="122" t="s">
        <v>165</v>
      </c>
      <c r="AC20" s="122">
        <v>12.0</v>
      </c>
      <c r="AD20" s="122">
        <v>0.0</v>
      </c>
      <c r="AE20" s="122" t="s">
        <v>165</v>
      </c>
      <c r="AF20" s="122" t="s">
        <v>165</v>
      </c>
      <c r="AG20" s="122" t="s">
        <v>165</v>
      </c>
      <c r="AH20" s="122" t="s">
        <v>165</v>
      </c>
      <c r="AI20" s="122" t="s">
        <v>165</v>
      </c>
      <c r="AJ20" s="122">
        <v>9.0</v>
      </c>
      <c r="AK20" s="122">
        <v>0.0</v>
      </c>
      <c r="AL20" s="122" t="s">
        <v>165</v>
      </c>
      <c r="AM20" s="122" t="s">
        <v>165</v>
      </c>
      <c r="AN20" s="122">
        <v>24.0</v>
      </c>
      <c r="AO20" s="122">
        <v>9.0</v>
      </c>
    </row>
    <row r="21">
      <c r="A21" s="241" t="s">
        <v>105</v>
      </c>
      <c r="B21" s="245">
        <v>37.0</v>
      </c>
      <c r="C21" s="245">
        <v>49.0</v>
      </c>
      <c r="D21" s="245">
        <v>61.0</v>
      </c>
      <c r="E21" s="245">
        <v>103.0</v>
      </c>
      <c r="F21" s="245" t="s">
        <v>165</v>
      </c>
      <c r="G21" s="245">
        <v>61.0</v>
      </c>
      <c r="H21" s="245">
        <v>89.0</v>
      </c>
      <c r="I21" s="245">
        <v>92.0</v>
      </c>
      <c r="J21" s="245">
        <v>38.0</v>
      </c>
      <c r="K21" s="245">
        <v>95.0</v>
      </c>
      <c r="L21" s="245" t="s">
        <v>165</v>
      </c>
      <c r="M21" s="245">
        <v>107.0</v>
      </c>
      <c r="N21" s="245">
        <v>70.0</v>
      </c>
      <c r="O21" s="245" t="s">
        <v>165</v>
      </c>
      <c r="P21" s="245" t="s">
        <v>165</v>
      </c>
      <c r="Q21" s="245">
        <v>82.0</v>
      </c>
      <c r="R21" s="245">
        <v>97.0</v>
      </c>
      <c r="S21" s="245" t="s">
        <v>165</v>
      </c>
      <c r="T21" s="245" t="s">
        <v>165</v>
      </c>
      <c r="U21" s="245">
        <v>45.0</v>
      </c>
      <c r="V21" s="245">
        <v>0.0</v>
      </c>
      <c r="W21" s="245">
        <v>24.0</v>
      </c>
      <c r="X21" s="245">
        <v>46.0</v>
      </c>
      <c r="Y21" s="245">
        <v>120.0</v>
      </c>
      <c r="Z21" s="245">
        <v>105.0</v>
      </c>
      <c r="AA21" s="245">
        <v>92.0</v>
      </c>
      <c r="AB21" s="245">
        <v>29.0</v>
      </c>
      <c r="AC21" s="245">
        <v>126.0</v>
      </c>
      <c r="AD21" s="245">
        <v>0.0</v>
      </c>
      <c r="AE21" s="245" t="s">
        <v>165</v>
      </c>
      <c r="AF21" s="245">
        <v>92.0</v>
      </c>
      <c r="AG21" s="245">
        <v>26.0</v>
      </c>
      <c r="AH21" s="245">
        <v>51.0</v>
      </c>
      <c r="AI21" s="245">
        <v>57.0</v>
      </c>
      <c r="AJ21" s="245">
        <v>73.0</v>
      </c>
      <c r="AK21" s="245" t="s">
        <v>165</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346</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347</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176</v>
      </c>
      <c r="B7" s="247" t="s">
        <v>274</v>
      </c>
      <c r="C7" s="247" t="s">
        <v>275</v>
      </c>
      <c r="D7" s="247" t="s">
        <v>276</v>
      </c>
      <c r="E7" s="247" t="s">
        <v>277</v>
      </c>
      <c r="F7" s="247" t="s">
        <v>278</v>
      </c>
      <c r="G7" s="247" t="s">
        <v>279</v>
      </c>
      <c r="H7" s="247" t="s">
        <v>280</v>
      </c>
      <c r="I7" s="247" t="s">
        <v>281</v>
      </c>
      <c r="J7" s="248" t="s">
        <v>282</v>
      </c>
      <c r="K7" s="248" t="s">
        <v>283</v>
      </c>
      <c r="L7" s="247" t="s">
        <v>284</v>
      </c>
      <c r="M7" s="247" t="s">
        <v>285</v>
      </c>
      <c r="N7" s="247" t="s">
        <v>286</v>
      </c>
      <c r="O7" s="247" t="s">
        <v>287</v>
      </c>
      <c r="P7" s="247" t="s">
        <v>288</v>
      </c>
      <c r="Q7" s="247" t="s">
        <v>289</v>
      </c>
      <c r="R7" s="247" t="s">
        <v>290</v>
      </c>
      <c r="S7" s="248" t="s">
        <v>291</v>
      </c>
      <c r="T7" s="247" t="s">
        <v>292</v>
      </c>
      <c r="U7" s="247" t="s">
        <v>293</v>
      </c>
      <c r="V7" s="248" t="s">
        <v>294</v>
      </c>
      <c r="W7" s="247" t="s">
        <v>295</v>
      </c>
      <c r="X7" s="248" t="s">
        <v>296</v>
      </c>
      <c r="Y7" s="248" t="s">
        <v>297</v>
      </c>
      <c r="Z7" s="248" t="s">
        <v>298</v>
      </c>
      <c r="AA7" s="247" t="s">
        <v>299</v>
      </c>
      <c r="AB7" s="247" t="s">
        <v>300</v>
      </c>
      <c r="AC7" s="247" t="s">
        <v>301</v>
      </c>
      <c r="AD7" s="247" t="s">
        <v>302</v>
      </c>
      <c r="AE7" s="247" t="s">
        <v>303</v>
      </c>
      <c r="AF7" s="247" t="s">
        <v>304</v>
      </c>
      <c r="AG7" s="248" t="s">
        <v>305</v>
      </c>
      <c r="AH7" s="247" t="s">
        <v>306</v>
      </c>
      <c r="AI7" s="247" t="s">
        <v>307</v>
      </c>
      <c r="AJ7" s="247" t="s">
        <v>308</v>
      </c>
      <c r="AK7" s="248" t="s">
        <v>309</v>
      </c>
      <c r="AL7" s="248" t="s">
        <v>310</v>
      </c>
      <c r="AM7" s="247" t="s">
        <v>311</v>
      </c>
      <c r="AN7" s="247" t="s">
        <v>312</v>
      </c>
      <c r="AO7" s="247" t="s">
        <v>348</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542.0</v>
      </c>
      <c r="I9" s="75">
        <v>237.0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939.0</v>
      </c>
      <c r="AD9" s="75">
        <v>53.0</v>
      </c>
      <c r="AE9" s="75">
        <v>89.0</v>
      </c>
      <c r="AF9" s="75">
        <v>117.0</v>
      </c>
      <c r="AG9" s="75">
        <v>225.0</v>
      </c>
      <c r="AH9" s="75">
        <v>46.0</v>
      </c>
      <c r="AI9" s="75">
        <v>156.0</v>
      </c>
      <c r="AJ9" s="75">
        <v>46.0</v>
      </c>
      <c r="AK9" s="75">
        <v>566.0</v>
      </c>
      <c r="AL9" s="75">
        <v>42.0</v>
      </c>
      <c r="AM9" s="75">
        <v>144.0</v>
      </c>
      <c r="AN9" s="75">
        <v>102.0</v>
      </c>
      <c r="AO9" s="75">
        <v>111.0</v>
      </c>
      <c r="AP9" s="121">
        <v>6298.0</v>
      </c>
    </row>
    <row r="10">
      <c r="A10" s="251" t="s">
        <v>149</v>
      </c>
      <c r="B10" s="75">
        <v>199.0</v>
      </c>
      <c r="C10" s="75">
        <v>527.0</v>
      </c>
      <c r="D10" s="75">
        <v>154.0</v>
      </c>
      <c r="E10" s="75">
        <v>836.0</v>
      </c>
      <c r="F10" s="75">
        <v>122.0</v>
      </c>
      <c r="G10" s="75">
        <v>418.0</v>
      </c>
      <c r="H10" s="75">
        <v>668.0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325.0</v>
      </c>
      <c r="Y10" s="75">
        <v>269.0</v>
      </c>
      <c r="Z10" s="75">
        <v>207.0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11923.0</v>
      </c>
    </row>
    <row r="11">
      <c r="A11" s="251" t="s">
        <v>150</v>
      </c>
      <c r="B11" s="75">
        <v>155.0</v>
      </c>
      <c r="C11" s="75">
        <v>213.0</v>
      </c>
      <c r="D11" s="75">
        <v>177.0</v>
      </c>
      <c r="E11" s="75">
        <v>390.0</v>
      </c>
      <c r="F11" s="75">
        <v>57.0</v>
      </c>
      <c r="G11" s="75">
        <v>570.0</v>
      </c>
      <c r="H11" s="75">
        <v>829.0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345.0</v>
      </c>
      <c r="Z11" s="75">
        <v>144.0</v>
      </c>
      <c r="AA11" s="75">
        <v>678.0</v>
      </c>
      <c r="AB11" s="75">
        <v>170.0</v>
      </c>
      <c r="AC11" s="121">
        <v>1520.0</v>
      </c>
      <c r="AD11" s="75">
        <v>62.0</v>
      </c>
      <c r="AE11" s="75">
        <v>157.0</v>
      </c>
      <c r="AF11" s="75">
        <v>458.0</v>
      </c>
      <c r="AG11" s="75">
        <v>250.0</v>
      </c>
      <c r="AH11" s="75">
        <v>94.0</v>
      </c>
      <c r="AI11" s="75">
        <v>74.0</v>
      </c>
      <c r="AJ11" s="75">
        <v>181.0</v>
      </c>
      <c r="AK11" s="75">
        <v>989.0</v>
      </c>
      <c r="AL11" s="75">
        <v>82.0</v>
      </c>
      <c r="AM11" s="75">
        <v>251.0</v>
      </c>
      <c r="AN11" s="75">
        <v>162.0</v>
      </c>
      <c r="AO11" s="75">
        <v>471.0</v>
      </c>
      <c r="AP11" s="121">
        <v>11964.0</v>
      </c>
    </row>
    <row r="12">
      <c r="A12" s="251" t="s">
        <v>151</v>
      </c>
      <c r="B12" s="75">
        <v>138.0</v>
      </c>
      <c r="C12" s="75">
        <v>238.0</v>
      </c>
      <c r="D12" s="75">
        <v>260.0</v>
      </c>
      <c r="E12" s="75">
        <v>511.0</v>
      </c>
      <c r="F12" s="75">
        <v>50.0</v>
      </c>
      <c r="G12" s="75">
        <v>371.0</v>
      </c>
      <c r="H12" s="75">
        <v>848.0</v>
      </c>
      <c r="I12" s="75">
        <v>268.0</v>
      </c>
      <c r="J12" s="75">
        <v>96.0</v>
      </c>
      <c r="K12" s="75">
        <v>450.0</v>
      </c>
      <c r="L12" s="75">
        <v>68.0</v>
      </c>
      <c r="M12" s="75">
        <v>49.0</v>
      </c>
      <c r="N12" s="75">
        <v>124.0</v>
      </c>
      <c r="O12" s="75">
        <v>50.0</v>
      </c>
      <c r="P12" s="75">
        <v>44.0</v>
      </c>
      <c r="Q12" s="75">
        <v>295.0</v>
      </c>
      <c r="R12" s="75">
        <v>301.0</v>
      </c>
      <c r="S12" s="75">
        <v>9.0</v>
      </c>
      <c r="T12" s="75">
        <v>161.0</v>
      </c>
      <c r="U12" s="75">
        <v>131.0</v>
      </c>
      <c r="V12" s="75">
        <v>0.0</v>
      </c>
      <c r="W12" s="75">
        <v>168.0</v>
      </c>
      <c r="X12" s="75">
        <v>251.0</v>
      </c>
      <c r="Y12" s="75">
        <v>360.0</v>
      </c>
      <c r="Z12" s="75">
        <v>124.0</v>
      </c>
      <c r="AA12" s="75">
        <v>541.0</v>
      </c>
      <c r="AB12" s="75">
        <v>122.0</v>
      </c>
      <c r="AC12" s="121">
        <v>1163.0</v>
      </c>
      <c r="AD12" s="75">
        <v>60.0</v>
      </c>
      <c r="AE12" s="75">
        <v>123.0</v>
      </c>
      <c r="AF12" s="75">
        <v>333.0</v>
      </c>
      <c r="AG12" s="75">
        <v>248.0</v>
      </c>
      <c r="AH12" s="75">
        <v>81.0</v>
      </c>
      <c r="AI12" s="75">
        <v>249.0</v>
      </c>
      <c r="AJ12" s="75">
        <v>139.0</v>
      </c>
      <c r="AK12" s="75">
        <v>870.0</v>
      </c>
      <c r="AL12" s="75">
        <v>58.0</v>
      </c>
      <c r="AM12" s="75">
        <v>283.0</v>
      </c>
      <c r="AN12" s="75">
        <v>209.0</v>
      </c>
      <c r="AO12" s="75">
        <v>196.0</v>
      </c>
      <c r="AP12" s="121">
        <v>10040.0</v>
      </c>
    </row>
    <row r="13">
      <c r="A13" s="251" t="s">
        <v>152</v>
      </c>
      <c r="B13" s="75">
        <v>146.0</v>
      </c>
      <c r="C13" s="75">
        <v>298.0</v>
      </c>
      <c r="D13" s="75">
        <v>159.0</v>
      </c>
      <c r="E13" s="75">
        <v>878.0</v>
      </c>
      <c r="F13" s="75">
        <v>71.0</v>
      </c>
      <c r="G13" s="75">
        <v>280.0</v>
      </c>
      <c r="H13" s="75">
        <v>872.0</v>
      </c>
      <c r="I13" s="75">
        <v>379.0</v>
      </c>
      <c r="J13" s="75">
        <v>126.0</v>
      </c>
      <c r="K13" s="75">
        <v>611.0</v>
      </c>
      <c r="L13" s="75">
        <v>59.0</v>
      </c>
      <c r="M13" s="75">
        <v>36.0</v>
      </c>
      <c r="N13" s="75">
        <v>96.0</v>
      </c>
      <c r="O13" s="75">
        <v>144.0</v>
      </c>
      <c r="P13" s="75">
        <v>32.0</v>
      </c>
      <c r="Q13" s="75">
        <v>407.0</v>
      </c>
      <c r="R13" s="75">
        <v>201.0</v>
      </c>
      <c r="S13" s="75">
        <v>14.0</v>
      </c>
      <c r="T13" s="75">
        <v>77.0</v>
      </c>
      <c r="U13" s="75">
        <v>145.0</v>
      </c>
      <c r="V13" s="75" t="s">
        <v>55</v>
      </c>
      <c r="W13" s="75">
        <v>93.0</v>
      </c>
      <c r="X13" s="75">
        <v>289.0</v>
      </c>
      <c r="Y13" s="75">
        <v>433.0</v>
      </c>
      <c r="Z13" s="75">
        <v>115.0</v>
      </c>
      <c r="AA13" s="75">
        <v>704.0</v>
      </c>
      <c r="AB13" s="75">
        <v>87.0</v>
      </c>
      <c r="AC13" s="121">
        <v>1329.0</v>
      </c>
      <c r="AD13" s="75">
        <v>48.0</v>
      </c>
      <c r="AE13" s="75">
        <v>91.0</v>
      </c>
      <c r="AF13" s="75">
        <v>206.0</v>
      </c>
      <c r="AG13" s="75">
        <v>214.0</v>
      </c>
      <c r="AH13" s="75">
        <v>150.0</v>
      </c>
      <c r="AI13" s="75">
        <v>79.0</v>
      </c>
      <c r="AJ13" s="121">
        <v>116.0</v>
      </c>
      <c r="AK13" s="121">
        <v>1266.0</v>
      </c>
      <c r="AL13" s="75">
        <v>43.0</v>
      </c>
      <c r="AM13" s="75">
        <v>289.0</v>
      </c>
      <c r="AN13" s="75">
        <v>245.0</v>
      </c>
      <c r="AO13" s="75">
        <v>364.0</v>
      </c>
      <c r="AP13" s="121">
        <v>11193.0</v>
      </c>
    </row>
    <row r="14">
      <c r="A14" s="251" t="s">
        <v>153</v>
      </c>
      <c r="B14" s="75">
        <v>137.0</v>
      </c>
      <c r="C14" s="75">
        <v>277.0</v>
      </c>
      <c r="D14" s="75">
        <v>181.0</v>
      </c>
      <c r="E14" s="75">
        <v>527.0</v>
      </c>
      <c r="F14" s="75">
        <v>85.0</v>
      </c>
      <c r="G14" s="75">
        <v>609.0</v>
      </c>
      <c r="H14" s="75">
        <v>992.0</v>
      </c>
      <c r="I14" s="75">
        <v>360.0</v>
      </c>
      <c r="J14" s="75">
        <v>259.0</v>
      </c>
      <c r="K14" s="75">
        <v>672.0</v>
      </c>
      <c r="L14" s="75">
        <v>62.0</v>
      </c>
      <c r="M14" s="75">
        <v>61.0</v>
      </c>
      <c r="N14" s="75">
        <v>127.0</v>
      </c>
      <c r="O14" s="75">
        <v>75.0</v>
      </c>
      <c r="P14" s="75">
        <v>53.0</v>
      </c>
      <c r="Q14" s="75">
        <v>484.0</v>
      </c>
      <c r="R14" s="75">
        <v>373.0</v>
      </c>
      <c r="S14" s="75">
        <v>38.0</v>
      </c>
      <c r="T14" s="75">
        <v>324.0</v>
      </c>
      <c r="U14" s="75">
        <v>133.0</v>
      </c>
      <c r="V14" s="75">
        <v>7.0</v>
      </c>
      <c r="W14" s="75">
        <v>309.0</v>
      </c>
      <c r="X14" s="75">
        <v>449.0</v>
      </c>
      <c r="Y14" s="75">
        <v>409.0</v>
      </c>
      <c r="Z14" s="75">
        <v>314.0</v>
      </c>
      <c r="AA14" s="75">
        <v>867.0</v>
      </c>
      <c r="AB14" s="75">
        <v>127.0</v>
      </c>
      <c r="AC14" s="121">
        <v>1809.0</v>
      </c>
      <c r="AD14" s="75">
        <v>94.0</v>
      </c>
      <c r="AE14" s="75">
        <v>182.0</v>
      </c>
      <c r="AF14" s="75">
        <v>555.0</v>
      </c>
      <c r="AG14" s="75">
        <v>311.0</v>
      </c>
      <c r="AH14" s="75">
        <v>78.0</v>
      </c>
      <c r="AI14" s="75">
        <v>426.0</v>
      </c>
      <c r="AJ14" s="75">
        <v>238.0</v>
      </c>
      <c r="AK14" s="75">
        <v>922.0</v>
      </c>
      <c r="AL14" s="75">
        <v>64.0</v>
      </c>
      <c r="AM14" s="75">
        <v>532.0</v>
      </c>
      <c r="AN14" s="75">
        <v>124.0</v>
      </c>
      <c r="AO14" s="75">
        <v>544.0</v>
      </c>
      <c r="AP14" s="121">
        <v>14190.0</v>
      </c>
    </row>
    <row r="15">
      <c r="A15" s="251" t="s">
        <v>154</v>
      </c>
      <c r="B15" s="75">
        <v>282.0</v>
      </c>
      <c r="C15" s="75">
        <v>192.0</v>
      </c>
      <c r="D15" s="75">
        <v>205.0</v>
      </c>
      <c r="E15" s="75">
        <v>784.0</v>
      </c>
      <c r="F15" s="75">
        <v>105.0</v>
      </c>
      <c r="G15" s="75">
        <v>428.0</v>
      </c>
      <c r="H15" s="121">
        <v>1397.0</v>
      </c>
      <c r="I15" s="121">
        <v>1042.0</v>
      </c>
      <c r="J15" s="75">
        <v>355.0</v>
      </c>
      <c r="K15" s="75">
        <v>682.0</v>
      </c>
      <c r="L15" s="75">
        <v>88.0</v>
      </c>
      <c r="M15" s="75">
        <v>33.0</v>
      </c>
      <c r="N15" s="75">
        <v>93.0</v>
      </c>
      <c r="O15" s="75">
        <v>96.0</v>
      </c>
      <c r="P15" s="75">
        <v>115.0</v>
      </c>
      <c r="Q15" s="75">
        <v>291.0</v>
      </c>
      <c r="R15" s="75">
        <v>607.0</v>
      </c>
      <c r="S15" s="75">
        <v>31.0</v>
      </c>
      <c r="T15" s="75">
        <v>216.0</v>
      </c>
      <c r="U15" s="75">
        <v>264.0</v>
      </c>
      <c r="V15" s="75">
        <v>14.0</v>
      </c>
      <c r="W15" s="75">
        <v>390.0</v>
      </c>
      <c r="X15" s="75">
        <v>460.0</v>
      </c>
      <c r="Y15" s="75">
        <v>571.0</v>
      </c>
      <c r="Z15" s="75">
        <v>107.0</v>
      </c>
      <c r="AA15" s="121">
        <v>1081.0</v>
      </c>
      <c r="AB15" s="75">
        <v>383.0</v>
      </c>
      <c r="AC15" s="121">
        <v>1766.0</v>
      </c>
      <c r="AD15" s="75">
        <v>111.0</v>
      </c>
      <c r="AE15" s="75">
        <v>94.0</v>
      </c>
      <c r="AF15" s="75">
        <v>345.0</v>
      </c>
      <c r="AG15" s="75">
        <v>489.0</v>
      </c>
      <c r="AH15" s="75">
        <v>205.0</v>
      </c>
      <c r="AI15" s="75">
        <v>232.0</v>
      </c>
      <c r="AJ15" s="121">
        <v>165.0</v>
      </c>
      <c r="AK15" s="121">
        <v>1567.0</v>
      </c>
      <c r="AL15" s="75">
        <v>89.0</v>
      </c>
      <c r="AM15" s="75">
        <v>306.0</v>
      </c>
      <c r="AN15" s="75">
        <v>364.0</v>
      </c>
      <c r="AO15" s="75">
        <v>640.0</v>
      </c>
      <c r="AP15" s="121">
        <v>16685.0</v>
      </c>
    </row>
    <row r="16">
      <c r="A16" s="251" t="s">
        <v>155</v>
      </c>
      <c r="B16" s="75">
        <v>354.0</v>
      </c>
      <c r="C16" s="75">
        <v>319.0</v>
      </c>
      <c r="D16" s="75">
        <v>227.0</v>
      </c>
      <c r="E16" s="75">
        <v>506.0</v>
      </c>
      <c r="F16" s="75">
        <v>132.0</v>
      </c>
      <c r="G16" s="75">
        <v>773.0</v>
      </c>
      <c r="H16" s="121">
        <v>1418.0</v>
      </c>
      <c r="I16" s="75">
        <v>441.0</v>
      </c>
      <c r="J16" s="75">
        <v>304.0</v>
      </c>
      <c r="K16" s="75">
        <v>735.0</v>
      </c>
      <c r="L16" s="75">
        <v>130.0</v>
      </c>
      <c r="M16" s="75">
        <v>83.0</v>
      </c>
      <c r="N16" s="75">
        <v>127.0</v>
      </c>
      <c r="O16" s="75">
        <v>133.0</v>
      </c>
      <c r="P16" s="75">
        <v>94.0</v>
      </c>
      <c r="Q16" s="75">
        <v>622.0</v>
      </c>
      <c r="R16" s="75">
        <v>411.0</v>
      </c>
      <c r="S16" s="75">
        <v>55.0</v>
      </c>
      <c r="T16" s="75">
        <v>226.0</v>
      </c>
      <c r="U16" s="75">
        <v>280.0</v>
      </c>
      <c r="V16" s="75">
        <v>10.0</v>
      </c>
      <c r="W16" s="75">
        <v>277.0</v>
      </c>
      <c r="X16" s="75">
        <v>525.0</v>
      </c>
      <c r="Y16" s="75">
        <v>447.0</v>
      </c>
      <c r="Z16" s="75">
        <v>184.0</v>
      </c>
      <c r="AA16" s="75">
        <v>940.0</v>
      </c>
      <c r="AB16" s="75">
        <v>255.0</v>
      </c>
      <c r="AC16" s="121">
        <v>1703.0</v>
      </c>
      <c r="AD16" s="75">
        <v>106.0</v>
      </c>
      <c r="AE16" s="75">
        <v>171.0</v>
      </c>
      <c r="AF16" s="75">
        <v>383.0</v>
      </c>
      <c r="AG16" s="75">
        <v>574.0</v>
      </c>
      <c r="AH16" s="75">
        <v>185.0</v>
      </c>
      <c r="AI16" s="75">
        <v>287.0</v>
      </c>
      <c r="AJ16" s="121">
        <v>135.0</v>
      </c>
      <c r="AK16" s="121">
        <v>1551.0</v>
      </c>
      <c r="AL16" s="75">
        <v>96.0</v>
      </c>
      <c r="AM16" s="75">
        <v>543.0</v>
      </c>
      <c r="AN16" s="75">
        <v>291.0</v>
      </c>
      <c r="AO16" s="75">
        <v>409.0</v>
      </c>
      <c r="AP16" s="121">
        <v>16442.0</v>
      </c>
    </row>
    <row r="17">
      <c r="A17" s="251" t="s">
        <v>156</v>
      </c>
      <c r="B17" s="75">
        <v>714.0</v>
      </c>
      <c r="C17" s="75">
        <v>810.0</v>
      </c>
      <c r="D17" s="75">
        <v>315.0</v>
      </c>
      <c r="E17" s="75">
        <v>371.0</v>
      </c>
      <c r="F17" s="75">
        <v>223.0</v>
      </c>
      <c r="G17" s="121">
        <v>1232.0</v>
      </c>
      <c r="H17" s="121">
        <v>3530.0</v>
      </c>
      <c r="I17" s="121">
        <v>1036.0</v>
      </c>
      <c r="J17" s="75">
        <v>530.0</v>
      </c>
      <c r="K17" s="121">
        <v>1616.0</v>
      </c>
      <c r="L17" s="75">
        <v>190.0</v>
      </c>
      <c r="M17" s="75">
        <v>108.0</v>
      </c>
      <c r="N17" s="75">
        <v>278.0</v>
      </c>
      <c r="O17" s="75">
        <v>160.0</v>
      </c>
      <c r="P17" s="75">
        <v>318.0</v>
      </c>
      <c r="Q17" s="75">
        <v>963.0</v>
      </c>
      <c r="R17" s="75">
        <v>589.0</v>
      </c>
      <c r="S17" s="75">
        <v>132.0</v>
      </c>
      <c r="T17" s="75">
        <v>695.0</v>
      </c>
      <c r="U17" s="75">
        <v>644.0</v>
      </c>
      <c r="V17" s="75">
        <v>13.0</v>
      </c>
      <c r="W17" s="75">
        <v>820.0</v>
      </c>
      <c r="X17" s="75">
        <v>894.0</v>
      </c>
      <c r="Y17" s="75">
        <v>994.0</v>
      </c>
      <c r="Z17" s="75">
        <v>424.0</v>
      </c>
      <c r="AA17" s="121">
        <v>1311.0</v>
      </c>
      <c r="AB17" s="75">
        <v>598.0</v>
      </c>
      <c r="AC17" s="121">
        <v>3802.0</v>
      </c>
      <c r="AD17" s="75">
        <v>102.0</v>
      </c>
      <c r="AE17" s="75">
        <v>331.0</v>
      </c>
      <c r="AF17" s="75">
        <v>809.0</v>
      </c>
      <c r="AG17" s="121">
        <v>1113.0</v>
      </c>
      <c r="AH17" s="75">
        <v>385.0</v>
      </c>
      <c r="AI17" s="75">
        <v>66.0</v>
      </c>
      <c r="AJ17" s="121">
        <v>405.0</v>
      </c>
      <c r="AK17" s="121">
        <v>3369.0</v>
      </c>
      <c r="AL17" s="75">
        <v>190.0</v>
      </c>
      <c r="AM17" s="75">
        <v>917.0</v>
      </c>
      <c r="AN17" s="75">
        <v>769.0</v>
      </c>
      <c r="AO17" s="75">
        <v>818.0</v>
      </c>
      <c r="AP17" s="121">
        <v>32584.0</v>
      </c>
    </row>
    <row r="18">
      <c r="A18" s="251" t="s">
        <v>157</v>
      </c>
      <c r="B18" s="75">
        <v>882.0</v>
      </c>
      <c r="C18" s="121">
        <v>1432.0</v>
      </c>
      <c r="D18" s="75">
        <v>617.0</v>
      </c>
      <c r="E18" s="75">
        <v>111.0</v>
      </c>
      <c r="F18" s="75">
        <v>607.0</v>
      </c>
      <c r="G18" s="121">
        <v>1525.0</v>
      </c>
      <c r="H18" s="121">
        <v>3409.0</v>
      </c>
      <c r="I18" s="121">
        <v>1675.0</v>
      </c>
      <c r="J18" s="75">
        <v>582.0</v>
      </c>
      <c r="K18" s="121">
        <v>2202.0</v>
      </c>
      <c r="L18" s="75">
        <v>313.0</v>
      </c>
      <c r="M18" s="75">
        <v>206.0</v>
      </c>
      <c r="N18" s="75">
        <v>486.0</v>
      </c>
      <c r="O18" s="75">
        <v>423.0</v>
      </c>
      <c r="P18" s="75">
        <v>585.0</v>
      </c>
      <c r="Q18" s="121">
        <v>1164.0</v>
      </c>
      <c r="R18" s="121">
        <v>1169.0</v>
      </c>
      <c r="S18" s="75">
        <v>303.0</v>
      </c>
      <c r="T18" s="75">
        <v>818.0</v>
      </c>
      <c r="U18" s="75">
        <v>867.0</v>
      </c>
      <c r="V18" s="75">
        <v>8.0</v>
      </c>
      <c r="W18" s="121">
        <v>1195.0</v>
      </c>
      <c r="X18" s="121">
        <v>1756.0</v>
      </c>
      <c r="Y18" s="121">
        <v>1886.0</v>
      </c>
      <c r="Z18" s="75">
        <v>684.0</v>
      </c>
      <c r="AA18" s="121">
        <v>1654.0</v>
      </c>
      <c r="AB18" s="75">
        <v>969.0</v>
      </c>
      <c r="AC18" s="121">
        <v>3850.0</v>
      </c>
      <c r="AD18" s="75">
        <v>440.0</v>
      </c>
      <c r="AE18" s="75">
        <v>559.0</v>
      </c>
      <c r="AF18" s="121">
        <v>1159.0</v>
      </c>
      <c r="AG18" s="121">
        <v>1639.0</v>
      </c>
      <c r="AH18" s="75">
        <v>833.0</v>
      </c>
      <c r="AI18" s="75">
        <v>89.0</v>
      </c>
      <c r="AJ18" s="121">
        <v>660.0</v>
      </c>
      <c r="AK18" s="121">
        <v>4057.0</v>
      </c>
      <c r="AL18" s="121">
        <v>299.0</v>
      </c>
      <c r="AM18" s="121">
        <v>1149.0</v>
      </c>
      <c r="AN18" s="121">
        <v>1090.0</v>
      </c>
      <c r="AO18" s="121">
        <v>1196.0</v>
      </c>
      <c r="AP18" s="121">
        <v>44548.0</v>
      </c>
    </row>
    <row r="19">
      <c r="A19" s="251" t="s">
        <v>158</v>
      </c>
      <c r="B19" s="121">
        <v>644.0</v>
      </c>
      <c r="C19" s="121">
        <v>984.0</v>
      </c>
      <c r="D19" s="121">
        <v>620.0</v>
      </c>
      <c r="E19" s="121">
        <v>349.0</v>
      </c>
      <c r="F19" s="121">
        <v>322.0</v>
      </c>
      <c r="G19" s="121">
        <v>1452.0</v>
      </c>
      <c r="H19" s="121">
        <v>2829.0</v>
      </c>
      <c r="I19" s="121">
        <v>1478.0</v>
      </c>
      <c r="J19" s="121">
        <v>683.0</v>
      </c>
      <c r="K19" s="121">
        <v>1563.0</v>
      </c>
      <c r="L19" s="121">
        <v>333.0</v>
      </c>
      <c r="M19" s="121">
        <v>188.0</v>
      </c>
      <c r="N19" s="121">
        <v>388.0</v>
      </c>
      <c r="O19" s="121">
        <v>306.0</v>
      </c>
      <c r="P19" s="121">
        <v>358.0</v>
      </c>
      <c r="Q19" s="121">
        <v>1151.0</v>
      </c>
      <c r="R19" s="121">
        <v>914.0</v>
      </c>
      <c r="S19" s="121">
        <v>143.0</v>
      </c>
      <c r="T19" s="121">
        <v>758.0</v>
      </c>
      <c r="U19" s="121">
        <v>892.0</v>
      </c>
      <c r="V19" s="121">
        <v>8.0</v>
      </c>
      <c r="W19" s="121">
        <v>801.0</v>
      </c>
      <c r="X19" s="121">
        <v>1121.0</v>
      </c>
      <c r="Y19" s="121">
        <v>1293.0</v>
      </c>
      <c r="Z19" s="121">
        <v>613.0</v>
      </c>
      <c r="AA19" s="121">
        <v>1756.0</v>
      </c>
      <c r="AB19" s="121">
        <v>788.0</v>
      </c>
      <c r="AC19" s="121">
        <v>5936.0</v>
      </c>
      <c r="AD19" s="121">
        <v>283.0</v>
      </c>
      <c r="AE19" s="121">
        <v>481.0</v>
      </c>
      <c r="AF19" s="121">
        <v>939.0</v>
      </c>
      <c r="AG19" s="121">
        <v>1442.0</v>
      </c>
      <c r="AH19" s="121">
        <v>668.0</v>
      </c>
      <c r="AI19" s="121">
        <v>62.0</v>
      </c>
      <c r="AJ19" s="121">
        <v>447.0</v>
      </c>
      <c r="AK19" s="121">
        <v>3392.0</v>
      </c>
      <c r="AL19" s="121">
        <v>282.0</v>
      </c>
      <c r="AM19" s="121">
        <v>1184.0</v>
      </c>
      <c r="AN19" s="121">
        <v>1069.0</v>
      </c>
      <c r="AO19" s="121">
        <v>1045.0</v>
      </c>
      <c r="AP19" s="121">
        <v>39965.0</v>
      </c>
    </row>
    <row r="20">
      <c r="A20" s="251" t="s">
        <v>159</v>
      </c>
      <c r="B20" s="75">
        <v>719.0</v>
      </c>
      <c r="C20" s="75">
        <v>738.0</v>
      </c>
      <c r="D20" s="75">
        <v>566.0</v>
      </c>
      <c r="E20" s="75">
        <v>458.0</v>
      </c>
      <c r="F20" s="75">
        <v>350.0</v>
      </c>
      <c r="G20" s="121">
        <v>1151.0</v>
      </c>
      <c r="H20" s="121">
        <v>2629.0</v>
      </c>
      <c r="I20" s="121">
        <v>1140.0</v>
      </c>
      <c r="J20" s="75">
        <v>533.0</v>
      </c>
      <c r="K20" s="121">
        <v>1582.0</v>
      </c>
      <c r="L20" s="75">
        <v>298.0</v>
      </c>
      <c r="M20" s="75">
        <v>165.0</v>
      </c>
      <c r="N20" s="75">
        <v>378.0</v>
      </c>
      <c r="O20" s="75">
        <v>365.0</v>
      </c>
      <c r="P20" s="75">
        <v>247.0</v>
      </c>
      <c r="Q20" s="121">
        <v>1006.0</v>
      </c>
      <c r="R20" s="75">
        <v>720.0</v>
      </c>
      <c r="S20" s="75">
        <v>113.0</v>
      </c>
      <c r="T20" s="75">
        <v>535.0</v>
      </c>
      <c r="U20" s="75">
        <v>467.0</v>
      </c>
      <c r="V20" s="75">
        <v>6.0</v>
      </c>
      <c r="W20" s="75">
        <v>563.0</v>
      </c>
      <c r="X20" s="121">
        <v>1318.0</v>
      </c>
      <c r="Y20" s="121">
        <v>1407.0</v>
      </c>
      <c r="Z20" s="75">
        <v>476.0</v>
      </c>
      <c r="AA20" s="121">
        <v>2022.0</v>
      </c>
      <c r="AB20" s="75">
        <v>558.0</v>
      </c>
      <c r="AC20" s="121">
        <v>5254.0</v>
      </c>
      <c r="AD20" s="75">
        <v>352.0</v>
      </c>
      <c r="AE20" s="75">
        <v>454.0</v>
      </c>
      <c r="AF20" s="75">
        <v>770.0</v>
      </c>
      <c r="AG20" s="75">
        <v>838.0</v>
      </c>
      <c r="AH20" s="75">
        <v>467.0</v>
      </c>
      <c r="AI20" s="75">
        <v>53.0</v>
      </c>
      <c r="AJ20" s="75">
        <v>314.0</v>
      </c>
      <c r="AK20" s="121">
        <v>3013.0</v>
      </c>
      <c r="AL20" s="75">
        <v>227.0</v>
      </c>
      <c r="AM20" s="75">
        <v>872.0</v>
      </c>
      <c r="AN20" s="75">
        <v>698.0</v>
      </c>
      <c r="AO20" s="75">
        <v>961.0</v>
      </c>
      <c r="AP20" s="121">
        <v>34783.0</v>
      </c>
    </row>
    <row r="21">
      <c r="A21" s="251" t="s">
        <v>160</v>
      </c>
      <c r="B21" s="75">
        <v>511.0</v>
      </c>
      <c r="C21" s="75">
        <v>354.0</v>
      </c>
      <c r="D21" s="75">
        <v>255.0</v>
      </c>
      <c r="E21" s="75">
        <v>164.0</v>
      </c>
      <c r="F21" s="75">
        <v>143.0</v>
      </c>
      <c r="G21" s="75">
        <v>768.0</v>
      </c>
      <c r="H21" s="121">
        <v>1555.0</v>
      </c>
      <c r="I21" s="121">
        <v>1031.0</v>
      </c>
      <c r="J21" s="75">
        <v>322.0</v>
      </c>
      <c r="K21" s="75">
        <v>898.0</v>
      </c>
      <c r="L21" s="75">
        <v>148.0</v>
      </c>
      <c r="M21" s="75">
        <v>59.0</v>
      </c>
      <c r="N21" s="75">
        <v>183.0</v>
      </c>
      <c r="O21" s="75">
        <v>124.0</v>
      </c>
      <c r="P21" s="75">
        <v>131.0</v>
      </c>
      <c r="Q21" s="75">
        <v>592.0</v>
      </c>
      <c r="R21" s="75">
        <v>672.0</v>
      </c>
      <c r="S21" s="75">
        <v>63.0</v>
      </c>
      <c r="T21" s="75">
        <v>324.0</v>
      </c>
      <c r="U21" s="75">
        <v>499.0</v>
      </c>
      <c r="V21" s="75">
        <v>10.0</v>
      </c>
      <c r="W21" s="75">
        <v>439.0</v>
      </c>
      <c r="X21" s="75">
        <v>680.0</v>
      </c>
      <c r="Y21" s="75">
        <v>519.0</v>
      </c>
      <c r="Z21" s="75">
        <v>325.0</v>
      </c>
      <c r="AA21" s="75">
        <v>767.0</v>
      </c>
      <c r="AB21" s="75">
        <v>420.0</v>
      </c>
      <c r="AC21" s="121">
        <v>2575.0</v>
      </c>
      <c r="AD21" s="75">
        <v>132.0</v>
      </c>
      <c r="AE21" s="75">
        <v>218.0</v>
      </c>
      <c r="AF21" s="75">
        <v>395.0</v>
      </c>
      <c r="AG21" s="75">
        <v>738.0</v>
      </c>
      <c r="AH21" s="75">
        <v>232.0</v>
      </c>
      <c r="AI21" s="75">
        <v>121.0</v>
      </c>
      <c r="AJ21" s="75">
        <v>203.0</v>
      </c>
      <c r="AK21" s="121">
        <v>1775.0</v>
      </c>
      <c r="AL21" s="75">
        <v>207.0</v>
      </c>
      <c r="AM21" s="75">
        <v>558.0</v>
      </c>
      <c r="AN21" s="75">
        <v>308.0</v>
      </c>
      <c r="AO21" s="75">
        <v>759.0</v>
      </c>
      <c r="AP21" s="121">
        <v>20177.0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349</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176</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165</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165</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668.0</v>
      </c>
      <c r="I10" s="122">
        <v>684.0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9160.0</v>
      </c>
      <c r="AL10" s="122">
        <v>145.0</v>
      </c>
      <c r="AM10" s="122">
        <v>636.0</v>
      </c>
      <c r="AN10" s="122">
        <v>246.0</v>
      </c>
      <c r="AO10" s="122">
        <v>596.0</v>
      </c>
    </row>
    <row r="11">
      <c r="A11" s="251" t="s">
        <v>149</v>
      </c>
      <c r="B11" s="140">
        <v>1230.0</v>
      </c>
      <c r="C11" s="140">
        <v>2370.0</v>
      </c>
      <c r="D11" s="122">
        <v>936.0</v>
      </c>
      <c r="E11" s="140">
        <v>4313.0</v>
      </c>
      <c r="F11" s="140">
        <v>1568.0</v>
      </c>
      <c r="G11" s="140">
        <v>1209.0</v>
      </c>
      <c r="H11" s="122">
        <v>823.0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1240.0</v>
      </c>
      <c r="Y11" s="122">
        <v>829.0</v>
      </c>
      <c r="Z11" s="140">
        <v>1676.0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958.0</v>
      </c>
      <c r="D12" s="140">
        <v>1076.0</v>
      </c>
      <c r="E12" s="140">
        <v>2012.0</v>
      </c>
      <c r="F12" s="122">
        <v>733.0</v>
      </c>
      <c r="G12" s="140">
        <v>1649.0</v>
      </c>
      <c r="H12" s="140">
        <v>1021.0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165</v>
      </c>
      <c r="W12" s="140">
        <v>1179.0</v>
      </c>
      <c r="X12" s="140">
        <v>1198.0</v>
      </c>
      <c r="Y12" s="140">
        <v>1063.0</v>
      </c>
      <c r="Z12" s="140">
        <v>1166.0</v>
      </c>
      <c r="AA12" s="122">
        <v>945.0</v>
      </c>
      <c r="AB12" s="140">
        <v>976.0</v>
      </c>
      <c r="AC12" s="122">
        <v>847.0</v>
      </c>
      <c r="AD12" s="122">
        <v>813.0</v>
      </c>
      <c r="AE12" s="140">
        <v>1481.0</v>
      </c>
      <c r="AF12" s="140">
        <v>2117.0</v>
      </c>
      <c r="AG12" s="122">
        <v>813.0</v>
      </c>
      <c r="AH12" s="122">
        <v>594.0</v>
      </c>
      <c r="AI12" s="140">
        <v>706.0</v>
      </c>
      <c r="AJ12" s="140">
        <v>223.0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773.0</v>
      </c>
      <c r="J13" s="122">
        <v>734.0</v>
      </c>
      <c r="K13" s="122">
        <v>948.0</v>
      </c>
      <c r="L13" s="140">
        <v>1003.0</v>
      </c>
      <c r="M13" s="140">
        <v>1045.0</v>
      </c>
      <c r="N13" s="140">
        <v>1232.0</v>
      </c>
      <c r="O13" s="122">
        <v>616.0</v>
      </c>
      <c r="P13" s="122">
        <v>801.0</v>
      </c>
      <c r="Q13" s="140">
        <v>1009.0</v>
      </c>
      <c r="R13" s="140">
        <v>1391.0</v>
      </c>
      <c r="S13" s="122">
        <v>257.0</v>
      </c>
      <c r="T13" s="140">
        <v>1001.0</v>
      </c>
      <c r="U13" s="122">
        <v>842.0</v>
      </c>
      <c r="V13" s="122">
        <v>0.0</v>
      </c>
      <c r="W13" s="122">
        <v>678.0</v>
      </c>
      <c r="X13" s="122">
        <v>958.0</v>
      </c>
      <c r="Y13" s="140">
        <v>1109.0</v>
      </c>
      <c r="Z13" s="140">
        <v>1004.0</v>
      </c>
      <c r="AA13" s="122">
        <v>754.0</v>
      </c>
      <c r="AB13" s="122">
        <v>700.0</v>
      </c>
      <c r="AC13" s="122">
        <v>648.0</v>
      </c>
      <c r="AD13" s="122">
        <v>787.0</v>
      </c>
      <c r="AE13" s="140">
        <v>1160.0</v>
      </c>
      <c r="AF13" s="140">
        <v>1540.0</v>
      </c>
      <c r="AG13" s="122">
        <v>807.0</v>
      </c>
      <c r="AH13" s="122">
        <v>512.0</v>
      </c>
      <c r="AI13" s="140">
        <v>2374.0</v>
      </c>
      <c r="AJ13" s="140">
        <v>171.0</v>
      </c>
      <c r="AK13" s="140">
        <v>14080.0</v>
      </c>
      <c r="AL13" s="122">
        <v>200.0</v>
      </c>
      <c r="AM13" s="140">
        <v>1251.0</v>
      </c>
      <c r="AN13" s="122">
        <v>503.0</v>
      </c>
      <c r="AO13" s="122">
        <v>950.0</v>
      </c>
    </row>
    <row r="14">
      <c r="A14" s="251" t="s">
        <v>152</v>
      </c>
      <c r="B14" s="122">
        <v>902.0</v>
      </c>
      <c r="C14" s="140">
        <v>1340.0</v>
      </c>
      <c r="D14" s="122">
        <v>966.0</v>
      </c>
      <c r="E14" s="140">
        <v>4530.0</v>
      </c>
      <c r="F14" s="122">
        <v>913.0</v>
      </c>
      <c r="G14" s="122">
        <v>810.0</v>
      </c>
      <c r="H14" s="140">
        <v>1074.0</v>
      </c>
      <c r="I14" s="140">
        <v>1094.0</v>
      </c>
      <c r="J14" s="122">
        <v>964.0</v>
      </c>
      <c r="K14" s="140">
        <v>1288.0</v>
      </c>
      <c r="L14" s="122">
        <v>870.0</v>
      </c>
      <c r="M14" s="122">
        <v>768.0</v>
      </c>
      <c r="N14" s="122">
        <v>954.0</v>
      </c>
      <c r="O14" s="140">
        <v>1775.0</v>
      </c>
      <c r="P14" s="122">
        <v>582.0</v>
      </c>
      <c r="Q14" s="140">
        <v>1392.0</v>
      </c>
      <c r="R14" s="122">
        <v>929.0</v>
      </c>
      <c r="S14" s="122">
        <v>399.0</v>
      </c>
      <c r="T14" s="122">
        <v>479.0</v>
      </c>
      <c r="U14" s="122">
        <v>932.0</v>
      </c>
      <c r="V14" s="122" t="s">
        <v>165</v>
      </c>
      <c r="W14" s="122">
        <v>376.0</v>
      </c>
      <c r="X14" s="140">
        <v>1103.0</v>
      </c>
      <c r="Y14" s="140">
        <v>1334.0</v>
      </c>
      <c r="Z14" s="122">
        <v>931.0</v>
      </c>
      <c r="AA14" s="122">
        <v>981.0</v>
      </c>
      <c r="AB14" s="122">
        <v>499.0</v>
      </c>
      <c r="AC14" s="122">
        <v>741.0</v>
      </c>
      <c r="AD14" s="122">
        <v>629.0</v>
      </c>
      <c r="AE14" s="122">
        <v>858.0</v>
      </c>
      <c r="AF14" s="122">
        <v>952.0</v>
      </c>
      <c r="AG14" s="122">
        <v>696.0</v>
      </c>
      <c r="AH14" s="122">
        <v>948.0</v>
      </c>
      <c r="AI14" s="140">
        <v>753.0</v>
      </c>
      <c r="AJ14" s="140">
        <v>143.0</v>
      </c>
      <c r="AK14" s="140">
        <v>20489.0</v>
      </c>
      <c r="AL14" s="122">
        <v>149.0</v>
      </c>
      <c r="AM14" s="140">
        <v>1277.0</v>
      </c>
      <c r="AN14" s="122">
        <v>590.0</v>
      </c>
      <c r="AO14" s="140">
        <v>1059.0</v>
      </c>
    </row>
    <row r="15">
      <c r="A15" s="251" t="s">
        <v>153</v>
      </c>
      <c r="B15" s="122">
        <v>847.0</v>
      </c>
      <c r="C15" s="140">
        <v>1246.0</v>
      </c>
      <c r="D15" s="140">
        <v>1100.0</v>
      </c>
      <c r="E15" s="140">
        <v>2719.0</v>
      </c>
      <c r="F15" s="140">
        <v>1093.0</v>
      </c>
      <c r="G15" s="140">
        <v>1761.0</v>
      </c>
      <c r="H15" s="140">
        <v>1222.0</v>
      </c>
      <c r="I15" s="140">
        <v>1039.0</v>
      </c>
      <c r="J15" s="140">
        <v>1981.0</v>
      </c>
      <c r="K15" s="140">
        <v>1416.0</v>
      </c>
      <c r="L15" s="122">
        <v>914.0</v>
      </c>
      <c r="M15" s="140">
        <v>1301.0</v>
      </c>
      <c r="N15" s="140">
        <v>1262.0</v>
      </c>
      <c r="O15" s="122">
        <v>925.0</v>
      </c>
      <c r="P15" s="122">
        <v>964.0</v>
      </c>
      <c r="Q15" s="140">
        <v>1656.0</v>
      </c>
      <c r="R15" s="140">
        <v>1723.0</v>
      </c>
      <c r="S15" s="140">
        <v>1084.0</v>
      </c>
      <c r="T15" s="140">
        <v>2015.0</v>
      </c>
      <c r="U15" s="122">
        <v>855.0</v>
      </c>
      <c r="V15" s="122">
        <v>846.0</v>
      </c>
      <c r="W15" s="140">
        <v>1248.0</v>
      </c>
      <c r="X15" s="140">
        <v>1713.0</v>
      </c>
      <c r="Y15" s="140">
        <v>1260.0</v>
      </c>
      <c r="Z15" s="140">
        <v>2543.0</v>
      </c>
      <c r="AA15" s="140">
        <v>1208.0</v>
      </c>
      <c r="AB15" s="122">
        <v>729.0</v>
      </c>
      <c r="AC15" s="140">
        <v>1008.0</v>
      </c>
      <c r="AD15" s="140">
        <v>1233.0</v>
      </c>
      <c r="AE15" s="140">
        <v>1716.0</v>
      </c>
      <c r="AF15" s="140">
        <v>2566.0</v>
      </c>
      <c r="AG15" s="140">
        <v>1012.0</v>
      </c>
      <c r="AH15" s="122">
        <v>493.0</v>
      </c>
      <c r="AI15" s="140">
        <v>4062.0</v>
      </c>
      <c r="AJ15" s="140">
        <v>294.0</v>
      </c>
      <c r="AK15" s="140">
        <v>14922.0</v>
      </c>
      <c r="AL15" s="140">
        <v>221.0</v>
      </c>
      <c r="AM15" s="140">
        <v>2351.0</v>
      </c>
      <c r="AN15" s="140">
        <v>299.0</v>
      </c>
      <c r="AO15" s="140">
        <v>1343.0</v>
      </c>
    </row>
    <row r="16">
      <c r="A16" s="251" t="s">
        <v>154</v>
      </c>
      <c r="B16" s="140">
        <v>1743.0</v>
      </c>
      <c r="C16" s="122">
        <v>864.0</v>
      </c>
      <c r="D16" s="140">
        <v>1246.0</v>
      </c>
      <c r="E16" s="140">
        <v>4045.0</v>
      </c>
      <c r="F16" s="140">
        <v>1350.0</v>
      </c>
      <c r="G16" s="140">
        <v>1238.0</v>
      </c>
      <c r="H16" s="140">
        <v>1721.0</v>
      </c>
      <c r="I16" s="140">
        <v>3007.0</v>
      </c>
      <c r="J16" s="140">
        <v>2716.0</v>
      </c>
      <c r="K16" s="140">
        <v>1437.0</v>
      </c>
      <c r="L16" s="140">
        <v>1298.0</v>
      </c>
      <c r="M16" s="122">
        <v>704.0</v>
      </c>
      <c r="N16" s="122">
        <v>924.0</v>
      </c>
      <c r="O16" s="140">
        <v>1184.0</v>
      </c>
      <c r="P16" s="140">
        <v>2092.0</v>
      </c>
      <c r="Q16" s="122">
        <v>995.0</v>
      </c>
      <c r="R16" s="140">
        <v>2804.0</v>
      </c>
      <c r="S16" s="122">
        <v>884.0</v>
      </c>
      <c r="T16" s="140">
        <v>1343.0</v>
      </c>
      <c r="U16" s="140">
        <v>1698.0</v>
      </c>
      <c r="V16" s="140">
        <v>1693.0</v>
      </c>
      <c r="W16" s="140">
        <v>1575.0</v>
      </c>
      <c r="X16" s="140">
        <v>1755.0</v>
      </c>
      <c r="Y16" s="140">
        <v>1759.0</v>
      </c>
      <c r="Z16" s="122">
        <v>866.0</v>
      </c>
      <c r="AA16" s="140">
        <v>1506.0</v>
      </c>
      <c r="AB16" s="140">
        <v>2199.0</v>
      </c>
      <c r="AC16" s="122">
        <v>984.0</v>
      </c>
      <c r="AD16" s="140">
        <v>1456.0</v>
      </c>
      <c r="AE16" s="122">
        <v>887.0</v>
      </c>
      <c r="AF16" s="140">
        <v>1595.0</v>
      </c>
      <c r="AG16" s="140">
        <v>1591.0</v>
      </c>
      <c r="AH16" s="140">
        <v>1296.0</v>
      </c>
      <c r="AI16" s="140">
        <v>2212.0</v>
      </c>
      <c r="AJ16" s="140">
        <v>204.0</v>
      </c>
      <c r="AK16" s="140">
        <v>25360.0</v>
      </c>
      <c r="AL16" s="140">
        <v>307.0</v>
      </c>
      <c r="AM16" s="140">
        <v>1353.0</v>
      </c>
      <c r="AN16" s="140">
        <v>876.0</v>
      </c>
      <c r="AO16" s="140">
        <v>1579.0</v>
      </c>
    </row>
    <row r="17">
      <c r="A17" s="251" t="s">
        <v>155</v>
      </c>
      <c r="B17" s="140">
        <v>2188.0</v>
      </c>
      <c r="C17" s="140">
        <v>1435.0</v>
      </c>
      <c r="D17" s="140">
        <v>1380.0</v>
      </c>
      <c r="E17" s="140">
        <v>2611.0</v>
      </c>
      <c r="F17" s="140">
        <v>1697.0</v>
      </c>
      <c r="G17" s="140">
        <v>2236.0</v>
      </c>
      <c r="H17" s="140">
        <v>1746.0</v>
      </c>
      <c r="I17" s="140">
        <v>1273.0</v>
      </c>
      <c r="J17" s="140">
        <v>2325.0</v>
      </c>
      <c r="K17" s="140">
        <v>1549.0</v>
      </c>
      <c r="L17" s="140">
        <v>1917.0</v>
      </c>
      <c r="M17" s="140">
        <v>1770.0</v>
      </c>
      <c r="N17" s="140">
        <v>1262.0</v>
      </c>
      <c r="O17" s="140">
        <v>1640.0</v>
      </c>
      <c r="P17" s="140">
        <v>1710.0</v>
      </c>
      <c r="Q17" s="140">
        <v>2128.0</v>
      </c>
      <c r="R17" s="140">
        <v>1899.0</v>
      </c>
      <c r="S17" s="140">
        <v>1569.0</v>
      </c>
      <c r="T17" s="140">
        <v>1406.0</v>
      </c>
      <c r="U17" s="140">
        <v>1801.0</v>
      </c>
      <c r="V17" s="140">
        <v>1209.0</v>
      </c>
      <c r="W17" s="140">
        <v>1119.0</v>
      </c>
      <c r="X17" s="140">
        <v>2003.0</v>
      </c>
      <c r="Y17" s="140">
        <v>1377.0</v>
      </c>
      <c r="Z17" s="140">
        <v>1490.0</v>
      </c>
      <c r="AA17" s="140">
        <v>1310.0</v>
      </c>
      <c r="AB17" s="140">
        <v>1464.0</v>
      </c>
      <c r="AC17" s="122">
        <v>949.0</v>
      </c>
      <c r="AD17" s="140">
        <v>1390.0</v>
      </c>
      <c r="AE17" s="140">
        <v>1613.0</v>
      </c>
      <c r="AF17" s="140">
        <v>1771.0</v>
      </c>
      <c r="AG17" s="140">
        <v>1868.0</v>
      </c>
      <c r="AH17" s="140">
        <v>1170.0</v>
      </c>
      <c r="AI17" s="140">
        <v>2736.0</v>
      </c>
      <c r="AJ17" s="140">
        <v>167.0</v>
      </c>
      <c r="AK17" s="140">
        <v>25101.0</v>
      </c>
      <c r="AL17" s="140">
        <v>332.0</v>
      </c>
      <c r="AM17" s="140">
        <v>2400.0</v>
      </c>
      <c r="AN17" s="122">
        <v>701.0</v>
      </c>
      <c r="AO17" s="140">
        <v>1556.0</v>
      </c>
    </row>
    <row r="18">
      <c r="A18" s="251" t="s">
        <v>156</v>
      </c>
      <c r="B18" s="140">
        <v>4413.0</v>
      </c>
      <c r="C18" s="140">
        <v>3643.0</v>
      </c>
      <c r="D18" s="140">
        <v>1915.0</v>
      </c>
      <c r="E18" s="140">
        <v>1914.0</v>
      </c>
      <c r="F18" s="140">
        <v>2866.0</v>
      </c>
      <c r="G18" s="140">
        <v>3563.0</v>
      </c>
      <c r="H18" s="140">
        <v>4348.0</v>
      </c>
      <c r="I18" s="140">
        <v>2990.0</v>
      </c>
      <c r="J18" s="140">
        <v>4054.0</v>
      </c>
      <c r="K18" s="140">
        <v>3406.0</v>
      </c>
      <c r="L18" s="140">
        <v>2802.0</v>
      </c>
      <c r="M18" s="140">
        <v>2303.0</v>
      </c>
      <c r="N18" s="140">
        <v>2763.0</v>
      </c>
      <c r="O18" s="140">
        <v>1973.0</v>
      </c>
      <c r="P18" s="140">
        <v>5786.0</v>
      </c>
      <c r="Q18" s="140">
        <v>3294.0</v>
      </c>
      <c r="R18" s="140">
        <v>2721.0</v>
      </c>
      <c r="S18" s="140">
        <v>3766.0</v>
      </c>
      <c r="T18" s="140">
        <v>4323.0</v>
      </c>
      <c r="U18" s="140">
        <v>4141.0</v>
      </c>
      <c r="V18" s="140">
        <v>1572.0</v>
      </c>
      <c r="W18" s="140">
        <v>3312.0</v>
      </c>
      <c r="X18" s="140">
        <v>3411.0</v>
      </c>
      <c r="Y18" s="140">
        <v>3062.0</v>
      </c>
      <c r="Z18" s="140">
        <v>3433.0</v>
      </c>
      <c r="AA18" s="140">
        <v>1827.0</v>
      </c>
      <c r="AB18" s="140">
        <v>3433.0</v>
      </c>
      <c r="AC18" s="140">
        <v>2119.0</v>
      </c>
      <c r="AD18" s="140">
        <v>1338.0</v>
      </c>
      <c r="AE18" s="140">
        <v>3122.0</v>
      </c>
      <c r="AF18" s="140">
        <v>3740.0</v>
      </c>
      <c r="AG18" s="140">
        <v>3621.0</v>
      </c>
      <c r="AH18" s="140">
        <v>2434.0</v>
      </c>
      <c r="AI18" s="140">
        <v>629.0</v>
      </c>
      <c r="AJ18" s="140">
        <v>500.0</v>
      </c>
      <c r="AK18" s="140">
        <v>54523.0</v>
      </c>
      <c r="AL18" s="140">
        <v>656.0</v>
      </c>
      <c r="AM18" s="140">
        <v>4053.0</v>
      </c>
      <c r="AN18" s="140">
        <v>1851.0</v>
      </c>
      <c r="AO18" s="140">
        <v>3084.0</v>
      </c>
    </row>
    <row r="19">
      <c r="A19" s="251" t="s">
        <v>157</v>
      </c>
      <c r="B19" s="140">
        <v>5452.0</v>
      </c>
      <c r="C19" s="140">
        <v>6441.0</v>
      </c>
      <c r="D19" s="140">
        <v>3750.0</v>
      </c>
      <c r="E19" s="122">
        <v>573.0</v>
      </c>
      <c r="F19" s="140">
        <v>7802.0</v>
      </c>
      <c r="G19" s="140">
        <v>4411.0</v>
      </c>
      <c r="H19" s="140">
        <v>4198.0</v>
      </c>
      <c r="I19" s="140">
        <v>4834.0</v>
      </c>
      <c r="J19" s="140">
        <v>4452.0</v>
      </c>
      <c r="K19" s="140">
        <v>4641.0</v>
      </c>
      <c r="L19" s="140">
        <v>4615.0</v>
      </c>
      <c r="M19" s="140">
        <v>4393.0</v>
      </c>
      <c r="N19" s="140">
        <v>4830.0</v>
      </c>
      <c r="O19" s="140">
        <v>5215.0</v>
      </c>
      <c r="P19" s="140">
        <v>10644.0</v>
      </c>
      <c r="Q19" s="140">
        <v>3982.0</v>
      </c>
      <c r="R19" s="140">
        <v>5401.0</v>
      </c>
      <c r="S19" s="140">
        <v>8645.0</v>
      </c>
      <c r="T19" s="140">
        <v>5088.0</v>
      </c>
      <c r="U19" s="140">
        <v>5576.0</v>
      </c>
      <c r="V19" s="122">
        <v>967.0</v>
      </c>
      <c r="W19" s="140">
        <v>4826.0</v>
      </c>
      <c r="X19" s="140">
        <v>6700.0</v>
      </c>
      <c r="Y19" s="140">
        <v>5810.0</v>
      </c>
      <c r="Z19" s="140">
        <v>5539.0</v>
      </c>
      <c r="AA19" s="140">
        <v>2305.0</v>
      </c>
      <c r="AB19" s="140">
        <v>5563.0</v>
      </c>
      <c r="AC19" s="140">
        <v>2146.0</v>
      </c>
      <c r="AD19" s="140">
        <v>5770.0</v>
      </c>
      <c r="AE19" s="140">
        <v>5272.0</v>
      </c>
      <c r="AF19" s="140">
        <v>5358.0</v>
      </c>
      <c r="AG19" s="140">
        <v>5333.0</v>
      </c>
      <c r="AH19" s="140">
        <v>5267.0</v>
      </c>
      <c r="AI19" s="140">
        <v>849.0</v>
      </c>
      <c r="AJ19" s="140">
        <v>814.0</v>
      </c>
      <c r="AK19" s="140">
        <v>65658.0</v>
      </c>
      <c r="AL19" s="140">
        <v>1033.0</v>
      </c>
      <c r="AM19" s="140">
        <v>5079.0</v>
      </c>
      <c r="AN19" s="140">
        <v>2624.0</v>
      </c>
      <c r="AO19" s="140">
        <v>4216.0</v>
      </c>
    </row>
    <row r="20">
      <c r="A20" s="251" t="s">
        <v>158</v>
      </c>
      <c r="B20" s="140">
        <v>3981.0</v>
      </c>
      <c r="C20" s="140">
        <v>4426.0</v>
      </c>
      <c r="D20" s="140">
        <v>3768.0</v>
      </c>
      <c r="E20" s="140">
        <v>1801.0</v>
      </c>
      <c r="F20" s="140">
        <v>4139.0</v>
      </c>
      <c r="G20" s="140">
        <v>4200.0</v>
      </c>
      <c r="H20" s="140">
        <v>3484.0</v>
      </c>
      <c r="I20" s="140">
        <v>4265.0</v>
      </c>
      <c r="J20" s="140">
        <v>5225.0</v>
      </c>
      <c r="K20" s="140">
        <v>3294.0</v>
      </c>
      <c r="L20" s="140">
        <v>4910.0</v>
      </c>
      <c r="M20" s="140">
        <v>4009.0</v>
      </c>
      <c r="N20" s="140">
        <v>3856.0</v>
      </c>
      <c r="O20" s="140">
        <v>3773.0</v>
      </c>
      <c r="P20" s="140">
        <v>6514.0</v>
      </c>
      <c r="Q20" s="140">
        <v>3937.0</v>
      </c>
      <c r="R20" s="140">
        <v>4223.0</v>
      </c>
      <c r="S20" s="140">
        <v>4080.0</v>
      </c>
      <c r="T20" s="140">
        <v>4715.0</v>
      </c>
      <c r="U20" s="140">
        <v>5736.0</v>
      </c>
      <c r="V20" s="140">
        <v>967.0</v>
      </c>
      <c r="W20" s="140">
        <v>3235.0</v>
      </c>
      <c r="X20" s="140">
        <v>4277.0</v>
      </c>
      <c r="Y20" s="140">
        <v>3983.0</v>
      </c>
      <c r="Z20" s="140">
        <v>4964.0</v>
      </c>
      <c r="AA20" s="140">
        <v>2447.0</v>
      </c>
      <c r="AB20" s="140">
        <v>4524.0</v>
      </c>
      <c r="AC20" s="140">
        <v>3308.0</v>
      </c>
      <c r="AD20" s="140">
        <v>3711.0</v>
      </c>
      <c r="AE20" s="140">
        <v>4536.0</v>
      </c>
      <c r="AF20" s="140">
        <v>4341.0</v>
      </c>
      <c r="AG20" s="140">
        <v>4692.0</v>
      </c>
      <c r="AH20" s="140">
        <v>4224.0</v>
      </c>
      <c r="AI20" s="140">
        <v>591.0</v>
      </c>
      <c r="AJ20" s="140">
        <v>551.0</v>
      </c>
      <c r="AK20" s="140">
        <v>54896.0</v>
      </c>
      <c r="AL20" s="140">
        <v>974.0</v>
      </c>
      <c r="AM20" s="140">
        <v>5233.0</v>
      </c>
      <c r="AN20" s="140">
        <v>2573.0</v>
      </c>
      <c r="AO20" s="140">
        <v>3782.0</v>
      </c>
    </row>
    <row r="21">
      <c r="A21" s="251" t="s">
        <v>159</v>
      </c>
      <c r="B21" s="140">
        <v>4444.0</v>
      </c>
      <c r="C21" s="140">
        <v>3319.0</v>
      </c>
      <c r="D21" s="140">
        <v>3440.0</v>
      </c>
      <c r="E21" s="140">
        <v>2363.0</v>
      </c>
      <c r="F21" s="140">
        <v>4499.0</v>
      </c>
      <c r="G21" s="140">
        <v>3329.0</v>
      </c>
      <c r="H21" s="140">
        <v>3238.0</v>
      </c>
      <c r="I21" s="140">
        <v>3290.0</v>
      </c>
      <c r="J21" s="140">
        <v>4077.0</v>
      </c>
      <c r="K21" s="140">
        <v>3334.0</v>
      </c>
      <c r="L21" s="140">
        <v>4394.0</v>
      </c>
      <c r="M21" s="140">
        <v>3519.0</v>
      </c>
      <c r="N21" s="140">
        <v>3757.0</v>
      </c>
      <c r="O21" s="140">
        <v>4500.0</v>
      </c>
      <c r="P21" s="140">
        <v>4494.0</v>
      </c>
      <c r="Q21" s="140">
        <v>3441.0</v>
      </c>
      <c r="R21" s="140">
        <v>3327.0</v>
      </c>
      <c r="S21" s="140">
        <v>3224.0</v>
      </c>
      <c r="T21" s="140">
        <v>3328.0</v>
      </c>
      <c r="U21" s="140">
        <v>3003.0</v>
      </c>
      <c r="V21" s="122">
        <v>726.0</v>
      </c>
      <c r="W21" s="140">
        <v>2274.0</v>
      </c>
      <c r="X21" s="140">
        <v>5029.0</v>
      </c>
      <c r="Y21" s="140">
        <v>4335.0</v>
      </c>
      <c r="Z21" s="140">
        <v>3855.0</v>
      </c>
      <c r="AA21" s="140">
        <v>2818.0</v>
      </c>
      <c r="AB21" s="140">
        <v>3204.0</v>
      </c>
      <c r="AC21" s="140">
        <v>2928.0</v>
      </c>
      <c r="AD21" s="140">
        <v>4616.0</v>
      </c>
      <c r="AE21" s="140">
        <v>4282.0</v>
      </c>
      <c r="AF21" s="140">
        <v>3560.0</v>
      </c>
      <c r="AG21" s="140">
        <v>2727.0</v>
      </c>
      <c r="AH21" s="140">
        <v>2953.0</v>
      </c>
      <c r="AI21" s="122">
        <v>505.0</v>
      </c>
      <c r="AJ21" s="122">
        <v>387.0</v>
      </c>
      <c r="AK21" s="140">
        <v>48762.0</v>
      </c>
      <c r="AL21" s="122">
        <v>784.0</v>
      </c>
      <c r="AM21" s="140">
        <v>3854.0</v>
      </c>
      <c r="AN21" s="140">
        <v>1680.0</v>
      </c>
      <c r="AO21" s="140">
        <v>3292.0</v>
      </c>
    </row>
    <row r="22">
      <c r="A22" s="251" t="s">
        <v>160</v>
      </c>
      <c r="B22" s="140">
        <v>3159.0</v>
      </c>
      <c r="C22" s="140">
        <v>1592.0</v>
      </c>
      <c r="D22" s="140">
        <v>1550.0</v>
      </c>
      <c r="E22" s="122">
        <v>846.0</v>
      </c>
      <c r="F22" s="140">
        <v>1838.0</v>
      </c>
      <c r="G22" s="140">
        <v>2221.0</v>
      </c>
      <c r="H22" s="140">
        <v>1915.0</v>
      </c>
      <c r="I22" s="140">
        <v>2975.0</v>
      </c>
      <c r="J22" s="140">
        <v>2463.0</v>
      </c>
      <c r="K22" s="140">
        <v>1893.0</v>
      </c>
      <c r="L22" s="140">
        <v>2182.0</v>
      </c>
      <c r="M22" s="140">
        <v>1258.0</v>
      </c>
      <c r="N22" s="140">
        <v>1819.0</v>
      </c>
      <c r="O22" s="140">
        <v>1529.0</v>
      </c>
      <c r="P22" s="140">
        <v>2384.0</v>
      </c>
      <c r="Q22" s="140">
        <v>2025.0</v>
      </c>
      <c r="R22" s="140">
        <v>3105.0</v>
      </c>
      <c r="S22" s="140">
        <v>1797.0</v>
      </c>
      <c r="T22" s="140">
        <v>2015.0</v>
      </c>
      <c r="U22" s="140">
        <v>3209.0</v>
      </c>
      <c r="V22" s="140">
        <v>1209.0</v>
      </c>
      <c r="W22" s="140">
        <v>1773.0</v>
      </c>
      <c r="X22" s="140">
        <v>2595.0</v>
      </c>
      <c r="Y22" s="140">
        <v>1599.0</v>
      </c>
      <c r="Z22" s="140">
        <v>2632.0</v>
      </c>
      <c r="AA22" s="140">
        <v>1069.0</v>
      </c>
      <c r="AB22" s="140">
        <v>2411.0</v>
      </c>
      <c r="AC22" s="140">
        <v>1435.0</v>
      </c>
      <c r="AD22" s="140">
        <v>1731.0</v>
      </c>
      <c r="AE22" s="140">
        <v>2056.0</v>
      </c>
      <c r="AF22" s="140">
        <v>1826.0</v>
      </c>
      <c r="AG22" s="140">
        <v>2401.0</v>
      </c>
      <c r="AH22" s="140">
        <v>1467.0</v>
      </c>
      <c r="AI22" s="140">
        <v>1154.0</v>
      </c>
      <c r="AJ22" s="122">
        <v>250.0</v>
      </c>
      <c r="AK22" s="140">
        <v>28726.0</v>
      </c>
      <c r="AL22" s="122">
        <v>715.0</v>
      </c>
      <c r="AM22" s="140">
        <v>2466.0</v>
      </c>
      <c r="AN22" s="122">
        <v>741.0</v>
      </c>
      <c r="AO22" s="140">
        <v>1910.0</v>
      </c>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352</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353</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354</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44.0</v>
      </c>
      <c r="AP11" s="121">
        <v>3500.0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183.0</v>
      </c>
      <c r="I13" s="75">
        <v>129.0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84.0</v>
      </c>
      <c r="Y13" s="75">
        <v>81.0</v>
      </c>
      <c r="Z13" s="75">
        <v>96.0</v>
      </c>
      <c r="AA13" s="75">
        <v>285.0</v>
      </c>
      <c r="AB13" s="75">
        <v>25.0</v>
      </c>
      <c r="AC13" s="75">
        <v>573.0</v>
      </c>
      <c r="AD13" s="75">
        <v>22.0</v>
      </c>
      <c r="AE13" s="75">
        <v>28.0</v>
      </c>
      <c r="AF13" s="75">
        <v>49.0</v>
      </c>
      <c r="AG13" s="75">
        <v>113.0</v>
      </c>
      <c r="AH13" s="75">
        <v>23.0</v>
      </c>
      <c r="AI13" s="75">
        <v>31.0</v>
      </c>
      <c r="AJ13" s="75">
        <v>44.0</v>
      </c>
      <c r="AK13" s="75">
        <v>461.0</v>
      </c>
      <c r="AL13" s="75">
        <v>21.0</v>
      </c>
      <c r="AM13" s="75">
        <v>96.0</v>
      </c>
      <c r="AN13" s="75">
        <v>69.0</v>
      </c>
      <c r="AO13" s="75">
        <v>140.0</v>
      </c>
      <c r="AP13" s="121">
        <v>3651.0</v>
      </c>
    </row>
    <row r="14">
      <c r="A14" s="251" t="s">
        <v>153</v>
      </c>
      <c r="B14" s="75">
        <v>167.0</v>
      </c>
      <c r="C14" s="75">
        <v>308.0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231.0</v>
      </c>
      <c r="Z14" s="75">
        <v>151.0</v>
      </c>
      <c r="AA14" s="75">
        <v>563.0</v>
      </c>
      <c r="AB14" s="75">
        <v>245.0</v>
      </c>
      <c r="AC14" s="121">
        <v>1171.0</v>
      </c>
      <c r="AD14" s="75">
        <v>157.0</v>
      </c>
      <c r="AE14" s="75">
        <v>129.0</v>
      </c>
      <c r="AF14" s="75">
        <v>333.0</v>
      </c>
      <c r="AG14" s="75">
        <v>473.0</v>
      </c>
      <c r="AH14" s="75">
        <v>126.0</v>
      </c>
      <c r="AI14" s="75">
        <v>124.0</v>
      </c>
      <c r="AJ14" s="121">
        <v>189.0</v>
      </c>
      <c r="AK14" s="121">
        <v>1008.0</v>
      </c>
      <c r="AL14" s="75">
        <v>77.0</v>
      </c>
      <c r="AM14" s="75">
        <v>300.0</v>
      </c>
      <c r="AN14" s="75">
        <v>392.0</v>
      </c>
      <c r="AO14" s="75">
        <v>439.0</v>
      </c>
      <c r="AP14" s="121">
        <v>12330.0</v>
      </c>
    </row>
    <row r="15">
      <c r="A15" s="251" t="s">
        <v>154</v>
      </c>
      <c r="B15" s="75">
        <v>152.0</v>
      </c>
      <c r="C15" s="75">
        <v>283.0</v>
      </c>
      <c r="D15" s="75">
        <v>195.0</v>
      </c>
      <c r="E15" s="75">
        <v>338.0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402.0</v>
      </c>
      <c r="Z15" s="75">
        <v>105.0</v>
      </c>
      <c r="AA15" s="75">
        <v>501.0</v>
      </c>
      <c r="AB15" s="75">
        <v>142.0</v>
      </c>
      <c r="AC15" s="121">
        <v>1098.0</v>
      </c>
      <c r="AD15" s="75">
        <v>44.0</v>
      </c>
      <c r="AE15" s="75">
        <v>144.0</v>
      </c>
      <c r="AF15" s="75">
        <v>380.0</v>
      </c>
      <c r="AG15" s="75">
        <v>179.0</v>
      </c>
      <c r="AH15" s="75">
        <v>98.0</v>
      </c>
      <c r="AI15" s="75">
        <v>96.0</v>
      </c>
      <c r="AJ15" s="75">
        <v>157.0</v>
      </c>
      <c r="AK15" s="75">
        <v>685.0</v>
      </c>
      <c r="AL15" s="75">
        <v>55.0</v>
      </c>
      <c r="AM15" s="75">
        <v>171.0</v>
      </c>
      <c r="AN15" s="75">
        <v>162.0</v>
      </c>
      <c r="AO15" s="75">
        <v>192.0</v>
      </c>
      <c r="AP15" s="121">
        <v>9248.0</v>
      </c>
    </row>
    <row r="16">
      <c r="A16" s="251" t="s">
        <v>155</v>
      </c>
      <c r="B16" s="75">
        <v>159.0</v>
      </c>
      <c r="C16" s="75">
        <v>295.0</v>
      </c>
      <c r="D16" s="75">
        <v>169.0</v>
      </c>
      <c r="E16" s="75">
        <v>519.0</v>
      </c>
      <c r="F16" s="75">
        <v>76.0</v>
      </c>
      <c r="G16" s="75">
        <v>409.0</v>
      </c>
      <c r="H16" s="75">
        <v>881.0</v>
      </c>
      <c r="I16" s="75">
        <v>379.0</v>
      </c>
      <c r="J16" s="75">
        <v>170.0</v>
      </c>
      <c r="K16" s="75">
        <v>525.0</v>
      </c>
      <c r="L16" s="75">
        <v>61.0</v>
      </c>
      <c r="M16" s="75">
        <v>48.0</v>
      </c>
      <c r="N16" s="75">
        <v>115.0</v>
      </c>
      <c r="O16" s="75">
        <v>156.0</v>
      </c>
      <c r="P16" s="75">
        <v>43.0</v>
      </c>
      <c r="Q16" s="75">
        <v>425.0</v>
      </c>
      <c r="R16" s="75">
        <v>218.0</v>
      </c>
      <c r="S16" s="75">
        <v>7.0</v>
      </c>
      <c r="T16" s="75">
        <v>71.0</v>
      </c>
      <c r="U16" s="75">
        <v>123.0</v>
      </c>
      <c r="V16" s="75">
        <v>7.0</v>
      </c>
      <c r="W16" s="75">
        <v>84.0</v>
      </c>
      <c r="X16" s="75">
        <v>370.0</v>
      </c>
      <c r="Y16" s="75">
        <v>412.0</v>
      </c>
      <c r="Z16" s="75">
        <v>140.0</v>
      </c>
      <c r="AA16" s="75">
        <v>662.0</v>
      </c>
      <c r="AB16" s="75">
        <v>98.0</v>
      </c>
      <c r="AC16" s="121">
        <v>1304.0</v>
      </c>
      <c r="AD16" s="75">
        <v>70.0</v>
      </c>
      <c r="AE16" s="75">
        <v>114.0</v>
      </c>
      <c r="AF16" s="75">
        <v>281.0</v>
      </c>
      <c r="AG16" s="75">
        <v>214.0</v>
      </c>
      <c r="AH16" s="75">
        <v>152.0</v>
      </c>
      <c r="AI16" s="75">
        <v>253.0</v>
      </c>
      <c r="AJ16" s="121">
        <v>108.0</v>
      </c>
      <c r="AK16" s="121">
        <v>1449.0</v>
      </c>
      <c r="AL16" s="75">
        <v>77.0</v>
      </c>
      <c r="AM16" s="75">
        <v>353.0</v>
      </c>
      <c r="AN16" s="75">
        <v>220.0</v>
      </c>
      <c r="AO16" s="75">
        <v>369.0</v>
      </c>
      <c r="AP16" s="121">
        <v>11586.0</v>
      </c>
    </row>
    <row r="17">
      <c r="A17" s="251" t="s">
        <v>156</v>
      </c>
      <c r="B17" s="75">
        <v>125.0</v>
      </c>
      <c r="C17" s="75">
        <v>119.0</v>
      </c>
      <c r="D17" s="75">
        <v>121.0</v>
      </c>
      <c r="E17" s="75">
        <v>745.0</v>
      </c>
      <c r="F17" s="75">
        <v>53.0</v>
      </c>
      <c r="G17" s="75">
        <v>476.0</v>
      </c>
      <c r="H17" s="75">
        <v>810.0</v>
      </c>
      <c r="I17" s="75">
        <v>299.0</v>
      </c>
      <c r="J17" s="75">
        <v>190.0</v>
      </c>
      <c r="K17" s="75">
        <v>525.0</v>
      </c>
      <c r="L17" s="75">
        <v>49.0</v>
      </c>
      <c r="M17" s="75">
        <v>33.0</v>
      </c>
      <c r="N17" s="75">
        <v>93.0</v>
      </c>
      <c r="O17" s="75">
        <v>42.0</v>
      </c>
      <c r="P17" s="75">
        <v>40.0</v>
      </c>
      <c r="Q17" s="75">
        <v>347.0</v>
      </c>
      <c r="R17" s="75">
        <v>220.0</v>
      </c>
      <c r="S17" s="75">
        <v>15.0</v>
      </c>
      <c r="T17" s="75">
        <v>257.0</v>
      </c>
      <c r="U17" s="75">
        <v>165.0</v>
      </c>
      <c r="V17" s="75">
        <v>16.0</v>
      </c>
      <c r="W17" s="75">
        <v>279.0</v>
      </c>
      <c r="X17" s="75">
        <v>376.0</v>
      </c>
      <c r="Y17" s="75">
        <v>271.0</v>
      </c>
      <c r="Z17" s="75">
        <v>198.0</v>
      </c>
      <c r="AA17" s="75">
        <v>652.0</v>
      </c>
      <c r="AB17" s="75">
        <v>85.0</v>
      </c>
      <c r="AC17" s="121">
        <v>1326.0</v>
      </c>
      <c r="AD17" s="75">
        <v>42.0</v>
      </c>
      <c r="AE17" s="75">
        <v>110.0</v>
      </c>
      <c r="AF17" s="75">
        <v>343.0</v>
      </c>
      <c r="AG17" s="75">
        <v>271.0</v>
      </c>
      <c r="AH17" s="75">
        <v>48.0</v>
      </c>
      <c r="AI17" s="75">
        <v>43.0</v>
      </c>
      <c r="AJ17" s="75">
        <v>198.0</v>
      </c>
      <c r="AK17" s="75">
        <v>732.0</v>
      </c>
      <c r="AL17" s="75">
        <v>45.0</v>
      </c>
      <c r="AM17" s="75">
        <v>498.0</v>
      </c>
      <c r="AN17" s="75">
        <v>93.0</v>
      </c>
      <c r="AO17" s="75">
        <v>300.0</v>
      </c>
      <c r="AP17" s="121">
        <v>10650.0</v>
      </c>
    </row>
    <row r="18">
      <c r="A18" s="251" t="s">
        <v>157</v>
      </c>
      <c r="B18" s="75">
        <v>142.0</v>
      </c>
      <c r="C18" s="75">
        <v>187.0</v>
      </c>
      <c r="D18" s="75">
        <v>227.0</v>
      </c>
      <c r="E18" s="75">
        <v>653.0</v>
      </c>
      <c r="F18" s="75">
        <v>103.0</v>
      </c>
      <c r="G18" s="75">
        <v>418.0</v>
      </c>
      <c r="H18" s="121">
        <v>1071.0</v>
      </c>
      <c r="I18" s="75">
        <v>434.0</v>
      </c>
      <c r="J18" s="75">
        <v>281.0</v>
      </c>
      <c r="K18" s="75">
        <v>683.0</v>
      </c>
      <c r="L18" s="75">
        <v>67.0</v>
      </c>
      <c r="M18" s="75">
        <v>56.0</v>
      </c>
      <c r="N18" s="75">
        <v>112.0</v>
      </c>
      <c r="O18" s="75">
        <v>83.0</v>
      </c>
      <c r="P18" s="75">
        <v>71.0</v>
      </c>
      <c r="Q18" s="75">
        <v>327.0</v>
      </c>
      <c r="R18" s="75">
        <v>615.0</v>
      </c>
      <c r="S18" s="75">
        <v>25.0</v>
      </c>
      <c r="T18" s="75">
        <v>129.0</v>
      </c>
      <c r="U18" s="75">
        <v>151.0</v>
      </c>
      <c r="V18" s="75" t="s">
        <v>55</v>
      </c>
      <c r="W18" s="75">
        <v>253.0</v>
      </c>
      <c r="X18" s="75">
        <v>306.0</v>
      </c>
      <c r="Y18" s="75">
        <v>486.0</v>
      </c>
      <c r="Z18" s="75">
        <v>179.0</v>
      </c>
      <c r="AA18" s="75">
        <v>990.0</v>
      </c>
      <c r="AB18" s="75">
        <v>265.0</v>
      </c>
      <c r="AC18" s="121">
        <v>1519.0</v>
      </c>
      <c r="AD18" s="75">
        <v>118.0</v>
      </c>
      <c r="AE18" s="75">
        <v>149.0</v>
      </c>
      <c r="AF18" s="75">
        <v>409.0</v>
      </c>
      <c r="AG18" s="75">
        <v>338.0</v>
      </c>
      <c r="AH18" s="75">
        <v>78.0</v>
      </c>
      <c r="AI18" s="75">
        <v>366.0</v>
      </c>
      <c r="AJ18" s="121">
        <v>118.0</v>
      </c>
      <c r="AK18" s="121">
        <v>1016.0</v>
      </c>
      <c r="AL18" s="75">
        <v>53.0</v>
      </c>
      <c r="AM18" s="75">
        <v>245.0</v>
      </c>
      <c r="AN18" s="75">
        <v>290.0</v>
      </c>
      <c r="AO18" s="75">
        <v>753.0</v>
      </c>
      <c r="AP18" s="121">
        <v>13768.0</v>
      </c>
    </row>
    <row r="19">
      <c r="A19" s="251" t="s">
        <v>158</v>
      </c>
      <c r="B19" s="75">
        <v>343.0</v>
      </c>
      <c r="C19" s="75">
        <v>279.0</v>
      </c>
      <c r="D19" s="75">
        <v>123.0</v>
      </c>
      <c r="E19" s="75">
        <v>549.0</v>
      </c>
      <c r="F19" s="75">
        <v>83.0</v>
      </c>
      <c r="G19" s="75">
        <v>457.0</v>
      </c>
      <c r="H19" s="121">
        <v>1220.0</v>
      </c>
      <c r="I19" s="75">
        <v>913.0</v>
      </c>
      <c r="J19" s="75">
        <v>233.0</v>
      </c>
      <c r="K19" s="75">
        <v>575.0</v>
      </c>
      <c r="L19" s="75">
        <v>89.0</v>
      </c>
      <c r="M19" s="75">
        <v>36.0</v>
      </c>
      <c r="N19" s="75">
        <v>99.0</v>
      </c>
      <c r="O19" s="75">
        <v>86.0</v>
      </c>
      <c r="P19" s="75">
        <v>88.0</v>
      </c>
      <c r="Q19" s="75">
        <v>380.0</v>
      </c>
      <c r="R19" s="75">
        <v>368.0</v>
      </c>
      <c r="S19" s="75">
        <v>46.0</v>
      </c>
      <c r="T19" s="75">
        <v>232.0</v>
      </c>
      <c r="U19" s="75">
        <v>227.0</v>
      </c>
      <c r="V19" s="75">
        <v>6.0</v>
      </c>
      <c r="W19" s="75">
        <v>263.0</v>
      </c>
      <c r="X19" s="75">
        <v>415.0</v>
      </c>
      <c r="Y19" s="75">
        <v>460.0</v>
      </c>
      <c r="Z19" s="75">
        <v>118.0</v>
      </c>
      <c r="AA19" s="121">
        <v>1043.0</v>
      </c>
      <c r="AB19" s="75">
        <v>249.0</v>
      </c>
      <c r="AC19" s="121">
        <v>1868.0</v>
      </c>
      <c r="AD19" s="75">
        <v>79.0</v>
      </c>
      <c r="AE19" s="75">
        <v>124.0</v>
      </c>
      <c r="AF19" s="75">
        <v>236.0</v>
      </c>
      <c r="AG19" s="75">
        <v>466.0</v>
      </c>
      <c r="AH19" s="75">
        <v>248.0</v>
      </c>
      <c r="AI19" s="75">
        <v>204.0</v>
      </c>
      <c r="AJ19" s="75">
        <v>154.0</v>
      </c>
      <c r="AK19" s="121">
        <v>1609.0</v>
      </c>
      <c r="AL19" s="75">
        <v>95.0</v>
      </c>
      <c r="AM19" s="75">
        <v>391.0</v>
      </c>
      <c r="AN19" s="75">
        <v>219.0</v>
      </c>
      <c r="AO19" s="75">
        <v>219.0</v>
      </c>
      <c r="AP19" s="121">
        <v>14892.0</v>
      </c>
    </row>
    <row r="20">
      <c r="A20" s="251" t="s">
        <v>159</v>
      </c>
      <c r="B20" s="75">
        <v>451.0</v>
      </c>
      <c r="C20" s="75">
        <v>428.0</v>
      </c>
      <c r="D20" s="75">
        <v>230.0</v>
      </c>
      <c r="E20" s="75">
        <v>523.0</v>
      </c>
      <c r="F20" s="75">
        <v>153.0</v>
      </c>
      <c r="G20" s="75">
        <v>869.0</v>
      </c>
      <c r="H20" s="121">
        <v>1908.0</v>
      </c>
      <c r="I20" s="75">
        <v>674.0</v>
      </c>
      <c r="J20" s="75">
        <v>407.0</v>
      </c>
      <c r="K20" s="75">
        <v>960.0</v>
      </c>
      <c r="L20" s="75">
        <v>157.0</v>
      </c>
      <c r="M20" s="75">
        <v>85.0</v>
      </c>
      <c r="N20" s="75">
        <v>168.0</v>
      </c>
      <c r="O20" s="75">
        <v>136.0</v>
      </c>
      <c r="P20" s="75">
        <v>194.0</v>
      </c>
      <c r="Q20" s="75">
        <v>667.0</v>
      </c>
      <c r="R20" s="75">
        <v>509.0</v>
      </c>
      <c r="S20" s="75">
        <v>89.0</v>
      </c>
      <c r="T20" s="75">
        <v>510.0</v>
      </c>
      <c r="U20" s="75">
        <v>373.0</v>
      </c>
      <c r="V20" s="75">
        <v>8.0</v>
      </c>
      <c r="W20" s="75">
        <v>503.0</v>
      </c>
      <c r="X20" s="75">
        <v>671.0</v>
      </c>
      <c r="Y20" s="75">
        <v>674.0</v>
      </c>
      <c r="Z20" s="75">
        <v>242.0</v>
      </c>
      <c r="AA20" s="121">
        <v>1119.0</v>
      </c>
      <c r="AB20" s="75">
        <v>418.0</v>
      </c>
      <c r="AC20" s="121">
        <v>2653.0</v>
      </c>
      <c r="AD20" s="75">
        <v>140.0</v>
      </c>
      <c r="AE20" s="75">
        <v>236.0</v>
      </c>
      <c r="AF20" s="75">
        <v>507.0</v>
      </c>
      <c r="AG20" s="75">
        <v>595.0</v>
      </c>
      <c r="AH20" s="75">
        <v>224.0</v>
      </c>
      <c r="AI20" s="75">
        <v>231.0</v>
      </c>
      <c r="AJ20" s="75">
        <v>204.0</v>
      </c>
      <c r="AK20" s="121">
        <v>1802.0</v>
      </c>
      <c r="AL20" s="75">
        <v>123.0</v>
      </c>
      <c r="AM20" s="75">
        <v>566.0</v>
      </c>
      <c r="AN20" s="75">
        <v>259.0</v>
      </c>
      <c r="AO20" s="75">
        <v>409.0</v>
      </c>
      <c r="AP20" s="121">
        <v>21075.0</v>
      </c>
    </row>
    <row r="21">
      <c r="A21" s="251" t="s">
        <v>160</v>
      </c>
      <c r="B21" s="121">
        <v>1076.0</v>
      </c>
      <c r="C21" s="121">
        <v>1015.0</v>
      </c>
      <c r="D21" s="75">
        <v>597.0</v>
      </c>
      <c r="E21" s="75">
        <v>479.0</v>
      </c>
      <c r="F21" s="75">
        <v>465.0</v>
      </c>
      <c r="G21" s="121">
        <v>1695.0</v>
      </c>
      <c r="H21" s="121">
        <v>4961.0</v>
      </c>
      <c r="I21" s="121">
        <v>1686.0</v>
      </c>
      <c r="J21" s="75">
        <v>824.0</v>
      </c>
      <c r="K21" s="121">
        <v>2309.0</v>
      </c>
      <c r="L21" s="75">
        <v>310.0</v>
      </c>
      <c r="M21" s="75">
        <v>219.0</v>
      </c>
      <c r="N21" s="75">
        <v>483.0</v>
      </c>
      <c r="O21" s="75">
        <v>314.0</v>
      </c>
      <c r="P21" s="75">
        <v>482.0</v>
      </c>
      <c r="Q21" s="121">
        <v>1396.0</v>
      </c>
      <c r="R21" s="121">
        <v>1082.0</v>
      </c>
      <c r="S21" s="75">
        <v>224.0</v>
      </c>
      <c r="T21" s="75">
        <v>827.0</v>
      </c>
      <c r="U21" s="121">
        <v>1147.0</v>
      </c>
      <c r="V21" s="75">
        <v>11.0</v>
      </c>
      <c r="W21" s="121">
        <v>1129.0</v>
      </c>
      <c r="X21" s="121">
        <v>1750.0</v>
      </c>
      <c r="Y21" s="121">
        <v>1540.0</v>
      </c>
      <c r="Z21" s="75">
        <v>646.0</v>
      </c>
      <c r="AA21" s="121">
        <v>2298.0</v>
      </c>
      <c r="AB21" s="75">
        <v>912.0</v>
      </c>
      <c r="AC21" s="121">
        <v>5701.0</v>
      </c>
      <c r="AD21" s="75">
        <v>303.0</v>
      </c>
      <c r="AE21" s="75">
        <v>552.0</v>
      </c>
      <c r="AF21" s="121">
        <v>1143.0</v>
      </c>
      <c r="AG21" s="121">
        <v>2064.0</v>
      </c>
      <c r="AH21" s="75">
        <v>708.0</v>
      </c>
      <c r="AI21" s="75">
        <v>69.0</v>
      </c>
      <c r="AJ21" s="75">
        <v>531.0</v>
      </c>
      <c r="AK21" s="121">
        <v>5331.0</v>
      </c>
      <c r="AL21" s="75">
        <v>311.0</v>
      </c>
      <c r="AM21" s="121">
        <v>1426.0</v>
      </c>
      <c r="AN21" s="121">
        <v>1153.0</v>
      </c>
      <c r="AO21" s="121">
        <v>1016.0</v>
      </c>
      <c r="AP21" s="121">
        <v>50185.0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355</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165</v>
      </c>
      <c r="C11" s="122">
        <v>0.0</v>
      </c>
      <c r="D11" s="122">
        <v>0.0</v>
      </c>
      <c r="E11" s="122" t="s">
        <v>165</v>
      </c>
      <c r="F11" s="122">
        <v>0.0</v>
      </c>
      <c r="G11" s="122">
        <v>0.0</v>
      </c>
      <c r="H11" s="122" t="s">
        <v>165</v>
      </c>
      <c r="I11" s="122">
        <v>0.0</v>
      </c>
      <c r="J11" s="122">
        <v>0.0</v>
      </c>
      <c r="K11" s="122" t="s">
        <v>165</v>
      </c>
      <c r="L11" s="122">
        <v>0.0</v>
      </c>
      <c r="M11" s="122">
        <v>0.0</v>
      </c>
      <c r="N11" s="122">
        <v>0.0</v>
      </c>
      <c r="O11" s="122">
        <v>0.0</v>
      </c>
      <c r="P11" s="122">
        <v>0.0</v>
      </c>
      <c r="Q11" s="122" t="s">
        <v>165</v>
      </c>
      <c r="R11" s="122" t="s">
        <v>165</v>
      </c>
      <c r="S11" s="122">
        <v>0.0</v>
      </c>
      <c r="T11" s="122">
        <v>0.0</v>
      </c>
      <c r="U11" s="122">
        <v>0.0</v>
      </c>
      <c r="V11" s="122">
        <v>0.0</v>
      </c>
      <c r="W11" s="122">
        <v>0.0</v>
      </c>
      <c r="X11" s="122">
        <v>0.0</v>
      </c>
      <c r="Y11" s="122" t="s">
        <v>165</v>
      </c>
      <c r="Z11" s="122">
        <v>0.0</v>
      </c>
      <c r="AA11" s="122" t="s">
        <v>165</v>
      </c>
      <c r="AB11" s="122">
        <v>0.0</v>
      </c>
      <c r="AC11" s="122" t="s">
        <v>165</v>
      </c>
      <c r="AD11" s="122">
        <v>0.0</v>
      </c>
      <c r="AE11" s="122" t="s">
        <v>165</v>
      </c>
      <c r="AF11" s="122">
        <v>0.0</v>
      </c>
      <c r="AG11" s="122">
        <v>0.0</v>
      </c>
      <c r="AH11" s="122">
        <v>0.0</v>
      </c>
      <c r="AI11" s="122" t="s">
        <v>165</v>
      </c>
      <c r="AJ11" s="122">
        <v>0.0</v>
      </c>
      <c r="AK11" s="122">
        <v>0.0</v>
      </c>
      <c r="AL11" s="122">
        <v>0.0</v>
      </c>
      <c r="AM11" s="122">
        <v>0.0</v>
      </c>
      <c r="AN11" s="122">
        <v>0.0</v>
      </c>
      <c r="AO11" s="122">
        <v>2.0</v>
      </c>
    </row>
    <row r="12">
      <c r="A12" s="251" t="s">
        <v>150</v>
      </c>
      <c r="B12" s="122">
        <v>977.0</v>
      </c>
      <c r="C12" s="122">
        <v>180.0</v>
      </c>
      <c r="D12" s="122">
        <v>401.0</v>
      </c>
      <c r="E12" s="122" t="s">
        <v>165</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165</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225.0</v>
      </c>
      <c r="I14" s="122">
        <v>372.0</v>
      </c>
      <c r="J14" s="122">
        <v>344.0</v>
      </c>
      <c r="K14" s="122">
        <v>367.0</v>
      </c>
      <c r="L14" s="122">
        <v>324.0</v>
      </c>
      <c r="M14" s="122">
        <v>320.0</v>
      </c>
      <c r="N14" s="122">
        <v>239.0</v>
      </c>
      <c r="O14" s="122">
        <v>259.0</v>
      </c>
      <c r="P14" s="122">
        <v>91.0</v>
      </c>
      <c r="Q14" s="122">
        <v>438.0</v>
      </c>
      <c r="R14" s="122">
        <v>323.0</v>
      </c>
      <c r="S14" s="122" t="s">
        <v>165</v>
      </c>
      <c r="T14" s="122">
        <v>124.0</v>
      </c>
      <c r="U14" s="122">
        <v>302.0</v>
      </c>
      <c r="V14" s="122">
        <v>0.0</v>
      </c>
      <c r="W14" s="122">
        <v>73.0</v>
      </c>
      <c r="X14" s="122">
        <v>321.0</v>
      </c>
      <c r="Y14" s="122">
        <v>250.0</v>
      </c>
      <c r="Z14" s="122">
        <v>777.0</v>
      </c>
      <c r="AA14" s="122">
        <v>397.0</v>
      </c>
      <c r="AB14" s="122">
        <v>144.0</v>
      </c>
      <c r="AC14" s="122">
        <v>319.0</v>
      </c>
      <c r="AD14" s="122">
        <v>288.0</v>
      </c>
      <c r="AE14" s="122">
        <v>264.0</v>
      </c>
      <c r="AF14" s="122">
        <v>227.0</v>
      </c>
      <c r="AG14" s="122">
        <v>368.0</v>
      </c>
      <c r="AH14" s="122">
        <v>145.0</v>
      </c>
      <c r="AI14" s="122">
        <v>296.0</v>
      </c>
      <c r="AJ14" s="122">
        <v>54.0</v>
      </c>
      <c r="AK14" s="140">
        <v>7461.0</v>
      </c>
      <c r="AL14" s="122">
        <v>73.0</v>
      </c>
      <c r="AM14" s="122">
        <v>424.0</v>
      </c>
      <c r="AN14" s="122">
        <v>166.0</v>
      </c>
      <c r="AO14" s="122">
        <v>346.0</v>
      </c>
    </row>
    <row r="15">
      <c r="A15" s="251" t="s">
        <v>153</v>
      </c>
      <c r="B15" s="140">
        <v>1032.0</v>
      </c>
      <c r="C15" s="140">
        <v>1385.0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712.0</v>
      </c>
      <c r="Z15" s="140">
        <v>1223.0</v>
      </c>
      <c r="AA15" s="122">
        <v>785.0</v>
      </c>
      <c r="AB15" s="140">
        <v>1407.0</v>
      </c>
      <c r="AC15" s="122">
        <v>653.0</v>
      </c>
      <c r="AD15" s="140">
        <v>2059.0</v>
      </c>
      <c r="AE15" s="140">
        <v>1217.0</v>
      </c>
      <c r="AF15" s="140">
        <v>1540.0</v>
      </c>
      <c r="AG15" s="140">
        <v>1539.0</v>
      </c>
      <c r="AH15" s="122">
        <v>797.0</v>
      </c>
      <c r="AI15" s="140">
        <v>1182.0</v>
      </c>
      <c r="AJ15" s="140">
        <v>233.0</v>
      </c>
      <c r="AK15" s="140">
        <v>16313.0</v>
      </c>
      <c r="AL15" s="140">
        <v>266.0</v>
      </c>
      <c r="AM15" s="140">
        <v>1326.0</v>
      </c>
      <c r="AN15" s="140">
        <v>944.0</v>
      </c>
      <c r="AO15" s="140">
        <v>1167.0</v>
      </c>
    </row>
    <row r="16">
      <c r="A16" s="251" t="s">
        <v>154</v>
      </c>
      <c r="B16" s="122">
        <v>940.0</v>
      </c>
      <c r="C16" s="140">
        <v>1273.0</v>
      </c>
      <c r="D16" s="140">
        <v>1185.0</v>
      </c>
      <c r="E16" s="140">
        <v>1744.0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1238.0</v>
      </c>
      <c r="Z16" s="122">
        <v>850.0</v>
      </c>
      <c r="AA16" s="122">
        <v>698.0</v>
      </c>
      <c r="AB16" s="122">
        <v>815.0</v>
      </c>
      <c r="AC16" s="122">
        <v>612.0</v>
      </c>
      <c r="AD16" s="122">
        <v>577.0</v>
      </c>
      <c r="AE16" s="140">
        <v>1358.0</v>
      </c>
      <c r="AF16" s="140">
        <v>1757.0</v>
      </c>
      <c r="AG16" s="122">
        <v>582.0</v>
      </c>
      <c r="AH16" s="122">
        <v>620.0</v>
      </c>
      <c r="AI16" s="140">
        <v>915.0</v>
      </c>
      <c r="AJ16" s="122">
        <v>194.0</v>
      </c>
      <c r="AK16" s="140">
        <v>11086.0</v>
      </c>
      <c r="AL16" s="122">
        <v>190.0</v>
      </c>
      <c r="AM16" s="122">
        <v>756.0</v>
      </c>
      <c r="AN16" s="122">
        <v>390.0</v>
      </c>
      <c r="AO16" s="122">
        <v>875.0</v>
      </c>
    </row>
    <row r="17">
      <c r="A17" s="251" t="s">
        <v>155</v>
      </c>
      <c r="B17" s="122">
        <v>983.0</v>
      </c>
      <c r="C17" s="140">
        <v>1327.0</v>
      </c>
      <c r="D17" s="140">
        <v>1027.0</v>
      </c>
      <c r="E17" s="140">
        <v>2678.0</v>
      </c>
      <c r="F17" s="122">
        <v>977.0</v>
      </c>
      <c r="G17" s="140">
        <v>1183.0</v>
      </c>
      <c r="H17" s="140">
        <v>1085.0</v>
      </c>
      <c r="I17" s="140">
        <v>1094.0</v>
      </c>
      <c r="J17" s="140">
        <v>1300.0</v>
      </c>
      <c r="K17" s="140">
        <v>1106.0</v>
      </c>
      <c r="L17" s="122">
        <v>899.0</v>
      </c>
      <c r="M17" s="140">
        <v>1024.0</v>
      </c>
      <c r="N17" s="140">
        <v>1143.0</v>
      </c>
      <c r="O17" s="140">
        <v>1923.0</v>
      </c>
      <c r="P17" s="122">
        <v>782.0</v>
      </c>
      <c r="Q17" s="140">
        <v>1454.0</v>
      </c>
      <c r="R17" s="140">
        <v>1007.0</v>
      </c>
      <c r="S17" s="122">
        <v>200.0</v>
      </c>
      <c r="T17" s="122">
        <v>442.0</v>
      </c>
      <c r="U17" s="122">
        <v>791.0</v>
      </c>
      <c r="V17" s="122">
        <v>846.0</v>
      </c>
      <c r="W17" s="122">
        <v>339.0</v>
      </c>
      <c r="X17" s="140">
        <v>1412.0</v>
      </c>
      <c r="Y17" s="140">
        <v>1269.0</v>
      </c>
      <c r="Z17" s="140">
        <v>1134.0</v>
      </c>
      <c r="AA17" s="122">
        <v>923.0</v>
      </c>
      <c r="AB17" s="122">
        <v>563.0</v>
      </c>
      <c r="AC17" s="122">
        <v>727.0</v>
      </c>
      <c r="AD17" s="122">
        <v>918.0</v>
      </c>
      <c r="AE17" s="140">
        <v>1075.0</v>
      </c>
      <c r="AF17" s="140">
        <v>1299.0</v>
      </c>
      <c r="AG17" s="122">
        <v>696.0</v>
      </c>
      <c r="AH17" s="122">
        <v>961.0</v>
      </c>
      <c r="AI17" s="140">
        <v>2412.0</v>
      </c>
      <c r="AJ17" s="140">
        <v>133.0</v>
      </c>
      <c r="AK17" s="140">
        <v>23450.0</v>
      </c>
      <c r="AL17" s="140">
        <v>266.0</v>
      </c>
      <c r="AM17" s="140">
        <v>1560.0</v>
      </c>
      <c r="AN17" s="122">
        <v>530.0</v>
      </c>
      <c r="AO17" s="140">
        <v>1097.0</v>
      </c>
    </row>
    <row r="18">
      <c r="A18" s="251" t="s">
        <v>156</v>
      </c>
      <c r="B18" s="122">
        <v>773.0</v>
      </c>
      <c r="C18" s="122">
        <v>535.0</v>
      </c>
      <c r="D18" s="122">
        <v>735.0</v>
      </c>
      <c r="E18" s="140">
        <v>3844.0</v>
      </c>
      <c r="F18" s="122">
        <v>681.0</v>
      </c>
      <c r="G18" s="140">
        <v>1377.0</v>
      </c>
      <c r="H18" s="122">
        <v>998.0</v>
      </c>
      <c r="I18" s="122">
        <v>863.0</v>
      </c>
      <c r="J18" s="140">
        <v>1453.0</v>
      </c>
      <c r="K18" s="140">
        <v>1106.0</v>
      </c>
      <c r="L18" s="122">
        <v>723.0</v>
      </c>
      <c r="M18" s="122">
        <v>704.0</v>
      </c>
      <c r="N18" s="122">
        <v>924.0</v>
      </c>
      <c r="O18" s="122">
        <v>518.0</v>
      </c>
      <c r="P18" s="122">
        <v>728.0</v>
      </c>
      <c r="Q18" s="140">
        <v>1187.0</v>
      </c>
      <c r="R18" s="140">
        <v>1016.0</v>
      </c>
      <c r="S18" s="122">
        <v>428.0</v>
      </c>
      <c r="T18" s="140">
        <v>1598.0</v>
      </c>
      <c r="U18" s="140">
        <v>1061.0</v>
      </c>
      <c r="V18" s="140">
        <v>1935.0</v>
      </c>
      <c r="W18" s="140">
        <v>1127.0</v>
      </c>
      <c r="X18" s="140">
        <v>1435.0</v>
      </c>
      <c r="Y18" s="122">
        <v>835.0</v>
      </c>
      <c r="Z18" s="140">
        <v>1603.0</v>
      </c>
      <c r="AA18" s="122">
        <v>909.0</v>
      </c>
      <c r="AB18" s="122">
        <v>488.0</v>
      </c>
      <c r="AC18" s="122">
        <v>739.0</v>
      </c>
      <c r="AD18" s="122">
        <v>551.0</v>
      </c>
      <c r="AE18" s="140">
        <v>1037.0</v>
      </c>
      <c r="AF18" s="140">
        <v>1586.0</v>
      </c>
      <c r="AG18" s="122">
        <v>882.0</v>
      </c>
      <c r="AH18" s="122">
        <v>303.0</v>
      </c>
      <c r="AI18" s="140">
        <v>410.0</v>
      </c>
      <c r="AJ18" s="122">
        <v>244.0</v>
      </c>
      <c r="AK18" s="140">
        <v>11847.0</v>
      </c>
      <c r="AL18" s="140">
        <v>155.0</v>
      </c>
      <c r="AM18" s="140">
        <v>2201.0</v>
      </c>
      <c r="AN18" s="122">
        <v>224.0</v>
      </c>
      <c r="AO18" s="140">
        <v>1008.0</v>
      </c>
    </row>
    <row r="19">
      <c r="A19" s="251" t="s">
        <v>157</v>
      </c>
      <c r="B19" s="122">
        <v>878.0</v>
      </c>
      <c r="C19" s="122">
        <v>841.0</v>
      </c>
      <c r="D19" s="140">
        <v>1380.0</v>
      </c>
      <c r="E19" s="140">
        <v>3369.0</v>
      </c>
      <c r="F19" s="140">
        <v>1324.0</v>
      </c>
      <c r="G19" s="140">
        <v>1209.0</v>
      </c>
      <c r="H19" s="140">
        <v>1319.0</v>
      </c>
      <c r="I19" s="140">
        <v>1252.0</v>
      </c>
      <c r="J19" s="140">
        <v>2149.0</v>
      </c>
      <c r="K19" s="140">
        <v>1439.0</v>
      </c>
      <c r="L19" s="122">
        <v>988.0</v>
      </c>
      <c r="M19" s="140">
        <v>1194.0</v>
      </c>
      <c r="N19" s="140">
        <v>1113.0</v>
      </c>
      <c r="O19" s="140">
        <v>1023.0</v>
      </c>
      <c r="P19" s="140">
        <v>1292.0</v>
      </c>
      <c r="Q19" s="140">
        <v>1119.0</v>
      </c>
      <c r="R19" s="140">
        <v>2841.0</v>
      </c>
      <c r="S19" s="122">
        <v>713.0</v>
      </c>
      <c r="T19" s="122">
        <v>802.0</v>
      </c>
      <c r="U19" s="122">
        <v>971.0</v>
      </c>
      <c r="V19" s="122" t="s">
        <v>165</v>
      </c>
      <c r="W19" s="140">
        <v>1022.0</v>
      </c>
      <c r="X19" s="140">
        <v>1168.0</v>
      </c>
      <c r="Y19" s="140">
        <v>1497.0</v>
      </c>
      <c r="Z19" s="140">
        <v>1450.0</v>
      </c>
      <c r="AA19" s="140">
        <v>1380.0</v>
      </c>
      <c r="AB19" s="140">
        <v>1521.0</v>
      </c>
      <c r="AC19" s="122">
        <v>847.0</v>
      </c>
      <c r="AD19" s="140">
        <v>1547.0</v>
      </c>
      <c r="AE19" s="140">
        <v>1405.0</v>
      </c>
      <c r="AF19" s="140">
        <v>1891.0</v>
      </c>
      <c r="AG19" s="140">
        <v>1100.0</v>
      </c>
      <c r="AH19" s="122">
        <v>493.0</v>
      </c>
      <c r="AI19" s="140">
        <v>3490.0</v>
      </c>
      <c r="AJ19" s="140">
        <v>146.0</v>
      </c>
      <c r="AK19" s="140">
        <v>16443.0</v>
      </c>
      <c r="AL19" s="122">
        <v>183.0</v>
      </c>
      <c r="AM19" s="140">
        <v>1083.0</v>
      </c>
      <c r="AN19" s="140">
        <v>698.0</v>
      </c>
      <c r="AO19" s="140">
        <v>1303.0</v>
      </c>
    </row>
    <row r="20">
      <c r="A20" s="251" t="s">
        <v>158</v>
      </c>
      <c r="B20" s="140">
        <v>2120.0</v>
      </c>
      <c r="C20" s="140">
        <v>1255.0</v>
      </c>
      <c r="D20" s="140">
        <v>748.0</v>
      </c>
      <c r="E20" s="140">
        <v>2833.0</v>
      </c>
      <c r="F20" s="140">
        <v>1067.0</v>
      </c>
      <c r="G20" s="140">
        <v>1322.0</v>
      </c>
      <c r="H20" s="140">
        <v>1503.0</v>
      </c>
      <c r="I20" s="140">
        <v>2635.0</v>
      </c>
      <c r="J20" s="140">
        <v>1782.0</v>
      </c>
      <c r="K20" s="140">
        <v>1212.0</v>
      </c>
      <c r="L20" s="140">
        <v>1312.0</v>
      </c>
      <c r="M20" s="140">
        <v>768.0</v>
      </c>
      <c r="N20" s="140">
        <v>984.0</v>
      </c>
      <c r="O20" s="140">
        <v>1060.0</v>
      </c>
      <c r="P20" s="140">
        <v>1601.0</v>
      </c>
      <c r="Q20" s="140">
        <v>1300.0</v>
      </c>
      <c r="R20" s="140">
        <v>1700.0</v>
      </c>
      <c r="S20" s="140">
        <v>1312.0</v>
      </c>
      <c r="T20" s="140">
        <v>1443.0</v>
      </c>
      <c r="U20" s="140">
        <v>1460.0</v>
      </c>
      <c r="V20" s="140">
        <v>726.0</v>
      </c>
      <c r="W20" s="140">
        <v>1062.0</v>
      </c>
      <c r="X20" s="140">
        <v>1584.0</v>
      </c>
      <c r="Y20" s="140">
        <v>1417.0</v>
      </c>
      <c r="Z20" s="140">
        <v>956.0</v>
      </c>
      <c r="AA20" s="140">
        <v>1454.0</v>
      </c>
      <c r="AB20" s="140">
        <v>1430.0</v>
      </c>
      <c r="AC20" s="140">
        <v>1041.0</v>
      </c>
      <c r="AD20" s="140">
        <v>1036.0</v>
      </c>
      <c r="AE20" s="140">
        <v>1169.0</v>
      </c>
      <c r="AF20" s="140">
        <v>1091.0</v>
      </c>
      <c r="AG20" s="140">
        <v>1516.0</v>
      </c>
      <c r="AH20" s="140">
        <v>1568.0</v>
      </c>
      <c r="AI20" s="140">
        <v>1945.0</v>
      </c>
      <c r="AJ20" s="140">
        <v>190.0</v>
      </c>
      <c r="AK20" s="140">
        <v>26040.0</v>
      </c>
      <c r="AL20" s="140">
        <v>328.0</v>
      </c>
      <c r="AM20" s="140">
        <v>1728.0</v>
      </c>
      <c r="AN20" s="140">
        <v>527.0</v>
      </c>
      <c r="AO20" s="140">
        <v>1409.0</v>
      </c>
    </row>
    <row r="21">
      <c r="A21" s="251" t="s">
        <v>159</v>
      </c>
      <c r="B21" s="140">
        <v>2788.0</v>
      </c>
      <c r="C21" s="140">
        <v>1925.0</v>
      </c>
      <c r="D21" s="140">
        <v>1398.0</v>
      </c>
      <c r="E21" s="140">
        <v>2698.0</v>
      </c>
      <c r="F21" s="140">
        <v>1967.0</v>
      </c>
      <c r="G21" s="140">
        <v>2513.0</v>
      </c>
      <c r="H21" s="140">
        <v>2350.0</v>
      </c>
      <c r="I21" s="140">
        <v>1945.0</v>
      </c>
      <c r="J21" s="140">
        <v>3113.0</v>
      </c>
      <c r="K21" s="140">
        <v>2023.0</v>
      </c>
      <c r="L21" s="140">
        <v>2315.0</v>
      </c>
      <c r="M21" s="140">
        <v>1813.0</v>
      </c>
      <c r="N21" s="140">
        <v>1670.0</v>
      </c>
      <c r="O21" s="140">
        <v>1677.0</v>
      </c>
      <c r="P21" s="140">
        <v>3530.0</v>
      </c>
      <c r="Q21" s="140">
        <v>2282.0</v>
      </c>
      <c r="R21" s="140">
        <v>2352.0</v>
      </c>
      <c r="S21" s="140">
        <v>2539.0</v>
      </c>
      <c r="T21" s="140">
        <v>3172.0</v>
      </c>
      <c r="U21" s="140">
        <v>2399.0</v>
      </c>
      <c r="V21" s="122">
        <v>967.0</v>
      </c>
      <c r="W21" s="140">
        <v>2031.0</v>
      </c>
      <c r="X21" s="140">
        <v>2560.0</v>
      </c>
      <c r="Y21" s="140">
        <v>2076.0</v>
      </c>
      <c r="Z21" s="140">
        <v>1960.0</v>
      </c>
      <c r="AA21" s="140">
        <v>1559.0</v>
      </c>
      <c r="AB21" s="140">
        <v>2400.0</v>
      </c>
      <c r="AC21" s="140">
        <v>1479.0</v>
      </c>
      <c r="AD21" s="140">
        <v>1836.0</v>
      </c>
      <c r="AE21" s="140">
        <v>2226.0</v>
      </c>
      <c r="AF21" s="140">
        <v>2344.0</v>
      </c>
      <c r="AG21" s="140">
        <v>1936.0</v>
      </c>
      <c r="AH21" s="140">
        <v>1416.0</v>
      </c>
      <c r="AI21" s="140">
        <v>2203.0</v>
      </c>
      <c r="AJ21" s="122">
        <v>252.0</v>
      </c>
      <c r="AK21" s="140">
        <v>29163.0</v>
      </c>
      <c r="AL21" s="122">
        <v>425.0</v>
      </c>
      <c r="AM21" s="140">
        <v>2502.0</v>
      </c>
      <c r="AN21" s="122">
        <v>624.0</v>
      </c>
      <c r="AO21" s="140">
        <v>1995.0</v>
      </c>
    </row>
    <row r="22">
      <c r="A22" s="251" t="s">
        <v>160</v>
      </c>
      <c r="B22" s="140">
        <v>6651.0</v>
      </c>
      <c r="C22" s="140">
        <v>4565.0</v>
      </c>
      <c r="D22" s="140">
        <v>3629.0</v>
      </c>
      <c r="E22" s="140">
        <v>2471.0</v>
      </c>
      <c r="F22" s="140">
        <v>5977.0</v>
      </c>
      <c r="G22" s="140">
        <v>4902.0</v>
      </c>
      <c r="H22" s="140">
        <v>6110.0</v>
      </c>
      <c r="I22" s="140">
        <v>4866.0</v>
      </c>
      <c r="J22" s="140">
        <v>6303.0</v>
      </c>
      <c r="K22" s="140">
        <v>4866.0</v>
      </c>
      <c r="L22" s="140">
        <v>4571.0</v>
      </c>
      <c r="M22" s="140">
        <v>4671.0</v>
      </c>
      <c r="N22" s="140">
        <v>4800.0</v>
      </c>
      <c r="O22" s="140">
        <v>3871.0</v>
      </c>
      <c r="P22" s="140">
        <v>8770.0</v>
      </c>
      <c r="Q22" s="140">
        <v>4775.0</v>
      </c>
      <c r="R22" s="140">
        <v>4999.0</v>
      </c>
      <c r="S22" s="140">
        <v>6391.0</v>
      </c>
      <c r="T22" s="140">
        <v>5144.0</v>
      </c>
      <c r="U22" s="140">
        <v>7376.0</v>
      </c>
      <c r="V22" s="140">
        <v>1330.0</v>
      </c>
      <c r="W22" s="140">
        <v>4559.0</v>
      </c>
      <c r="X22" s="140">
        <v>6678.0</v>
      </c>
      <c r="Y22" s="140">
        <v>4744.0</v>
      </c>
      <c r="Z22" s="140">
        <v>5231.0</v>
      </c>
      <c r="AA22" s="140">
        <v>3203.0</v>
      </c>
      <c r="AB22" s="140">
        <v>5236.0</v>
      </c>
      <c r="AC22" s="140">
        <v>3177.0</v>
      </c>
      <c r="AD22" s="140">
        <v>3973.0</v>
      </c>
      <c r="AE22" s="140">
        <v>5206.0</v>
      </c>
      <c r="AF22" s="140">
        <v>5284.0</v>
      </c>
      <c r="AG22" s="140">
        <v>6715.0</v>
      </c>
      <c r="AH22" s="140">
        <v>4476.0</v>
      </c>
      <c r="AI22" s="122">
        <v>658.0</v>
      </c>
      <c r="AJ22" s="122">
        <v>655.0</v>
      </c>
      <c r="AK22" s="140">
        <v>86276.0</v>
      </c>
      <c r="AL22" s="140">
        <v>1074.0</v>
      </c>
      <c r="AM22" s="140">
        <v>6303.0</v>
      </c>
      <c r="AN22" s="140">
        <v>2776.0</v>
      </c>
      <c r="AO22" s="140">
        <v>4750.0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356</v>
      </c>
      <c r="B1" s="255" t="s">
        <v>357</v>
      </c>
      <c r="C1" s="256" t="s">
        <v>222</v>
      </c>
      <c r="D1" s="256" t="s">
        <v>223</v>
      </c>
      <c r="E1" s="256" t="s">
        <v>224</v>
      </c>
      <c r="F1" s="256" t="s">
        <v>225</v>
      </c>
      <c r="G1" s="256" t="s">
        <v>25</v>
      </c>
      <c r="H1" s="256" t="s">
        <v>226</v>
      </c>
    </row>
    <row r="2" ht="14.25" customHeight="1">
      <c r="A2" s="257" t="s">
        <v>229</v>
      </c>
      <c r="B2" s="255" t="s">
        <v>274</v>
      </c>
      <c r="C2" s="258">
        <f>Municipality!B2</f>
        <v>1190</v>
      </c>
      <c r="D2" s="258">
        <f>Municipality!C2</f>
        <v>7356</v>
      </c>
      <c r="E2" s="258">
        <f>Municipality!D2</f>
        <v>69</v>
      </c>
      <c r="F2" s="258">
        <f>Municipality!E2</f>
        <v>427</v>
      </c>
      <c r="G2" s="258">
        <f>Municipality!F2</f>
        <v>16</v>
      </c>
      <c r="H2" s="258">
        <f>Municipality!G2</f>
        <v>99</v>
      </c>
    </row>
    <row r="3" ht="14.25" customHeight="1">
      <c r="A3" s="257" t="s">
        <v>230</v>
      </c>
      <c r="B3" s="255" t="s">
        <v>275</v>
      </c>
      <c r="C3" s="258">
        <f>Municipality!B3</f>
        <v>2202</v>
      </c>
      <c r="D3" s="258">
        <f>Municipality!C3</f>
        <v>9904</v>
      </c>
      <c r="E3" s="258">
        <f>Municipality!D3</f>
        <v>123</v>
      </c>
      <c r="F3" s="258">
        <f>Municipality!E3</f>
        <v>553</v>
      </c>
      <c r="G3" s="258">
        <f>Municipality!F3</f>
        <v>73</v>
      </c>
      <c r="H3" s="258">
        <f>Municipality!G3</f>
        <v>328</v>
      </c>
    </row>
    <row r="4" ht="14.25" customHeight="1">
      <c r="A4" s="257" t="s">
        <v>231</v>
      </c>
      <c r="B4" s="255" t="s">
        <v>276</v>
      </c>
      <c r="C4" s="258">
        <f>Municipality!B4</f>
        <v>1769</v>
      </c>
      <c r="D4" s="258">
        <f>Municipality!C4</f>
        <v>10752</v>
      </c>
      <c r="E4" s="258">
        <f>Municipality!D4</f>
        <v>67</v>
      </c>
      <c r="F4" s="258">
        <f>Municipality!E4</f>
        <v>407</v>
      </c>
      <c r="G4" s="258">
        <f>Municipality!F4</f>
        <v>66</v>
      </c>
      <c r="H4" s="258">
        <f>Municipality!G4</f>
        <v>401</v>
      </c>
    </row>
    <row r="5" ht="14.25" customHeight="1">
      <c r="A5" s="257" t="s">
        <v>232</v>
      </c>
      <c r="B5" s="255" t="s">
        <v>277</v>
      </c>
      <c r="C5" s="258">
        <f>Municipality!B5</f>
        <v>4127</v>
      </c>
      <c r="D5" s="258">
        <f>Municipality!C5</f>
        <v>21293</v>
      </c>
      <c r="E5" s="258">
        <f>Municipality!D5</f>
        <v>225</v>
      </c>
      <c r="F5" s="258">
        <f>Municipality!E5</f>
        <v>1161</v>
      </c>
      <c r="G5" s="258">
        <f>Municipality!F5</f>
        <v>25</v>
      </c>
      <c r="H5" s="258">
        <f>Municipality!G5</f>
        <v>129</v>
      </c>
    </row>
    <row r="6" ht="14.25" customHeight="1">
      <c r="A6" s="257" t="s">
        <v>233</v>
      </c>
      <c r="B6" s="255" t="s">
        <v>278</v>
      </c>
      <c r="C6" s="258">
        <f>Municipality!B6</f>
        <v>521</v>
      </c>
      <c r="D6" s="258">
        <f>Municipality!C6</f>
        <v>6697</v>
      </c>
      <c r="E6" s="258">
        <f>Municipality!D6</f>
        <v>24</v>
      </c>
      <c r="F6" s="258">
        <f>Municipality!E6</f>
        <v>308</v>
      </c>
      <c r="G6" s="258" t="str">
        <f>Municipality!F6</f>
        <v>&lt;5</v>
      </c>
      <c r="H6" s="258" t="str">
        <f>Municipality!G6</f>
        <v>--</v>
      </c>
    </row>
    <row r="7" ht="14.25" customHeight="1">
      <c r="A7" s="257" t="s">
        <v>234</v>
      </c>
      <c r="B7" s="255" t="s">
        <v>279</v>
      </c>
      <c r="C7" s="258">
        <f>Municipality!B7</f>
        <v>3581</v>
      </c>
      <c r="D7" s="258">
        <f>Municipality!C7</f>
        <v>10357</v>
      </c>
      <c r="E7" s="258">
        <f>Municipality!D7</f>
        <v>214</v>
      </c>
      <c r="F7" s="258">
        <f>Municipality!E7</f>
        <v>619</v>
      </c>
      <c r="G7" s="258">
        <f>Municipality!F7</f>
        <v>96</v>
      </c>
      <c r="H7" s="258">
        <f>Municipality!G7</f>
        <v>278</v>
      </c>
    </row>
    <row r="8" ht="14.25" customHeight="1">
      <c r="A8" s="257" t="s">
        <v>235</v>
      </c>
      <c r="B8" s="255" t="s">
        <v>280</v>
      </c>
      <c r="C8" s="258">
        <f>Municipality!B8</f>
        <v>11589</v>
      </c>
      <c r="D8" s="258">
        <f>Municipality!C8</f>
        <v>14273</v>
      </c>
      <c r="E8" s="258">
        <f>Municipality!D8</f>
        <v>693</v>
      </c>
      <c r="F8" s="258">
        <f>Municipality!E8</f>
        <v>853</v>
      </c>
      <c r="G8" s="258">
        <f>Municipality!F8</f>
        <v>137</v>
      </c>
      <c r="H8" s="258">
        <f>Municipality!G8</f>
        <v>169</v>
      </c>
    </row>
    <row r="9" ht="14.25" customHeight="1">
      <c r="A9" s="257" t="s">
        <v>236</v>
      </c>
      <c r="B9" s="255" t="s">
        <v>281</v>
      </c>
      <c r="C9" s="258">
        <f>Municipality!B9</f>
        <v>3735</v>
      </c>
      <c r="D9" s="258">
        <f>Municipality!C9</f>
        <v>10779</v>
      </c>
      <c r="E9" s="258">
        <f>Municipality!D9</f>
        <v>217</v>
      </c>
      <c r="F9" s="258">
        <f>Municipality!E9</f>
        <v>626</v>
      </c>
      <c r="G9" s="258">
        <f>Municipality!F9</f>
        <v>78</v>
      </c>
      <c r="H9" s="258">
        <f>Municipality!G9</f>
        <v>225</v>
      </c>
    </row>
    <row r="10" ht="14.25" customHeight="1">
      <c r="A10" s="257" t="s">
        <v>237</v>
      </c>
      <c r="B10" s="255" t="s">
        <v>282</v>
      </c>
      <c r="C10" s="258">
        <f>Municipality!B10</f>
        <v>1561</v>
      </c>
      <c r="D10" s="258">
        <f>Municipality!C10</f>
        <v>11941</v>
      </c>
      <c r="E10" s="258">
        <f>Municipality!D10</f>
        <v>77</v>
      </c>
      <c r="F10" s="258">
        <f>Municipality!E10</f>
        <v>589</v>
      </c>
      <c r="G10" s="258">
        <f>Municipality!F10</f>
        <v>26</v>
      </c>
      <c r="H10" s="258">
        <f>Municipality!G10</f>
        <v>199</v>
      </c>
    </row>
    <row r="11" ht="14.25" customHeight="1">
      <c r="A11" s="257" t="s">
        <v>238</v>
      </c>
      <c r="B11" s="255" t="s">
        <v>283</v>
      </c>
      <c r="C11" s="258">
        <f>Municipality!B11</f>
        <v>5107</v>
      </c>
      <c r="D11" s="258">
        <f>Municipality!C11</f>
        <v>10763</v>
      </c>
      <c r="E11" s="258">
        <f>Municipality!D11</f>
        <v>380</v>
      </c>
      <c r="F11" s="258">
        <f>Municipality!E11</f>
        <v>801</v>
      </c>
      <c r="G11" s="258">
        <f>Municipality!F11</f>
        <v>197</v>
      </c>
      <c r="H11" s="258">
        <f>Municipality!G11</f>
        <v>415</v>
      </c>
    </row>
    <row r="12" ht="14.25" customHeight="1">
      <c r="A12" s="257" t="s">
        <v>239</v>
      </c>
      <c r="B12" s="255" t="s">
        <v>284</v>
      </c>
      <c r="C12" s="258">
        <f>Municipality!B12</f>
        <v>498</v>
      </c>
      <c r="D12" s="258">
        <f>Municipality!C12</f>
        <v>7343</v>
      </c>
      <c r="E12" s="258">
        <f>Municipality!D12</f>
        <v>34</v>
      </c>
      <c r="F12" s="258">
        <f>Municipality!E12</f>
        <v>501</v>
      </c>
      <c r="G12" s="258">
        <f>Municipality!F12</f>
        <v>7</v>
      </c>
      <c r="H12" s="258">
        <f>Municipality!G12</f>
        <v>103</v>
      </c>
    </row>
    <row r="13" ht="14.25" customHeight="1">
      <c r="A13" s="257" t="s">
        <v>240</v>
      </c>
      <c r="B13" s="255" t="s">
        <v>285</v>
      </c>
      <c r="C13" s="258">
        <f>Municipality!B13</f>
        <v>448</v>
      </c>
      <c r="D13" s="258">
        <f>Municipality!C13</f>
        <v>9554</v>
      </c>
      <c r="E13" s="258">
        <f>Municipality!D13</f>
        <v>15</v>
      </c>
      <c r="F13" s="258">
        <f>Municipality!E13</f>
        <v>320</v>
      </c>
      <c r="G13" s="258">
        <f>Municipality!F13</f>
        <v>6</v>
      </c>
      <c r="H13" s="258">
        <f>Municipality!G13</f>
        <v>128</v>
      </c>
    </row>
    <row r="14" ht="14.25" customHeight="1">
      <c r="A14" s="257" t="s">
        <v>241</v>
      </c>
      <c r="B14" s="255" t="s">
        <v>286</v>
      </c>
      <c r="C14" s="258">
        <f>Municipality!B14</f>
        <v>758</v>
      </c>
      <c r="D14" s="258">
        <f>Municipality!C14</f>
        <v>7533</v>
      </c>
      <c r="E14" s="258">
        <f>Municipality!D14</f>
        <v>27</v>
      </c>
      <c r="F14" s="258">
        <f>Municipality!E14</f>
        <v>268</v>
      </c>
      <c r="G14" s="258">
        <f>Municipality!F14</f>
        <v>7</v>
      </c>
      <c r="H14" s="258">
        <f>Municipality!G14</f>
        <v>70</v>
      </c>
    </row>
    <row r="15" ht="14.25" customHeight="1">
      <c r="A15" s="257" t="s">
        <v>242</v>
      </c>
      <c r="B15" s="255" t="s">
        <v>287</v>
      </c>
      <c r="C15" s="258">
        <f>Municipality!B15</f>
        <v>556</v>
      </c>
      <c r="D15" s="258">
        <f>Municipality!C15</f>
        <v>6855</v>
      </c>
      <c r="E15" s="258">
        <f>Municipality!D15</f>
        <v>32</v>
      </c>
      <c r="F15" s="258">
        <f>Municipality!E15</f>
        <v>395</v>
      </c>
      <c r="G15" s="258" t="str">
        <f>Municipality!F15</f>
        <v>&lt;5</v>
      </c>
      <c r="H15" s="258" t="str">
        <f>Municipality!G15</f>
        <v>--</v>
      </c>
    </row>
    <row r="16" ht="14.25" customHeight="1">
      <c r="A16" s="257" t="s">
        <v>243</v>
      </c>
      <c r="B16" s="255" t="s">
        <v>288</v>
      </c>
      <c r="C16" s="258">
        <f>Municipality!B16</f>
        <v>308</v>
      </c>
      <c r="D16" s="258">
        <f>Municipality!C16</f>
        <v>5604</v>
      </c>
      <c r="E16" s="258">
        <f>Municipality!D16</f>
        <v>10</v>
      </c>
      <c r="F16" s="258">
        <f>Municipality!E16</f>
        <v>182</v>
      </c>
      <c r="G16" s="258" t="str">
        <f>Municipality!F16</f>
        <v>&lt;5</v>
      </c>
      <c r="H16" s="258" t="str">
        <f>Municipality!G16</f>
        <v>--</v>
      </c>
    </row>
    <row r="17" ht="14.25" customHeight="1">
      <c r="A17" s="257" t="s">
        <v>244</v>
      </c>
      <c r="B17" s="255" t="s">
        <v>289</v>
      </c>
      <c r="C17" s="258">
        <f>Municipality!B17</f>
        <v>4245</v>
      </c>
      <c r="D17" s="258">
        <f>Municipality!C17</f>
        <v>14520</v>
      </c>
      <c r="E17" s="258">
        <f>Municipality!D17</f>
        <v>280</v>
      </c>
      <c r="F17" s="258">
        <f>Municipality!E17</f>
        <v>958</v>
      </c>
      <c r="G17" s="258">
        <f>Municipality!F17</f>
        <v>154</v>
      </c>
      <c r="H17" s="258">
        <f>Municipality!G17</f>
        <v>527</v>
      </c>
    </row>
    <row r="18" ht="14.25" customHeight="1">
      <c r="A18" s="257" t="s">
        <v>245</v>
      </c>
      <c r="B18" s="255" t="s">
        <v>290</v>
      </c>
      <c r="C18" s="258">
        <f>Municipality!B18</f>
        <v>2441</v>
      </c>
      <c r="D18" s="258">
        <f>Municipality!C18</f>
        <v>11278</v>
      </c>
      <c r="E18" s="258">
        <f>Municipality!D18</f>
        <v>179</v>
      </c>
      <c r="F18" s="258">
        <f>Municipality!E18</f>
        <v>827</v>
      </c>
      <c r="G18" s="258">
        <f>Municipality!F18</f>
        <v>75</v>
      </c>
      <c r="H18" s="258">
        <f>Municipality!G18</f>
        <v>347</v>
      </c>
    </row>
    <row r="19" ht="14.25" customHeight="1">
      <c r="A19" s="257" t="s">
        <v>246</v>
      </c>
      <c r="B19" s="255" t="s">
        <v>291</v>
      </c>
      <c r="C19" s="258">
        <f>Municipality!B19</f>
        <v>159</v>
      </c>
      <c r="D19" s="258">
        <f>Municipality!C19</f>
        <v>4536</v>
      </c>
      <c r="E19" s="258" t="str">
        <f>Municipality!D19</f>
        <v>&lt;5</v>
      </c>
      <c r="F19" s="258" t="str">
        <f>Municipality!E19</f>
        <v>--</v>
      </c>
      <c r="G19" s="258" t="str">
        <f>Municipality!F19</f>
        <v>&lt;5</v>
      </c>
      <c r="H19" s="258" t="str">
        <f>Municipality!G19</f>
        <v>--</v>
      </c>
    </row>
    <row r="20" ht="14.25" customHeight="1">
      <c r="A20" s="257" t="s">
        <v>247</v>
      </c>
      <c r="B20" s="255" t="s">
        <v>292</v>
      </c>
      <c r="C20" s="258">
        <f>Municipality!B20</f>
        <v>1060</v>
      </c>
      <c r="D20" s="258">
        <f>Municipality!C20</f>
        <v>6593</v>
      </c>
      <c r="E20" s="258">
        <f>Municipality!D20</f>
        <v>55</v>
      </c>
      <c r="F20" s="258">
        <f>Municipality!E20</f>
        <v>342</v>
      </c>
      <c r="G20" s="258">
        <f>Municipality!F20</f>
        <v>9</v>
      </c>
      <c r="H20" s="258">
        <f>Municipality!G20</f>
        <v>56</v>
      </c>
    </row>
    <row r="21" ht="14.25" customHeight="1">
      <c r="A21" s="257" t="s">
        <v>248</v>
      </c>
      <c r="B21" s="255" t="s">
        <v>293</v>
      </c>
      <c r="C21" s="258">
        <f>Municipality!B21</f>
        <v>1521</v>
      </c>
      <c r="D21" s="258">
        <f>Municipality!C21</f>
        <v>9781</v>
      </c>
      <c r="E21" s="258">
        <f>Municipality!D21</f>
        <v>41</v>
      </c>
      <c r="F21" s="258">
        <f>Municipality!E21</f>
        <v>264</v>
      </c>
      <c r="G21" s="258">
        <f>Municipality!F21</f>
        <v>8</v>
      </c>
      <c r="H21" s="258">
        <f>Municipality!G21</f>
        <v>51</v>
      </c>
    </row>
    <row r="22" ht="14.25" customHeight="1">
      <c r="A22" s="257" t="s">
        <v>249</v>
      </c>
      <c r="B22" s="255" t="s">
        <v>294</v>
      </c>
      <c r="C22" s="258">
        <f>Municipality!B22</f>
        <v>50</v>
      </c>
      <c r="D22" s="258">
        <f>Municipality!C22</f>
        <v>6046</v>
      </c>
      <c r="E22" s="258">
        <f>Municipality!D22</f>
        <v>0</v>
      </c>
      <c r="F22" s="258">
        <f>Municipality!E22</f>
        <v>0</v>
      </c>
      <c r="G22" s="258">
        <f>Municipality!F22</f>
        <v>0</v>
      </c>
      <c r="H22" s="258">
        <f>Municipality!G22</f>
        <v>0</v>
      </c>
    </row>
    <row r="23" ht="14.25" customHeight="1">
      <c r="A23" s="257" t="s">
        <v>250</v>
      </c>
      <c r="B23" s="255" t="s">
        <v>295</v>
      </c>
      <c r="C23" s="258">
        <f>Municipality!B23</f>
        <v>1750</v>
      </c>
      <c r="D23" s="258">
        <f>Municipality!C23</f>
        <v>7067</v>
      </c>
      <c r="E23" s="258">
        <f>Municipality!D23</f>
        <v>70</v>
      </c>
      <c r="F23" s="258">
        <f>Municipality!E23</f>
        <v>283</v>
      </c>
      <c r="G23" s="258">
        <f>Municipality!F23</f>
        <v>10</v>
      </c>
      <c r="H23" s="258">
        <f>Municipality!G23</f>
        <v>40</v>
      </c>
    </row>
    <row r="24" ht="14.25" customHeight="1">
      <c r="A24" s="257" t="s">
        <v>251</v>
      </c>
      <c r="B24" s="255" t="s">
        <v>296</v>
      </c>
      <c r="C24" s="258">
        <f>Municipality!B24</f>
        <v>2148</v>
      </c>
      <c r="D24" s="258">
        <f>Municipality!C24</f>
        <v>8196</v>
      </c>
      <c r="E24" s="258">
        <f>Municipality!D24</f>
        <v>123</v>
      </c>
      <c r="F24" s="258">
        <f>Municipality!E24</f>
        <v>469</v>
      </c>
      <c r="G24" s="258">
        <f>Municipality!F24</f>
        <v>76</v>
      </c>
      <c r="H24" s="258">
        <f>Municipality!G24</f>
        <v>290</v>
      </c>
    </row>
    <row r="25" ht="15.75" customHeight="1">
      <c r="A25" s="257" t="s">
        <v>252</v>
      </c>
      <c r="B25" s="255" t="s">
        <v>297</v>
      </c>
      <c r="C25" s="258">
        <f>Municipality!B25</f>
        <v>4431</v>
      </c>
      <c r="D25" s="258">
        <f>Municipality!C25</f>
        <v>13651</v>
      </c>
      <c r="E25" s="258">
        <f>Municipality!D25</f>
        <v>328</v>
      </c>
      <c r="F25" s="258">
        <f>Municipality!E25</f>
        <v>1011</v>
      </c>
      <c r="G25" s="258">
        <f>Municipality!F25</f>
        <v>122</v>
      </c>
      <c r="H25" s="258">
        <f>Municipality!G25</f>
        <v>376</v>
      </c>
    </row>
    <row r="26" ht="14.25" customHeight="1">
      <c r="A26" s="257" t="s">
        <v>253</v>
      </c>
      <c r="B26" s="255" t="s">
        <v>298</v>
      </c>
      <c r="C26" s="258">
        <f>Municipality!B26</f>
        <v>1286</v>
      </c>
      <c r="D26" s="258">
        <f>Municipality!C26</f>
        <v>10414</v>
      </c>
      <c r="E26" s="258">
        <f>Municipality!D26</f>
        <v>85</v>
      </c>
      <c r="F26" s="258">
        <f>Municipality!E26</f>
        <v>688</v>
      </c>
      <c r="G26" s="258">
        <f>Municipality!F26</f>
        <v>60</v>
      </c>
      <c r="H26" s="258">
        <f>Municipality!G26</f>
        <v>486</v>
      </c>
    </row>
    <row r="27" ht="14.25" customHeight="1">
      <c r="A27" s="257" t="s">
        <v>254</v>
      </c>
      <c r="B27" s="255" t="s">
        <v>299</v>
      </c>
      <c r="C27" s="258">
        <f>Municipality!B27</f>
        <v>10278</v>
      </c>
      <c r="D27" s="258">
        <f>Municipality!C27</f>
        <v>14324</v>
      </c>
      <c r="E27" s="258">
        <f>Municipality!D27</f>
        <v>639</v>
      </c>
      <c r="F27" s="258">
        <f>Municipality!E27</f>
        <v>891</v>
      </c>
      <c r="G27" s="258">
        <f>Municipality!F27</f>
        <v>115</v>
      </c>
      <c r="H27" s="258">
        <f>Municipality!G27</f>
        <v>160</v>
      </c>
    </row>
    <row r="28" ht="14.25" customHeight="1">
      <c r="A28" s="257" t="s">
        <v>255</v>
      </c>
      <c r="B28" s="255" t="s">
        <v>300</v>
      </c>
      <c r="C28" s="258">
        <f>Municipality!B28</f>
        <v>1118</v>
      </c>
      <c r="D28" s="258">
        <f>Municipality!C28</f>
        <v>6419</v>
      </c>
      <c r="E28" s="258">
        <f>Municipality!D28</f>
        <v>20</v>
      </c>
      <c r="F28" s="258">
        <f>Municipality!E28</f>
        <v>115</v>
      </c>
      <c r="G28" s="258">
        <f>Municipality!F28</f>
        <v>5</v>
      </c>
      <c r="H28" s="258">
        <f>Municipality!G28</f>
        <v>29</v>
      </c>
    </row>
    <row r="29" ht="14.25" customHeight="1">
      <c r="A29" s="257" t="s">
        <v>256</v>
      </c>
      <c r="B29" s="255" t="s">
        <v>301</v>
      </c>
      <c r="C29" s="258">
        <f>Municipality!B29</f>
        <v>28706</v>
      </c>
      <c r="D29" s="258">
        <f>Municipality!C29</f>
        <v>15998</v>
      </c>
      <c r="E29" s="258">
        <f>Municipality!D29</f>
        <v>2051</v>
      </c>
      <c r="F29" s="258">
        <f>Municipality!E29</f>
        <v>1143</v>
      </c>
      <c r="G29" s="258">
        <f>Municipality!F29</f>
        <v>506</v>
      </c>
      <c r="H29" s="258">
        <f>Municipality!G29</f>
        <v>282</v>
      </c>
    </row>
    <row r="30" ht="14.25" customHeight="1">
      <c r="A30" s="257" t="s">
        <v>257</v>
      </c>
      <c r="B30" s="255" t="s">
        <v>302</v>
      </c>
      <c r="C30" s="258">
        <f>Municipality!B30</f>
        <v>323</v>
      </c>
      <c r="D30" s="258">
        <f>Municipality!C30</f>
        <v>4236</v>
      </c>
      <c r="E30" s="258">
        <f>Municipality!D30</f>
        <v>16</v>
      </c>
      <c r="F30" s="258">
        <f>Municipality!E30</f>
        <v>210</v>
      </c>
      <c r="G30" s="258" t="str">
        <f>Municipality!F30</f>
        <v>&lt;5</v>
      </c>
      <c r="H30" s="258" t="str">
        <f>Municipality!G30</f>
        <v>--</v>
      </c>
    </row>
    <row r="31" ht="14.25" customHeight="1">
      <c r="A31" s="257" t="s">
        <v>258</v>
      </c>
      <c r="B31" s="255" t="s">
        <v>303</v>
      </c>
      <c r="C31" s="258">
        <f>Municipality!B31</f>
        <v>818</v>
      </c>
      <c r="D31" s="258">
        <f>Municipality!C31</f>
        <v>7715</v>
      </c>
      <c r="E31" s="258">
        <f>Municipality!D31</f>
        <v>38</v>
      </c>
      <c r="F31" s="258">
        <f>Municipality!E31</f>
        <v>358</v>
      </c>
      <c r="G31" s="258">
        <f>Municipality!F31</f>
        <v>5</v>
      </c>
      <c r="H31" s="258">
        <f>Municipality!G31</f>
        <v>47</v>
      </c>
    </row>
    <row r="32" ht="14.25" customHeight="1">
      <c r="A32" s="257" t="s">
        <v>259</v>
      </c>
      <c r="B32" s="255" t="s">
        <v>304</v>
      </c>
      <c r="C32" s="258">
        <f>Municipality!B32</f>
        <v>2950</v>
      </c>
      <c r="D32" s="258">
        <f>Municipality!C32</f>
        <v>13638</v>
      </c>
      <c r="E32" s="258">
        <f>Municipality!D32</f>
        <v>203</v>
      </c>
      <c r="F32" s="258">
        <f>Municipality!E32</f>
        <v>939</v>
      </c>
      <c r="G32" s="258">
        <f>Municipality!F32</f>
        <v>144</v>
      </c>
      <c r="H32" s="258">
        <f>Municipality!G32</f>
        <v>666</v>
      </c>
    </row>
    <row r="33" ht="14.25" customHeight="1">
      <c r="A33" s="257" t="s">
        <v>260</v>
      </c>
      <c r="B33" s="255" t="s">
        <v>305</v>
      </c>
      <c r="C33" s="258">
        <f>Municipality!B33</f>
        <v>1595</v>
      </c>
      <c r="D33" s="258">
        <f>Municipality!C33</f>
        <v>5190</v>
      </c>
      <c r="E33" s="258">
        <f>Municipality!D33</f>
        <v>52</v>
      </c>
      <c r="F33" s="258">
        <f>Municipality!E33</f>
        <v>169</v>
      </c>
      <c r="G33" s="258">
        <f>Municipality!F33</f>
        <v>35</v>
      </c>
      <c r="H33" s="258">
        <f>Municipality!G33</f>
        <v>114</v>
      </c>
    </row>
    <row r="34" ht="14.25" customHeight="1">
      <c r="A34" s="257" t="s">
        <v>261</v>
      </c>
      <c r="B34" s="255" t="s">
        <v>306</v>
      </c>
      <c r="C34" s="258">
        <f>Municipality!B34</f>
        <v>1230</v>
      </c>
      <c r="D34" s="258">
        <f>Municipality!C34</f>
        <v>7777</v>
      </c>
      <c r="E34" s="258">
        <f>Municipality!D34</f>
        <v>14</v>
      </c>
      <c r="F34" s="258">
        <f>Municipality!E34</f>
        <v>89</v>
      </c>
      <c r="G34" s="258">
        <f>Municipality!F34</f>
        <v>14</v>
      </c>
      <c r="H34" s="258">
        <f>Municipality!G34</f>
        <v>89</v>
      </c>
    </row>
    <row r="35" ht="14.25" customHeight="1">
      <c r="A35" s="257" t="s">
        <v>262</v>
      </c>
      <c r="B35" s="255" t="s">
        <v>307</v>
      </c>
      <c r="C35" s="258">
        <f>Municipality!B35</f>
        <v>1100</v>
      </c>
      <c r="D35" s="258">
        <f>Municipality!C35</f>
        <v>10488</v>
      </c>
      <c r="E35" s="258">
        <f>Municipality!D35</f>
        <v>73</v>
      </c>
      <c r="F35" s="258">
        <f>Municipality!E35</f>
        <v>696</v>
      </c>
      <c r="G35" s="258">
        <f>Municipality!F35</f>
        <v>51</v>
      </c>
      <c r="H35" s="258">
        <f>Municipality!G35</f>
        <v>486</v>
      </c>
    </row>
    <row r="36" ht="14.25" customHeight="1">
      <c r="A36" s="257" t="s">
        <v>263</v>
      </c>
      <c r="B36" s="255" t="s">
        <v>308</v>
      </c>
      <c r="C36" s="258">
        <f>Municipality!B36</f>
        <v>7695</v>
      </c>
      <c r="D36" s="258">
        <f>Municipality!C36</f>
        <v>9491</v>
      </c>
      <c r="E36" s="258">
        <f>Municipality!D36</f>
        <v>474</v>
      </c>
      <c r="F36" s="258">
        <f>Municipality!E36</f>
        <v>585</v>
      </c>
      <c r="G36" s="258">
        <f>Municipality!F36</f>
        <v>171</v>
      </c>
      <c r="H36" s="258">
        <f>Municipality!G36</f>
        <v>211</v>
      </c>
    </row>
    <row r="37" ht="14.25" customHeight="1">
      <c r="A37" s="257" t="s">
        <v>264</v>
      </c>
      <c r="B37" s="255" t="s">
        <v>309</v>
      </c>
      <c r="C37" s="258">
        <f>Municipality!B37</f>
        <v>502</v>
      </c>
      <c r="D37" s="258">
        <f>Municipality!C37</f>
        <v>8124</v>
      </c>
      <c r="E37" s="258">
        <f>Municipality!D37</f>
        <v>21</v>
      </c>
      <c r="F37" s="258">
        <f>Municipality!E37</f>
        <v>340</v>
      </c>
      <c r="G37" s="258" t="str">
        <f>Municipality!F37</f>
        <v>&lt;5</v>
      </c>
      <c r="H37" s="258" t="str">
        <f>Municipality!G37</f>
        <v>--</v>
      </c>
    </row>
    <row r="38" ht="14.25" customHeight="1">
      <c r="A38" s="257" t="s">
        <v>265</v>
      </c>
      <c r="B38" s="255" t="s">
        <v>310</v>
      </c>
      <c r="C38" s="258">
        <f>Municipality!B38</f>
        <v>2991</v>
      </c>
      <c r="D38" s="258">
        <f>Municipality!C38</f>
        <v>10330</v>
      </c>
      <c r="E38" s="258">
        <f>Municipality!D38</f>
        <v>183</v>
      </c>
      <c r="F38" s="258">
        <f>Municipality!E38</f>
        <v>632</v>
      </c>
      <c r="G38" s="258">
        <f>Municipality!F38</f>
        <v>50</v>
      </c>
      <c r="H38" s="258">
        <f>Municipality!G38</f>
        <v>173</v>
      </c>
    </row>
    <row r="39" ht="14.25" customHeight="1">
      <c r="A39" s="257" t="s">
        <v>266</v>
      </c>
      <c r="B39" s="255" t="s">
        <v>311</v>
      </c>
      <c r="C39" s="258">
        <f>Municipality!B39</f>
        <v>1687</v>
      </c>
      <c r="D39" s="258">
        <f>Municipality!C39</f>
        <v>7457</v>
      </c>
      <c r="E39" s="258">
        <f>Municipality!D39</f>
        <v>95</v>
      </c>
      <c r="F39" s="258">
        <f>Municipality!E39</f>
        <v>420</v>
      </c>
      <c r="G39" s="258">
        <f>Municipality!F39</f>
        <v>35</v>
      </c>
      <c r="H39" s="258">
        <f>Municipality!G39</f>
        <v>155</v>
      </c>
    </row>
    <row r="40" ht="14.25" customHeight="1">
      <c r="A40" s="257" t="s">
        <v>267</v>
      </c>
      <c r="B40" s="255" t="s">
        <v>312</v>
      </c>
      <c r="C40" s="258">
        <f>Municipality!B40</f>
        <v>4832</v>
      </c>
      <c r="D40" s="258">
        <f>Municipality!C40</f>
        <v>11632</v>
      </c>
      <c r="E40" s="258">
        <f>Municipality!D40</f>
        <v>383</v>
      </c>
      <c r="F40" s="258">
        <f>Municipality!E40</f>
        <v>922</v>
      </c>
      <c r="G40" s="258">
        <f>Municipality!F40</f>
        <v>205</v>
      </c>
      <c r="H40" s="258">
        <f>Municipality!G40</f>
        <v>494</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358</v>
      </c>
      <c r="B1" s="260" t="s">
        <v>359</v>
      </c>
      <c r="C1" s="187" t="s">
        <v>223</v>
      </c>
    </row>
    <row r="2" ht="14.25" customHeight="1">
      <c r="A2" s="261" t="s">
        <v>360</v>
      </c>
      <c r="B2" s="262">
        <v>53.0</v>
      </c>
      <c r="C2" s="263">
        <v>7899.0</v>
      </c>
    </row>
    <row r="3" ht="14.25" customHeight="1">
      <c r="A3" s="264" t="s">
        <v>361</v>
      </c>
      <c r="B3" s="265">
        <v>202.0</v>
      </c>
      <c r="C3" s="266">
        <v>10080.0</v>
      </c>
    </row>
    <row r="4" ht="14.25" customHeight="1">
      <c r="A4" s="264" t="s">
        <v>362</v>
      </c>
      <c r="B4" s="265">
        <v>1190.0</v>
      </c>
      <c r="C4" s="266">
        <v>7349.0</v>
      </c>
    </row>
    <row r="5" ht="14.25" customHeight="1">
      <c r="A5" s="264" t="s">
        <v>363</v>
      </c>
      <c r="B5" s="265">
        <v>49.0</v>
      </c>
      <c r="C5" s="266">
        <v>5925.0</v>
      </c>
    </row>
    <row r="6" ht="14.25" customHeight="1">
      <c r="A6" s="264" t="s">
        <v>364</v>
      </c>
      <c r="B6" s="265">
        <v>177.0</v>
      </c>
      <c r="C6" s="266">
        <v>6901.0</v>
      </c>
    </row>
    <row r="7" ht="14.25" customHeight="1">
      <c r="A7" s="264" t="s">
        <v>365</v>
      </c>
      <c r="B7" s="265">
        <v>2197.0</v>
      </c>
      <c r="C7" s="266">
        <v>9871.0</v>
      </c>
    </row>
    <row r="8" ht="14.25" customHeight="1">
      <c r="A8" s="264" t="s">
        <v>366</v>
      </c>
      <c r="B8" s="265">
        <v>85.0</v>
      </c>
      <c r="C8" s="266">
        <v>7036.0</v>
      </c>
    </row>
    <row r="9" ht="14.25" customHeight="1">
      <c r="A9" s="264" t="s">
        <v>367</v>
      </c>
      <c r="B9" s="265">
        <v>483.0</v>
      </c>
      <c r="C9" s="266">
        <v>6208.0</v>
      </c>
    </row>
    <row r="10" ht="14.25" customHeight="1">
      <c r="A10" s="264" t="s">
        <v>368</v>
      </c>
      <c r="B10" s="265">
        <v>693.0</v>
      </c>
      <c r="C10" s="266">
        <v>9032.0</v>
      </c>
    </row>
    <row r="11" ht="14.25" customHeight="1">
      <c r="A11" s="264" t="s">
        <v>369</v>
      </c>
      <c r="B11" s="265">
        <v>24.0</v>
      </c>
      <c r="C11" s="266">
        <v>11538.0</v>
      </c>
    </row>
    <row r="12" ht="14.25" customHeight="1">
      <c r="A12" s="264" t="s">
        <v>370</v>
      </c>
      <c r="B12" s="265">
        <v>3355.0</v>
      </c>
      <c r="C12" s="266">
        <v>10221.0</v>
      </c>
    </row>
    <row r="13" ht="14.25" customHeight="1">
      <c r="A13" s="264" t="s">
        <v>371</v>
      </c>
      <c r="B13" s="265">
        <v>508.0</v>
      </c>
      <c r="C13" s="266">
        <v>8420.0</v>
      </c>
    </row>
    <row r="14" ht="14.25" customHeight="1">
      <c r="A14" s="264" t="s">
        <v>372</v>
      </c>
      <c r="B14" s="265">
        <v>1614.0</v>
      </c>
      <c r="C14" s="266">
        <v>8873.0</v>
      </c>
    </row>
    <row r="15" ht="14.25" customHeight="1">
      <c r="A15" s="264" t="s">
        <v>373</v>
      </c>
      <c r="B15" s="265">
        <v>460.0</v>
      </c>
      <c r="C15" s="266">
        <v>6990.0</v>
      </c>
    </row>
    <row r="16" ht="14.25" customHeight="1">
      <c r="A16" s="264" t="s">
        <v>374</v>
      </c>
      <c r="B16" s="265">
        <v>443.0</v>
      </c>
      <c r="C16" s="266">
        <v>8055.0</v>
      </c>
    </row>
    <row r="17" ht="14.25" customHeight="1">
      <c r="A17" s="264" t="s">
        <v>375</v>
      </c>
      <c r="B17" s="265">
        <v>80.0</v>
      </c>
      <c r="C17" s="266">
        <v>15968.0</v>
      </c>
    </row>
    <row r="18" ht="14.25" customHeight="1">
      <c r="A18" s="264" t="s">
        <v>376</v>
      </c>
      <c r="B18" s="265">
        <v>200.0</v>
      </c>
      <c r="C18" s="266">
        <v>9709.0</v>
      </c>
    </row>
    <row r="19" ht="14.25" customHeight="1">
      <c r="A19" s="264" t="s">
        <v>377</v>
      </c>
      <c r="B19" s="265">
        <v>996.0</v>
      </c>
      <c r="C19" s="266">
        <v>12667.0</v>
      </c>
    </row>
    <row r="20" ht="14.25" customHeight="1">
      <c r="A20" s="264" t="s">
        <v>378</v>
      </c>
      <c r="B20" s="265">
        <v>593.0</v>
      </c>
      <c r="C20" s="266">
        <v>9992.0</v>
      </c>
    </row>
    <row r="21" ht="14.25" customHeight="1">
      <c r="A21" s="264" t="s">
        <v>379</v>
      </c>
      <c r="B21" s="265">
        <v>462.0</v>
      </c>
      <c r="C21" s="266">
        <v>13196.0</v>
      </c>
    </row>
    <row r="22" ht="14.25" customHeight="1">
      <c r="A22" s="264" t="s">
        <v>380</v>
      </c>
      <c r="B22" s="265">
        <v>322.0</v>
      </c>
      <c r="C22" s="266">
        <v>7454.0</v>
      </c>
    </row>
    <row r="23" ht="14.25" customHeight="1">
      <c r="A23" s="264" t="s">
        <v>381</v>
      </c>
      <c r="B23" s="265">
        <v>32.0</v>
      </c>
      <c r="C23" s="266">
        <v>2797.0</v>
      </c>
    </row>
    <row r="24" ht="14.25" customHeight="1">
      <c r="A24" s="264" t="s">
        <v>382</v>
      </c>
      <c r="B24" s="265">
        <v>309.0</v>
      </c>
      <c r="C24" s="266">
        <v>5622.0</v>
      </c>
    </row>
    <row r="25" ht="14.25" customHeight="1">
      <c r="A25" s="264" t="s">
        <v>383</v>
      </c>
      <c r="B25" s="267">
        <v>6.0</v>
      </c>
      <c r="C25" s="266">
        <v>3209.0</v>
      </c>
    </row>
    <row r="26" ht="14.25" customHeight="1">
      <c r="A26" s="264" t="s">
        <v>384</v>
      </c>
      <c r="B26" s="265">
        <v>158.0</v>
      </c>
      <c r="C26" s="266">
        <v>4508.0</v>
      </c>
    </row>
    <row r="27" ht="14.25" customHeight="1">
      <c r="A27" s="264" t="s">
        <v>385</v>
      </c>
      <c r="B27" s="265">
        <v>474.0</v>
      </c>
      <c r="C27" s="266">
        <v>13470.0</v>
      </c>
    </row>
    <row r="28" ht="14.25" customHeight="1">
      <c r="A28" s="264" t="s">
        <v>386</v>
      </c>
      <c r="B28" s="265">
        <v>176.0</v>
      </c>
      <c r="C28" s="266">
        <v>8535.0</v>
      </c>
    </row>
    <row r="29" ht="14.25" customHeight="1">
      <c r="A29" s="264" t="s">
        <v>387</v>
      </c>
      <c r="B29" s="265">
        <v>1699.0</v>
      </c>
      <c r="C29" s="266">
        <v>7320.0</v>
      </c>
    </row>
    <row r="30" ht="14.25" customHeight="1">
      <c r="A30" s="264" t="s">
        <v>388</v>
      </c>
      <c r="B30" s="265">
        <v>74.0</v>
      </c>
      <c r="C30" s="266">
        <v>4534.0</v>
      </c>
    </row>
    <row r="31" ht="14.25" customHeight="1">
      <c r="A31" s="264" t="s">
        <v>389</v>
      </c>
      <c r="B31" s="265">
        <v>1044.0</v>
      </c>
      <c r="C31" s="266">
        <v>6526.0</v>
      </c>
    </row>
    <row r="32" ht="14.25" customHeight="1">
      <c r="A32" s="264" t="s">
        <v>390</v>
      </c>
      <c r="B32" s="265">
        <v>2018.0</v>
      </c>
      <c r="C32" s="266">
        <v>9160.0</v>
      </c>
    </row>
    <row r="33" ht="14.25" customHeight="1">
      <c r="A33" s="264" t="s">
        <v>391</v>
      </c>
      <c r="B33" s="265">
        <v>753.0</v>
      </c>
      <c r="C33" s="266">
        <v>8622.0</v>
      </c>
    </row>
    <row r="34" ht="14.25" customHeight="1">
      <c r="A34" s="264" t="s">
        <v>392</v>
      </c>
      <c r="B34" s="267">
        <v>70.0</v>
      </c>
      <c r="C34" s="266">
        <v>9615.0</v>
      </c>
    </row>
    <row r="35" ht="14.25" customHeight="1">
      <c r="A35" s="264" t="s">
        <v>393</v>
      </c>
      <c r="B35" s="265">
        <v>859.0</v>
      </c>
      <c r="C35" s="266">
        <v>11886.0</v>
      </c>
    </row>
    <row r="36" ht="14.25" customHeight="1">
      <c r="A36" s="264" t="s">
        <v>394</v>
      </c>
      <c r="B36" s="265">
        <v>7065.0</v>
      </c>
      <c r="C36" s="266">
        <v>14991.0</v>
      </c>
    </row>
    <row r="37" ht="14.25" customHeight="1">
      <c r="A37" s="264" t="s">
        <v>395</v>
      </c>
      <c r="B37" s="265">
        <v>3190.0</v>
      </c>
      <c r="C37" s="266">
        <v>12738.0</v>
      </c>
    </row>
    <row r="38" ht="14.25" customHeight="1">
      <c r="A38" s="264" t="s">
        <v>396</v>
      </c>
      <c r="B38" s="265">
        <v>4122.0</v>
      </c>
      <c r="C38" s="266">
        <v>21307.0</v>
      </c>
    </row>
    <row r="39" ht="14.25" customHeight="1">
      <c r="A39" s="264" t="s">
        <v>397</v>
      </c>
      <c r="B39" s="265">
        <v>3710.0</v>
      </c>
      <c r="C39" s="266">
        <v>10715.0</v>
      </c>
    </row>
    <row r="40" ht="14.25" customHeight="1">
      <c r="A40" s="264" t="s">
        <v>398</v>
      </c>
      <c r="B40" s="265">
        <v>1932.0</v>
      </c>
      <c r="C40" s="266">
        <v>11073.0</v>
      </c>
    </row>
    <row r="41" ht="14.25" customHeight="1">
      <c r="A41" s="264" t="s">
        <v>399</v>
      </c>
      <c r="B41" s="265">
        <v>1114.0</v>
      </c>
      <c r="C41" s="266">
        <v>6499.0</v>
      </c>
    </row>
    <row r="42" ht="14.25" customHeight="1">
      <c r="A42" s="264" t="s">
        <v>400</v>
      </c>
      <c r="B42" s="265">
        <v>6.0</v>
      </c>
      <c r="C42" s="266">
        <v>2158.0</v>
      </c>
    </row>
    <row r="43" ht="14.25" customHeight="1">
      <c r="A43" s="264" t="s">
        <v>401</v>
      </c>
      <c r="B43" s="265">
        <v>13.0</v>
      </c>
      <c r="C43" s="266">
        <v>6842.0</v>
      </c>
    </row>
    <row r="44" ht="14.25" customHeight="1">
      <c r="A44" s="264" t="s">
        <v>402</v>
      </c>
      <c r="B44" s="265">
        <v>481.0</v>
      </c>
      <c r="C44" s="266">
        <v>8070.0</v>
      </c>
    </row>
    <row r="45" ht="14.25" customHeight="1">
      <c r="A45" s="264" t="s">
        <v>403</v>
      </c>
      <c r="B45" s="265">
        <v>24.0</v>
      </c>
      <c r="C45" s="266">
        <v>4396.0</v>
      </c>
    </row>
    <row r="46" ht="14.25" customHeight="1">
      <c r="A46" s="264" t="s">
        <v>404</v>
      </c>
      <c r="B46" s="265">
        <v>69.0</v>
      </c>
      <c r="C46" s="266">
        <v>23711.0</v>
      </c>
    </row>
    <row r="47" ht="14.25" customHeight="1">
      <c r="A47" s="264" t="s">
        <v>405</v>
      </c>
      <c r="B47" s="265">
        <v>1233.0</v>
      </c>
      <c r="C47" s="266">
        <v>7796.0</v>
      </c>
    </row>
    <row r="48" ht="14.25" customHeight="1">
      <c r="A48" s="264" t="s">
        <v>406</v>
      </c>
      <c r="B48" s="265">
        <v>1507.0</v>
      </c>
      <c r="C48" s="266">
        <v>7343.0</v>
      </c>
    </row>
    <row r="49" ht="14.25" customHeight="1">
      <c r="A49" s="264" t="s">
        <v>407</v>
      </c>
      <c r="B49" s="265">
        <v>662.0</v>
      </c>
      <c r="C49" s="266">
        <v>8448.0</v>
      </c>
    </row>
    <row r="50" ht="14.25" customHeight="1">
      <c r="A50" s="264" t="s">
        <v>408</v>
      </c>
      <c r="B50" s="265">
        <v>1425.0</v>
      </c>
      <c r="C50" s="266">
        <v>10214.0</v>
      </c>
    </row>
    <row r="51" ht="14.25" customHeight="1">
      <c r="A51" s="264" t="s">
        <v>409</v>
      </c>
      <c r="B51" s="265">
        <v>1103.0</v>
      </c>
      <c r="C51" s="266">
        <v>10541.0</v>
      </c>
    </row>
    <row r="52" ht="14.25" customHeight="1">
      <c r="A52" s="264" t="s">
        <v>410</v>
      </c>
      <c r="B52" s="265">
        <v>2923.0</v>
      </c>
      <c r="C52" s="266">
        <v>10077.0</v>
      </c>
    </row>
    <row r="53" ht="14.25" customHeight="1">
      <c r="A53" s="264" t="s">
        <v>411</v>
      </c>
      <c r="B53" s="265">
        <v>1890.0</v>
      </c>
      <c r="C53" s="266">
        <v>9861.0</v>
      </c>
    </row>
    <row r="54" ht="14.25" customHeight="1">
      <c r="A54" s="264" t="s">
        <v>412</v>
      </c>
      <c r="B54" s="265">
        <v>2819.0</v>
      </c>
      <c r="C54" s="266">
        <v>10314.0</v>
      </c>
    </row>
    <row r="55" ht="14.25" customHeight="1">
      <c r="A55" s="264" t="s">
        <v>413</v>
      </c>
      <c r="B55" s="265">
        <v>1524.0</v>
      </c>
      <c r="C55" s="266">
        <v>7228.0</v>
      </c>
    </row>
    <row r="56" ht="14.25" customHeight="1">
      <c r="A56" s="264" t="s">
        <v>414</v>
      </c>
      <c r="B56" s="265">
        <v>435.0</v>
      </c>
      <c r="C56" s="266">
        <v>8388.0</v>
      </c>
    </row>
    <row r="57" ht="14.25" customHeight="1">
      <c r="A57" s="264" t="s">
        <v>415</v>
      </c>
      <c r="B57" s="265">
        <v>2986.0</v>
      </c>
      <c r="C57" s="266">
        <v>10243.0</v>
      </c>
    </row>
    <row r="58" ht="14.25" customHeight="1">
      <c r="A58" s="264" t="s">
        <v>416</v>
      </c>
      <c r="B58" s="265">
        <v>50.0</v>
      </c>
      <c r="C58" s="266">
        <v>7418.0</v>
      </c>
    </row>
    <row r="59" ht="14.25" customHeight="1">
      <c r="A59" s="264" t="s">
        <v>417</v>
      </c>
      <c r="B59" s="265">
        <v>4825.0</v>
      </c>
      <c r="C59" s="266">
        <v>11616.0</v>
      </c>
    </row>
    <row r="60" ht="14.25" customHeight="1">
      <c r="A60" s="264" t="s">
        <v>418</v>
      </c>
      <c r="B60" s="265">
        <v>1204.0</v>
      </c>
      <c r="C60" s="266">
        <v>9985.0</v>
      </c>
    </row>
    <row r="61" ht="14.25" customHeight="1">
      <c r="A61" s="264" t="s">
        <v>419</v>
      </c>
      <c r="B61" s="265">
        <v>137.0</v>
      </c>
      <c r="C61" s="266">
        <v>8338.0</v>
      </c>
    </row>
    <row r="62" ht="14.25" customHeight="1">
      <c r="A62" s="264" t="s">
        <v>420</v>
      </c>
      <c r="B62" s="265">
        <v>1120.0</v>
      </c>
      <c r="C62" s="266">
        <v>10624.0</v>
      </c>
    </row>
    <row r="63" ht="14.25" customHeight="1">
      <c r="A63" s="264" t="s">
        <v>421</v>
      </c>
      <c r="B63" s="265">
        <v>4563.0</v>
      </c>
      <c r="C63" s="266">
        <v>14950.0</v>
      </c>
    </row>
    <row r="64" ht="14.25" customHeight="1">
      <c r="A64" s="264" t="s">
        <v>422</v>
      </c>
      <c r="B64" s="265">
        <v>3543.0</v>
      </c>
      <c r="C64" s="266">
        <v>13901.0</v>
      </c>
    </row>
    <row r="65" ht="14.25" customHeight="1">
      <c r="A65" s="264" t="s">
        <v>423</v>
      </c>
      <c r="B65" s="265">
        <v>2901.0</v>
      </c>
      <c r="C65" s="266">
        <v>10289.0</v>
      </c>
    </row>
    <row r="66" ht="14.25" customHeight="1">
      <c r="A66" s="264" t="s">
        <v>424</v>
      </c>
      <c r="B66" s="265">
        <v>5583.0</v>
      </c>
      <c r="C66" s="266">
        <v>18138.0</v>
      </c>
    </row>
    <row r="67" ht="14.25" customHeight="1">
      <c r="A67" s="264" t="s">
        <v>425</v>
      </c>
      <c r="B67" s="265">
        <v>6779.0</v>
      </c>
      <c r="C67" s="266">
        <v>18054.0</v>
      </c>
    </row>
    <row r="68" ht="14.25" customHeight="1">
      <c r="A68" s="264" t="s">
        <v>426</v>
      </c>
      <c r="B68" s="265">
        <v>7832.0</v>
      </c>
      <c r="C68" s="266">
        <v>19304.0</v>
      </c>
    </row>
    <row r="69" ht="14.25" customHeight="1">
      <c r="A69" s="264" t="s">
        <v>427</v>
      </c>
      <c r="B69" s="265">
        <v>2729.0</v>
      </c>
      <c r="C69" s="266">
        <v>12324.0</v>
      </c>
    </row>
    <row r="70" ht="14.25" customHeight="1">
      <c r="A70" s="264" t="s">
        <v>428</v>
      </c>
      <c r="B70" s="265">
        <v>1802.0</v>
      </c>
      <c r="C70" s="266">
        <v>11359.0</v>
      </c>
    </row>
    <row r="71" ht="14.25" customHeight="1">
      <c r="A71" s="264" t="s">
        <v>429</v>
      </c>
      <c r="B71" s="265">
        <v>54.0</v>
      </c>
      <c r="C71" s="266">
        <v>3971.0</v>
      </c>
    </row>
    <row r="72" ht="14.25" customHeight="1">
      <c r="A72" s="264" t="s">
        <v>430</v>
      </c>
      <c r="B72" s="265">
        <v>2827.0</v>
      </c>
      <c r="C72" s="266">
        <v>13085.0</v>
      </c>
    </row>
    <row r="73" ht="14.25" customHeight="1">
      <c r="A73" s="264" t="s">
        <v>431</v>
      </c>
      <c r="B73" s="265">
        <v>1543.0</v>
      </c>
      <c r="C73" s="266">
        <v>9269.0</v>
      </c>
    </row>
    <row r="74" ht="14.25" customHeight="1">
      <c r="A74" s="264" t="s">
        <v>432</v>
      </c>
      <c r="B74" s="265">
        <v>730.0</v>
      </c>
      <c r="C74" s="266">
        <v>8044.0</v>
      </c>
    </row>
    <row r="75" ht="14.25" customHeight="1">
      <c r="A75" s="264" t="s">
        <v>433</v>
      </c>
      <c r="B75" s="265">
        <v>1964.0</v>
      </c>
      <c r="C75" s="266">
        <v>14229.0</v>
      </c>
    </row>
    <row r="76" ht="14.25" customHeight="1">
      <c r="A76" s="264" t="s">
        <v>434</v>
      </c>
      <c r="B76" s="265">
        <v>4249.0</v>
      </c>
      <c r="C76" s="266">
        <v>14525.0</v>
      </c>
    </row>
    <row r="77" ht="14.25" customHeight="1">
      <c r="A77" s="264" t="s">
        <v>435</v>
      </c>
      <c r="B77" s="265">
        <v>6042.0</v>
      </c>
      <c r="C77" s="266">
        <v>16242.0</v>
      </c>
    </row>
    <row r="78" ht="14.25" customHeight="1">
      <c r="A78" s="264" t="s">
        <v>436</v>
      </c>
      <c r="B78" s="265">
        <v>1529.0</v>
      </c>
      <c r="C78" s="266">
        <v>12316.0</v>
      </c>
    </row>
    <row r="79" ht="14.25" customHeight="1">
      <c r="A79" s="268" t="s">
        <v>437</v>
      </c>
      <c r="B79" s="265">
        <v>3889.0</v>
      </c>
      <c r="C79" s="266" t="s">
        <v>38</v>
      </c>
    </row>
    <row r="80" ht="14.25" customHeight="1">
      <c r="A80" s="268" t="s">
        <v>268</v>
      </c>
      <c r="B80" s="265">
        <v>127986.0</v>
      </c>
      <c r="C80" s="266">
        <v>12113.0</v>
      </c>
    </row>
    <row r="81" ht="14.25" customHeight="1">
      <c r="A81" s="269" t="s">
        <v>438</v>
      </c>
    </row>
    <row r="82" ht="14.25" customHeight="1">
      <c r="A82" s="195" t="s">
        <v>439</v>
      </c>
    </row>
    <row r="83" ht="14.25" customHeight="1"/>
    <row r="84" ht="14.25" customHeight="1"/>
    <row r="85" ht="14.25" customHeight="1"/>
    <row r="86" ht="14.25" customHeight="1">
      <c r="A86" s="196" t="s">
        <v>0</v>
      </c>
      <c r="B86" s="197">
        <v>44279.0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440</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441</v>
      </c>
      <c r="B2" s="112"/>
      <c r="C2" s="112"/>
      <c r="D2" s="112"/>
      <c r="E2" s="112"/>
      <c r="F2" s="43"/>
    </row>
    <row r="3">
      <c r="A3" s="274" t="s">
        <v>442</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443</v>
      </c>
      <c r="B4" s="278" t="s">
        <v>444</v>
      </c>
      <c r="C4" s="279" t="s">
        <v>445</v>
      </c>
      <c r="D4" s="279" t="s">
        <v>446</v>
      </c>
      <c r="E4" s="280" t="s">
        <v>447</v>
      </c>
      <c r="F4" s="280" t="s">
        <v>448</v>
      </c>
      <c r="G4" s="281"/>
      <c r="H4" s="281"/>
      <c r="I4" s="281"/>
      <c r="J4" s="281"/>
      <c r="K4" s="281"/>
      <c r="L4" s="281"/>
      <c r="M4" s="281"/>
      <c r="N4" s="281"/>
      <c r="O4" s="281"/>
      <c r="P4" s="281"/>
      <c r="Q4" s="281"/>
      <c r="R4" s="281"/>
      <c r="S4" s="281"/>
      <c r="T4" s="281"/>
      <c r="U4" s="281"/>
      <c r="V4" s="281"/>
      <c r="W4" s="281"/>
      <c r="X4" s="281"/>
      <c r="Y4" s="281"/>
      <c r="Z4" s="281"/>
    </row>
    <row r="5">
      <c r="A5" s="282" t="s">
        <v>449</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450</v>
      </c>
      <c r="B6" s="286" t="s">
        <v>451</v>
      </c>
      <c r="C6" s="287">
        <v>0.0</v>
      </c>
      <c r="D6" s="287">
        <v>0.0</v>
      </c>
      <c r="E6" s="287">
        <v>0.0</v>
      </c>
      <c r="F6" s="287" t="s">
        <v>452</v>
      </c>
      <c r="G6" s="281"/>
      <c r="H6" s="281"/>
      <c r="I6" s="281"/>
      <c r="J6" s="281"/>
      <c r="K6" s="281"/>
      <c r="L6" s="281"/>
      <c r="M6" s="281"/>
      <c r="N6" s="281"/>
      <c r="O6" s="281"/>
      <c r="P6" s="281"/>
      <c r="Q6" s="281"/>
      <c r="R6" s="281"/>
      <c r="S6" s="281"/>
      <c r="T6" s="281"/>
      <c r="U6" s="281"/>
      <c r="V6" s="281"/>
      <c r="W6" s="281"/>
      <c r="X6" s="281"/>
      <c r="Y6" s="281"/>
      <c r="Z6" s="281"/>
    </row>
    <row r="7">
      <c r="A7" s="285" t="s">
        <v>453</v>
      </c>
      <c r="B7" s="286" t="s">
        <v>451</v>
      </c>
      <c r="C7" s="287" t="s">
        <v>452</v>
      </c>
      <c r="D7" s="287" t="s">
        <v>454</v>
      </c>
      <c r="E7" s="287">
        <v>0.0</v>
      </c>
      <c r="F7" s="287" t="s">
        <v>452</v>
      </c>
      <c r="G7" s="281"/>
      <c r="H7" s="281"/>
      <c r="I7" s="281"/>
      <c r="J7" s="281"/>
      <c r="K7" s="281"/>
      <c r="L7" s="281"/>
      <c r="M7" s="281"/>
      <c r="N7" s="281"/>
      <c r="O7" s="281"/>
      <c r="P7" s="281"/>
      <c r="Q7" s="281"/>
      <c r="R7" s="281"/>
      <c r="S7" s="281"/>
      <c r="T7" s="281"/>
      <c r="U7" s="281"/>
      <c r="V7" s="281"/>
      <c r="W7" s="281"/>
      <c r="X7" s="281"/>
      <c r="Y7" s="281"/>
      <c r="Z7" s="281"/>
    </row>
    <row r="8">
      <c r="A8" s="285" t="s">
        <v>455</v>
      </c>
      <c r="B8" s="286" t="s">
        <v>451</v>
      </c>
      <c r="C8" s="287">
        <v>0.0</v>
      </c>
      <c r="D8" s="287" t="s">
        <v>452</v>
      </c>
      <c r="E8" s="287">
        <v>0.0</v>
      </c>
      <c r="F8" s="287" t="s">
        <v>452</v>
      </c>
      <c r="G8" s="281"/>
      <c r="H8" s="281"/>
      <c r="I8" s="281"/>
      <c r="J8" s="281"/>
      <c r="K8" s="281"/>
      <c r="L8" s="281"/>
      <c r="M8" s="281"/>
      <c r="N8" s="281"/>
      <c r="O8" s="281"/>
      <c r="P8" s="281"/>
      <c r="Q8" s="281"/>
      <c r="R8" s="281"/>
      <c r="S8" s="281"/>
      <c r="T8" s="281"/>
      <c r="U8" s="281"/>
      <c r="V8" s="281"/>
      <c r="W8" s="281"/>
      <c r="X8" s="281"/>
      <c r="Y8" s="281"/>
      <c r="Z8" s="281"/>
    </row>
    <row r="9">
      <c r="A9" s="285" t="s">
        <v>456</v>
      </c>
      <c r="B9" s="286" t="s">
        <v>451</v>
      </c>
      <c r="C9" s="287">
        <v>0.0</v>
      </c>
      <c r="D9" s="287" t="s">
        <v>457</v>
      </c>
      <c r="E9" s="287">
        <v>0.0</v>
      </c>
      <c r="F9" s="287" t="s">
        <v>452</v>
      </c>
      <c r="G9" s="281"/>
      <c r="H9" s="281"/>
      <c r="I9" s="281"/>
      <c r="J9" s="281"/>
      <c r="K9" s="281"/>
      <c r="L9" s="281"/>
      <c r="M9" s="281"/>
      <c r="N9" s="281"/>
      <c r="O9" s="281"/>
      <c r="P9" s="281"/>
      <c r="Q9" s="281"/>
      <c r="R9" s="281"/>
      <c r="S9" s="281"/>
      <c r="T9" s="281"/>
      <c r="U9" s="281"/>
      <c r="V9" s="281"/>
      <c r="W9" s="281"/>
      <c r="X9" s="281"/>
      <c r="Y9" s="281"/>
      <c r="Z9" s="281"/>
    </row>
    <row r="10">
      <c r="A10" s="285" t="s">
        <v>458</v>
      </c>
      <c r="B10" s="286" t="s">
        <v>229</v>
      </c>
      <c r="C10" s="287">
        <v>0.0</v>
      </c>
      <c r="D10" s="287" t="s">
        <v>459</v>
      </c>
      <c r="E10" s="287">
        <v>0.0</v>
      </c>
      <c r="F10" s="287" t="s">
        <v>457</v>
      </c>
      <c r="G10" s="281"/>
      <c r="H10" s="281"/>
      <c r="I10" s="281"/>
      <c r="J10" s="281"/>
      <c r="K10" s="281"/>
      <c r="L10" s="281"/>
      <c r="M10" s="281"/>
      <c r="N10" s="281"/>
      <c r="O10" s="281"/>
      <c r="P10" s="281"/>
      <c r="Q10" s="281"/>
      <c r="R10" s="281"/>
      <c r="S10" s="281"/>
      <c r="T10" s="281"/>
      <c r="U10" s="281"/>
      <c r="V10" s="281"/>
      <c r="W10" s="281"/>
      <c r="X10" s="281"/>
      <c r="Y10" s="281"/>
      <c r="Z10" s="281"/>
    </row>
    <row r="11">
      <c r="A11" s="285" t="s">
        <v>460</v>
      </c>
      <c r="B11" s="286" t="s">
        <v>229</v>
      </c>
      <c r="C11" s="287">
        <v>0.0</v>
      </c>
      <c r="D11" s="287" t="s">
        <v>461</v>
      </c>
      <c r="E11" s="287" t="s">
        <v>452</v>
      </c>
      <c r="F11" s="287" t="s">
        <v>457</v>
      </c>
      <c r="G11" s="281"/>
      <c r="H11" s="281"/>
      <c r="I11" s="281"/>
      <c r="J11" s="281"/>
      <c r="K11" s="281"/>
      <c r="L11" s="281"/>
      <c r="M11" s="281"/>
      <c r="N11" s="281"/>
      <c r="O11" s="281"/>
      <c r="P11" s="281"/>
      <c r="Q11" s="281"/>
      <c r="R11" s="281"/>
      <c r="S11" s="281"/>
      <c r="T11" s="281"/>
      <c r="U11" s="281"/>
      <c r="V11" s="281"/>
      <c r="W11" s="281"/>
      <c r="X11" s="281"/>
      <c r="Y11" s="281"/>
      <c r="Z11" s="281"/>
    </row>
    <row r="12">
      <c r="A12" s="285" t="s">
        <v>462</v>
      </c>
      <c r="B12" s="286" t="s">
        <v>229</v>
      </c>
      <c r="C12" s="287">
        <v>0.0</v>
      </c>
      <c r="D12" s="287" t="s">
        <v>463</v>
      </c>
      <c r="E12" s="287">
        <v>0.0</v>
      </c>
      <c r="F12" s="287" t="s">
        <v>454</v>
      </c>
      <c r="G12" s="281"/>
      <c r="H12" s="281"/>
      <c r="I12" s="281"/>
      <c r="J12" s="281"/>
      <c r="K12" s="281"/>
      <c r="L12" s="281"/>
      <c r="M12" s="281"/>
      <c r="N12" s="281"/>
      <c r="O12" s="281"/>
      <c r="P12" s="281"/>
      <c r="Q12" s="281"/>
      <c r="R12" s="281"/>
      <c r="S12" s="281"/>
      <c r="T12" s="281"/>
      <c r="U12" s="281"/>
      <c r="V12" s="281"/>
      <c r="W12" s="281"/>
      <c r="X12" s="281"/>
      <c r="Y12" s="281"/>
      <c r="Z12" s="281"/>
    </row>
    <row r="13">
      <c r="A13" s="285" t="s">
        <v>464</v>
      </c>
      <c r="B13" s="286" t="s">
        <v>229</v>
      </c>
      <c r="C13" s="287">
        <v>0.0</v>
      </c>
      <c r="D13" s="287" t="s">
        <v>463</v>
      </c>
      <c r="E13" s="287">
        <v>0.0</v>
      </c>
      <c r="F13" s="287" t="s">
        <v>454</v>
      </c>
      <c r="G13" s="281"/>
      <c r="H13" s="281"/>
      <c r="I13" s="281"/>
      <c r="J13" s="281"/>
      <c r="K13" s="281"/>
      <c r="L13" s="281"/>
      <c r="M13" s="281"/>
      <c r="N13" s="281"/>
      <c r="O13" s="281"/>
      <c r="P13" s="281"/>
      <c r="Q13" s="281"/>
      <c r="R13" s="281"/>
      <c r="S13" s="281"/>
      <c r="T13" s="281"/>
      <c r="U13" s="281"/>
      <c r="V13" s="281"/>
      <c r="W13" s="281"/>
      <c r="X13" s="281"/>
      <c r="Y13" s="281"/>
      <c r="Z13" s="281"/>
    </row>
    <row r="14">
      <c r="A14" s="285" t="s">
        <v>465</v>
      </c>
      <c r="B14" s="286" t="s">
        <v>229</v>
      </c>
      <c r="C14" s="287">
        <v>0.0</v>
      </c>
      <c r="D14" s="287" t="s">
        <v>457</v>
      </c>
      <c r="E14" s="287">
        <v>0.0</v>
      </c>
      <c r="F14" s="287" t="s">
        <v>454</v>
      </c>
      <c r="G14" s="281"/>
      <c r="H14" s="281"/>
      <c r="I14" s="281"/>
      <c r="J14" s="281"/>
      <c r="K14" s="281"/>
      <c r="L14" s="281"/>
      <c r="M14" s="281"/>
      <c r="N14" s="281"/>
      <c r="O14" s="281"/>
      <c r="P14" s="281"/>
      <c r="Q14" s="281"/>
      <c r="R14" s="281"/>
      <c r="S14" s="281"/>
      <c r="T14" s="281"/>
      <c r="U14" s="281"/>
      <c r="V14" s="281"/>
      <c r="W14" s="281"/>
      <c r="X14" s="281"/>
      <c r="Y14" s="281"/>
      <c r="Z14" s="281"/>
    </row>
    <row r="15">
      <c r="A15" s="285" t="s">
        <v>466</v>
      </c>
      <c r="B15" s="286" t="s">
        <v>229</v>
      </c>
      <c r="C15" s="287">
        <v>0.0</v>
      </c>
      <c r="D15" s="287" t="s">
        <v>454</v>
      </c>
      <c r="E15" s="287">
        <v>0.0</v>
      </c>
      <c r="F15" s="287" t="s">
        <v>452</v>
      </c>
      <c r="G15" s="281"/>
      <c r="H15" s="281"/>
      <c r="I15" s="281"/>
      <c r="J15" s="281"/>
      <c r="K15" s="281"/>
      <c r="L15" s="281"/>
      <c r="M15" s="281"/>
      <c r="N15" s="281"/>
      <c r="O15" s="281"/>
      <c r="P15" s="281"/>
      <c r="Q15" s="281"/>
      <c r="R15" s="281"/>
      <c r="S15" s="281"/>
      <c r="T15" s="281"/>
      <c r="U15" s="281"/>
      <c r="V15" s="281"/>
      <c r="W15" s="281"/>
      <c r="X15" s="281"/>
      <c r="Y15" s="281"/>
      <c r="Z15" s="281"/>
    </row>
    <row r="16">
      <c r="A16" s="285" t="s">
        <v>467</v>
      </c>
      <c r="B16" s="286" t="s">
        <v>468</v>
      </c>
      <c r="C16" s="287">
        <v>0.0</v>
      </c>
      <c r="D16" s="287" t="s">
        <v>452</v>
      </c>
      <c r="E16" s="287">
        <v>0.0</v>
      </c>
      <c r="F16" s="287" t="s">
        <v>452</v>
      </c>
      <c r="G16" s="281"/>
      <c r="H16" s="281"/>
      <c r="I16" s="281"/>
      <c r="J16" s="281"/>
      <c r="K16" s="281"/>
      <c r="L16" s="281"/>
      <c r="M16" s="281"/>
      <c r="N16" s="281"/>
      <c r="O16" s="281"/>
      <c r="P16" s="281"/>
      <c r="Q16" s="281"/>
      <c r="R16" s="281"/>
      <c r="S16" s="281"/>
      <c r="T16" s="281"/>
      <c r="U16" s="281"/>
      <c r="V16" s="281"/>
      <c r="W16" s="281"/>
      <c r="X16" s="281"/>
      <c r="Y16" s="281"/>
      <c r="Z16" s="281"/>
    </row>
    <row r="17">
      <c r="A17" s="285" t="s">
        <v>469</v>
      </c>
      <c r="B17" s="286" t="s">
        <v>468</v>
      </c>
      <c r="C17" s="287">
        <v>0.0</v>
      </c>
      <c r="D17" s="287" t="s">
        <v>452</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470</v>
      </c>
      <c r="B18" s="286" t="s">
        <v>471</v>
      </c>
      <c r="C18" s="287">
        <v>0.0</v>
      </c>
      <c r="D18" s="287" t="s">
        <v>452</v>
      </c>
      <c r="E18" s="287">
        <v>0.0</v>
      </c>
      <c r="F18" s="287" t="s">
        <v>452</v>
      </c>
      <c r="G18" s="281"/>
      <c r="H18" s="281"/>
      <c r="I18" s="281"/>
      <c r="J18" s="281"/>
      <c r="K18" s="281"/>
      <c r="L18" s="281"/>
      <c r="M18" s="281"/>
      <c r="N18" s="281"/>
      <c r="O18" s="281"/>
      <c r="P18" s="281"/>
      <c r="Q18" s="281"/>
      <c r="R18" s="281"/>
      <c r="S18" s="281"/>
      <c r="T18" s="281"/>
      <c r="U18" s="281"/>
      <c r="V18" s="281"/>
      <c r="W18" s="281"/>
      <c r="X18" s="281"/>
      <c r="Y18" s="281"/>
      <c r="Z18" s="281"/>
    </row>
    <row r="19">
      <c r="A19" s="285" t="s">
        <v>472</v>
      </c>
      <c r="B19" s="286" t="s">
        <v>473</v>
      </c>
      <c r="C19" s="287">
        <v>0.0</v>
      </c>
      <c r="D19" s="287" t="s">
        <v>454</v>
      </c>
      <c r="E19" s="287">
        <v>0.0</v>
      </c>
      <c r="F19" s="287" t="s">
        <v>452</v>
      </c>
      <c r="G19" s="281"/>
      <c r="H19" s="281"/>
      <c r="I19" s="281"/>
      <c r="J19" s="281"/>
      <c r="K19" s="281"/>
      <c r="L19" s="281"/>
      <c r="M19" s="281"/>
      <c r="N19" s="281"/>
      <c r="O19" s="281"/>
      <c r="P19" s="281"/>
      <c r="Q19" s="281"/>
      <c r="R19" s="281"/>
      <c r="S19" s="281"/>
      <c r="T19" s="281"/>
      <c r="U19" s="281"/>
      <c r="V19" s="281"/>
      <c r="W19" s="281"/>
      <c r="X19" s="281"/>
      <c r="Y19" s="281"/>
      <c r="Z19" s="281"/>
    </row>
    <row r="20">
      <c r="A20" s="285" t="s">
        <v>474</v>
      </c>
      <c r="B20" s="286" t="s">
        <v>473</v>
      </c>
      <c r="C20" s="287" t="s">
        <v>452</v>
      </c>
      <c r="D20" s="287" t="s">
        <v>454</v>
      </c>
      <c r="E20" s="287">
        <v>0.0</v>
      </c>
      <c r="F20" s="287" t="s">
        <v>452</v>
      </c>
      <c r="G20" s="281"/>
      <c r="H20" s="281"/>
      <c r="I20" s="281"/>
      <c r="J20" s="281"/>
      <c r="K20" s="281"/>
      <c r="L20" s="281"/>
      <c r="M20" s="281"/>
      <c r="N20" s="281"/>
      <c r="O20" s="281"/>
      <c r="P20" s="281"/>
      <c r="Q20" s="281"/>
      <c r="R20" s="281"/>
      <c r="S20" s="281"/>
      <c r="T20" s="281"/>
      <c r="U20" s="281"/>
      <c r="V20" s="281"/>
      <c r="W20" s="281"/>
      <c r="X20" s="281"/>
      <c r="Y20" s="281"/>
      <c r="Z20" s="281"/>
    </row>
    <row r="21">
      <c r="A21" s="285" t="s">
        <v>475</v>
      </c>
      <c r="B21" s="286" t="s">
        <v>473</v>
      </c>
      <c r="C21" s="287">
        <v>0.0</v>
      </c>
      <c r="D21" s="287" t="s">
        <v>463</v>
      </c>
      <c r="E21" s="287">
        <v>0.0</v>
      </c>
      <c r="F21" s="287" t="s">
        <v>454</v>
      </c>
      <c r="G21" s="281"/>
      <c r="H21" s="281"/>
      <c r="I21" s="281"/>
      <c r="J21" s="281"/>
      <c r="K21" s="281"/>
      <c r="L21" s="281"/>
      <c r="M21" s="281"/>
      <c r="N21" s="281"/>
      <c r="O21" s="281"/>
      <c r="P21" s="281"/>
      <c r="Q21" s="281"/>
      <c r="R21" s="281"/>
      <c r="S21" s="281"/>
      <c r="T21" s="281"/>
      <c r="U21" s="281"/>
      <c r="V21" s="281"/>
      <c r="W21" s="281"/>
      <c r="X21" s="281"/>
      <c r="Y21" s="281"/>
      <c r="Z21" s="281"/>
    </row>
    <row r="22">
      <c r="A22" s="285" t="s">
        <v>476</v>
      </c>
      <c r="B22" s="286" t="s">
        <v>473</v>
      </c>
      <c r="C22" s="287">
        <v>0.0</v>
      </c>
      <c r="D22" s="287" t="s">
        <v>454</v>
      </c>
      <c r="E22" s="287">
        <v>0.0</v>
      </c>
      <c r="F22" s="287" t="s">
        <v>452</v>
      </c>
      <c r="G22" s="281"/>
      <c r="H22" s="281"/>
      <c r="I22" s="281"/>
      <c r="J22" s="281"/>
      <c r="K22" s="281"/>
      <c r="L22" s="281"/>
      <c r="M22" s="281"/>
      <c r="N22" s="281"/>
      <c r="O22" s="281"/>
      <c r="P22" s="281"/>
      <c r="Q22" s="281"/>
      <c r="R22" s="281"/>
      <c r="S22" s="281"/>
      <c r="T22" s="281"/>
      <c r="U22" s="281"/>
      <c r="V22" s="281"/>
      <c r="W22" s="281"/>
      <c r="X22" s="281"/>
      <c r="Y22" s="281"/>
      <c r="Z22" s="281"/>
    </row>
    <row r="23">
      <c r="A23" s="285" t="s">
        <v>477</v>
      </c>
      <c r="B23" s="286" t="s">
        <v>473</v>
      </c>
      <c r="C23" s="287">
        <v>0.0</v>
      </c>
      <c r="D23" s="287" t="s">
        <v>452</v>
      </c>
      <c r="E23" s="287">
        <v>0.0</v>
      </c>
      <c r="F23" s="287" t="s">
        <v>452</v>
      </c>
      <c r="G23" s="281"/>
      <c r="H23" s="281"/>
      <c r="I23" s="281"/>
      <c r="J23" s="281"/>
      <c r="K23" s="281"/>
      <c r="L23" s="281"/>
      <c r="M23" s="281"/>
      <c r="N23" s="281"/>
      <c r="O23" s="281"/>
      <c r="P23" s="281"/>
      <c r="Q23" s="281"/>
      <c r="R23" s="281"/>
      <c r="S23" s="281"/>
      <c r="T23" s="281"/>
      <c r="U23" s="281"/>
      <c r="V23" s="281"/>
      <c r="W23" s="281"/>
      <c r="X23" s="281"/>
      <c r="Y23" s="281"/>
      <c r="Z23" s="281"/>
    </row>
    <row r="24">
      <c r="A24" s="285" t="s">
        <v>478</v>
      </c>
      <c r="B24" s="286" t="s">
        <v>473</v>
      </c>
      <c r="C24" s="287">
        <v>0.0</v>
      </c>
      <c r="D24" s="287" t="s">
        <v>454</v>
      </c>
      <c r="E24" s="287">
        <v>0.0</v>
      </c>
      <c r="F24" s="287" t="s">
        <v>452</v>
      </c>
      <c r="G24" s="281"/>
      <c r="H24" s="281"/>
      <c r="I24" s="281"/>
      <c r="J24" s="281"/>
      <c r="K24" s="281"/>
      <c r="L24" s="281"/>
      <c r="M24" s="281"/>
      <c r="N24" s="281"/>
      <c r="O24" s="281"/>
      <c r="P24" s="281"/>
      <c r="Q24" s="281"/>
      <c r="R24" s="281"/>
      <c r="S24" s="281"/>
      <c r="T24" s="281"/>
      <c r="U24" s="281"/>
      <c r="V24" s="281"/>
      <c r="W24" s="281"/>
      <c r="X24" s="281"/>
      <c r="Y24" s="281"/>
      <c r="Z24" s="281"/>
    </row>
    <row r="25">
      <c r="A25" s="285" t="s">
        <v>479</v>
      </c>
      <c r="B25" s="286" t="s">
        <v>480</v>
      </c>
      <c r="C25" s="287" t="s">
        <v>452</v>
      </c>
      <c r="D25" s="287" t="s">
        <v>463</v>
      </c>
      <c r="E25" s="287">
        <v>0.0</v>
      </c>
      <c r="F25" s="287" t="s">
        <v>454</v>
      </c>
      <c r="G25" s="281"/>
      <c r="H25" s="281"/>
      <c r="I25" s="281"/>
      <c r="J25" s="281"/>
      <c r="K25" s="281"/>
      <c r="L25" s="281"/>
      <c r="M25" s="281"/>
      <c r="N25" s="281"/>
      <c r="O25" s="281"/>
      <c r="P25" s="281"/>
      <c r="Q25" s="281"/>
      <c r="R25" s="281"/>
      <c r="S25" s="281"/>
      <c r="T25" s="281"/>
      <c r="U25" s="281"/>
      <c r="V25" s="281"/>
      <c r="W25" s="281"/>
      <c r="X25" s="281"/>
      <c r="Y25" s="281"/>
      <c r="Z25" s="281"/>
    </row>
    <row r="26">
      <c r="A26" s="285" t="s">
        <v>481</v>
      </c>
      <c r="B26" s="286" t="s">
        <v>480</v>
      </c>
      <c r="C26" s="287" t="s">
        <v>452</v>
      </c>
      <c r="D26" s="287" t="s">
        <v>457</v>
      </c>
      <c r="E26" s="287">
        <v>0.0</v>
      </c>
      <c r="F26" s="287" t="s">
        <v>454</v>
      </c>
      <c r="G26" s="281"/>
      <c r="H26" s="281"/>
      <c r="I26" s="281"/>
      <c r="J26" s="281"/>
      <c r="K26" s="281"/>
      <c r="L26" s="281"/>
      <c r="M26" s="281"/>
      <c r="N26" s="281"/>
      <c r="O26" s="281"/>
      <c r="P26" s="281"/>
      <c r="Q26" s="281"/>
      <c r="R26" s="281"/>
      <c r="S26" s="281"/>
      <c r="T26" s="281"/>
      <c r="U26" s="281"/>
      <c r="V26" s="281"/>
      <c r="W26" s="281"/>
      <c r="X26" s="281"/>
      <c r="Y26" s="281"/>
      <c r="Z26" s="281"/>
    </row>
    <row r="27">
      <c r="A27" s="285" t="s">
        <v>482</v>
      </c>
      <c r="B27" s="286" t="s">
        <v>480</v>
      </c>
      <c r="C27" s="287" t="s">
        <v>452</v>
      </c>
      <c r="D27" s="287" t="s">
        <v>483</v>
      </c>
      <c r="E27" s="287">
        <v>0.0</v>
      </c>
      <c r="F27" s="287" t="s">
        <v>457</v>
      </c>
      <c r="G27" s="281"/>
      <c r="H27" s="281"/>
      <c r="I27" s="281"/>
      <c r="J27" s="281"/>
      <c r="K27" s="281"/>
      <c r="L27" s="281"/>
      <c r="M27" s="281"/>
      <c r="N27" s="281"/>
      <c r="O27" s="281"/>
      <c r="P27" s="281"/>
      <c r="Q27" s="281"/>
      <c r="R27" s="281"/>
      <c r="S27" s="281"/>
      <c r="T27" s="281"/>
      <c r="U27" s="281"/>
      <c r="V27" s="281"/>
      <c r="W27" s="281"/>
      <c r="X27" s="281"/>
      <c r="Y27" s="281"/>
      <c r="Z27" s="281"/>
    </row>
    <row r="28">
      <c r="A28" s="285" t="s">
        <v>484</v>
      </c>
      <c r="B28" s="286" t="s">
        <v>480</v>
      </c>
      <c r="C28" s="287" t="s">
        <v>452</v>
      </c>
      <c r="D28" s="287" t="s">
        <v>461</v>
      </c>
      <c r="E28" s="287">
        <v>0.0</v>
      </c>
      <c r="F28" s="287" t="s">
        <v>452</v>
      </c>
      <c r="G28" s="281"/>
      <c r="H28" s="281"/>
      <c r="I28" s="281"/>
      <c r="J28" s="281"/>
      <c r="K28" s="281"/>
      <c r="L28" s="281"/>
      <c r="M28" s="281"/>
      <c r="N28" s="281"/>
      <c r="O28" s="281"/>
      <c r="P28" s="281"/>
      <c r="Q28" s="281"/>
      <c r="R28" s="281"/>
      <c r="S28" s="281"/>
      <c r="T28" s="281"/>
      <c r="U28" s="281"/>
      <c r="V28" s="281"/>
      <c r="W28" s="281"/>
      <c r="X28" s="281"/>
      <c r="Y28" s="281"/>
      <c r="Z28" s="281"/>
    </row>
    <row r="29">
      <c r="A29" s="285" t="s">
        <v>485</v>
      </c>
      <c r="B29" s="286" t="s">
        <v>480</v>
      </c>
      <c r="C29" s="287" t="s">
        <v>452</v>
      </c>
      <c r="D29" s="287" t="s">
        <v>461</v>
      </c>
      <c r="E29" s="287" t="s">
        <v>452</v>
      </c>
      <c r="F29" s="287" t="s">
        <v>457</v>
      </c>
      <c r="G29" s="281"/>
      <c r="H29" s="281"/>
      <c r="I29" s="281"/>
      <c r="J29" s="281"/>
      <c r="K29" s="281"/>
      <c r="L29" s="281"/>
      <c r="M29" s="281"/>
      <c r="N29" s="281"/>
      <c r="O29" s="281"/>
      <c r="P29" s="281"/>
      <c r="Q29" s="281"/>
      <c r="R29" s="281"/>
      <c r="S29" s="281"/>
      <c r="T29" s="281"/>
      <c r="U29" s="281"/>
      <c r="V29" s="281"/>
      <c r="W29" s="281"/>
      <c r="X29" s="281"/>
      <c r="Y29" s="281"/>
      <c r="Z29" s="281"/>
    </row>
    <row r="30">
      <c r="A30" s="285" t="s">
        <v>486</v>
      </c>
      <c r="B30" s="286" t="s">
        <v>480</v>
      </c>
      <c r="C30" s="287">
        <v>0.0</v>
      </c>
      <c r="D30" s="287" t="s">
        <v>457</v>
      </c>
      <c r="E30" s="287">
        <v>0.0</v>
      </c>
      <c r="F30" s="287" t="s">
        <v>452</v>
      </c>
      <c r="G30" s="281"/>
      <c r="H30" s="281"/>
      <c r="I30" s="281"/>
      <c r="J30" s="281"/>
      <c r="K30" s="281"/>
      <c r="L30" s="281"/>
      <c r="M30" s="281"/>
      <c r="N30" s="281"/>
      <c r="O30" s="281"/>
      <c r="P30" s="281"/>
      <c r="Q30" s="281"/>
      <c r="R30" s="281"/>
      <c r="S30" s="281"/>
      <c r="T30" s="281"/>
      <c r="U30" s="281"/>
      <c r="V30" s="281"/>
      <c r="W30" s="281"/>
      <c r="X30" s="281"/>
      <c r="Y30" s="281"/>
      <c r="Z30" s="281"/>
    </row>
    <row r="31">
      <c r="A31" s="285" t="s">
        <v>487</v>
      </c>
      <c r="B31" s="286" t="s">
        <v>231</v>
      </c>
      <c r="C31" s="287">
        <v>0.0</v>
      </c>
      <c r="D31" s="287" t="s">
        <v>457</v>
      </c>
      <c r="E31" s="287">
        <v>0.0</v>
      </c>
      <c r="F31" s="287" t="s">
        <v>452</v>
      </c>
      <c r="G31" s="281"/>
      <c r="H31" s="281"/>
      <c r="I31" s="281"/>
      <c r="J31" s="281"/>
      <c r="K31" s="281"/>
      <c r="L31" s="281"/>
      <c r="M31" s="281"/>
      <c r="N31" s="281"/>
      <c r="O31" s="281"/>
      <c r="P31" s="281"/>
      <c r="Q31" s="281"/>
      <c r="R31" s="281"/>
      <c r="S31" s="281"/>
      <c r="T31" s="281"/>
      <c r="U31" s="281"/>
      <c r="V31" s="281"/>
      <c r="W31" s="281"/>
      <c r="X31" s="281"/>
      <c r="Y31" s="281"/>
      <c r="Z31" s="281"/>
    </row>
    <row r="32">
      <c r="A32" s="285" t="s">
        <v>488</v>
      </c>
      <c r="B32" s="286" t="s">
        <v>231</v>
      </c>
      <c r="C32" s="287" t="s">
        <v>452</v>
      </c>
      <c r="D32" s="287" t="s">
        <v>489</v>
      </c>
      <c r="E32" s="287">
        <v>0.0</v>
      </c>
      <c r="F32" s="287" t="s">
        <v>454</v>
      </c>
      <c r="G32" s="281"/>
      <c r="H32" s="281"/>
      <c r="I32" s="281"/>
      <c r="J32" s="281"/>
      <c r="K32" s="281"/>
      <c r="L32" s="281"/>
      <c r="M32" s="281"/>
      <c r="N32" s="281"/>
      <c r="O32" s="281"/>
      <c r="P32" s="281"/>
      <c r="Q32" s="281"/>
      <c r="R32" s="281"/>
      <c r="S32" s="281"/>
      <c r="T32" s="281"/>
      <c r="U32" s="281"/>
      <c r="V32" s="281"/>
      <c r="W32" s="281"/>
      <c r="X32" s="281"/>
      <c r="Y32" s="281"/>
      <c r="Z32" s="281"/>
    </row>
    <row r="33">
      <c r="A33" s="285" t="s">
        <v>490</v>
      </c>
      <c r="B33" s="286" t="s">
        <v>231</v>
      </c>
      <c r="C33" s="287" t="s">
        <v>452</v>
      </c>
      <c r="D33" s="287" t="s">
        <v>457</v>
      </c>
      <c r="E33" s="287">
        <v>0.0</v>
      </c>
      <c r="F33" s="287" t="s">
        <v>454</v>
      </c>
      <c r="G33" s="281"/>
      <c r="H33" s="281"/>
      <c r="I33" s="281"/>
      <c r="J33" s="281"/>
      <c r="K33" s="281"/>
      <c r="L33" s="281"/>
      <c r="M33" s="281"/>
      <c r="N33" s="281"/>
      <c r="O33" s="281"/>
      <c r="P33" s="281"/>
      <c r="Q33" s="281"/>
      <c r="R33" s="281"/>
      <c r="S33" s="281"/>
      <c r="T33" s="281"/>
      <c r="U33" s="281"/>
      <c r="V33" s="281"/>
      <c r="W33" s="281"/>
      <c r="X33" s="281"/>
      <c r="Y33" s="281"/>
      <c r="Z33" s="281"/>
    </row>
    <row r="34">
      <c r="A34" s="285" t="s">
        <v>491</v>
      </c>
      <c r="B34" s="286" t="s">
        <v>231</v>
      </c>
      <c r="C34" s="287" t="s">
        <v>452</v>
      </c>
      <c r="D34" s="287" t="s">
        <v>454</v>
      </c>
      <c r="E34" s="287">
        <v>0.0</v>
      </c>
      <c r="F34" s="287" t="s">
        <v>452</v>
      </c>
      <c r="G34" s="281"/>
      <c r="H34" s="281"/>
      <c r="I34" s="281"/>
      <c r="J34" s="281"/>
      <c r="K34" s="281"/>
      <c r="L34" s="281"/>
      <c r="M34" s="281"/>
      <c r="N34" s="281"/>
      <c r="O34" s="281"/>
      <c r="P34" s="281"/>
      <c r="Q34" s="281"/>
      <c r="R34" s="281"/>
      <c r="S34" s="281"/>
      <c r="T34" s="281"/>
      <c r="U34" s="281"/>
      <c r="V34" s="281"/>
      <c r="W34" s="281"/>
      <c r="X34" s="281"/>
      <c r="Y34" s="281"/>
      <c r="Z34" s="281"/>
    </row>
    <row r="35">
      <c r="A35" s="285" t="s">
        <v>492</v>
      </c>
      <c r="B35" s="286" t="s">
        <v>231</v>
      </c>
      <c r="C35" s="287">
        <v>0.0</v>
      </c>
      <c r="D35" s="287" t="s">
        <v>483</v>
      </c>
      <c r="E35" s="287">
        <v>0.0</v>
      </c>
      <c r="F35" s="287" t="s">
        <v>452</v>
      </c>
      <c r="G35" s="281"/>
      <c r="H35" s="281"/>
      <c r="I35" s="281"/>
      <c r="J35" s="281"/>
      <c r="K35" s="281"/>
      <c r="L35" s="281"/>
      <c r="M35" s="281"/>
      <c r="N35" s="281"/>
      <c r="O35" s="281"/>
      <c r="P35" s="281"/>
      <c r="Q35" s="281"/>
      <c r="R35" s="281"/>
      <c r="S35" s="281"/>
      <c r="T35" s="281"/>
      <c r="U35" s="281"/>
      <c r="V35" s="281"/>
      <c r="W35" s="281"/>
      <c r="X35" s="281"/>
      <c r="Y35" s="281"/>
      <c r="Z35" s="281"/>
    </row>
    <row r="36">
      <c r="A36" s="285" t="s">
        <v>493</v>
      </c>
      <c r="B36" s="286" t="s">
        <v>494</v>
      </c>
      <c r="C36" s="287" t="s">
        <v>452</v>
      </c>
      <c r="D36" s="287" t="s">
        <v>454</v>
      </c>
      <c r="E36" s="287">
        <v>0.0</v>
      </c>
      <c r="F36" s="287" t="s">
        <v>452</v>
      </c>
      <c r="G36" s="281"/>
      <c r="H36" s="281"/>
      <c r="I36" s="281"/>
      <c r="J36" s="281"/>
      <c r="K36" s="281"/>
      <c r="L36" s="281"/>
      <c r="M36" s="281"/>
      <c r="N36" s="281"/>
      <c r="O36" s="281"/>
      <c r="P36" s="281"/>
      <c r="Q36" s="281"/>
      <c r="R36" s="281"/>
      <c r="S36" s="281"/>
      <c r="T36" s="281"/>
      <c r="U36" s="281"/>
      <c r="V36" s="281"/>
      <c r="W36" s="281"/>
      <c r="X36" s="281"/>
      <c r="Y36" s="281"/>
      <c r="Z36" s="281"/>
    </row>
    <row r="37">
      <c r="A37" s="285" t="s">
        <v>495</v>
      </c>
      <c r="B37" s="286" t="s">
        <v>494</v>
      </c>
      <c r="C37" s="287">
        <v>0.0</v>
      </c>
      <c r="D37" s="287" t="s">
        <v>452</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496</v>
      </c>
      <c r="B38" s="286" t="s">
        <v>494</v>
      </c>
      <c r="C38" s="287" t="s">
        <v>452</v>
      </c>
      <c r="D38" s="287" t="s">
        <v>497</v>
      </c>
      <c r="E38" s="287">
        <v>0.0</v>
      </c>
      <c r="F38" s="287" t="s">
        <v>454</v>
      </c>
      <c r="G38" s="281"/>
      <c r="H38" s="281"/>
      <c r="I38" s="281"/>
      <c r="J38" s="281"/>
      <c r="K38" s="281"/>
      <c r="L38" s="281"/>
      <c r="M38" s="281"/>
      <c r="N38" s="281"/>
      <c r="O38" s="281"/>
      <c r="P38" s="281"/>
      <c r="Q38" s="281"/>
      <c r="R38" s="281"/>
      <c r="S38" s="281"/>
      <c r="T38" s="281"/>
      <c r="U38" s="281"/>
      <c r="V38" s="281"/>
      <c r="W38" s="281"/>
      <c r="X38" s="281"/>
      <c r="Y38" s="281"/>
      <c r="Z38" s="281"/>
    </row>
    <row r="39">
      <c r="A39" s="285" t="s">
        <v>498</v>
      </c>
      <c r="B39" s="286" t="s">
        <v>494</v>
      </c>
      <c r="C39" s="287">
        <v>0.0</v>
      </c>
      <c r="D39" s="287" t="s">
        <v>457</v>
      </c>
      <c r="E39" s="287">
        <v>0.0</v>
      </c>
      <c r="F39" s="287" t="s">
        <v>452</v>
      </c>
      <c r="G39" s="281"/>
      <c r="H39" s="281"/>
      <c r="I39" s="281"/>
      <c r="J39" s="281"/>
      <c r="K39" s="281"/>
      <c r="L39" s="281"/>
      <c r="M39" s="281"/>
      <c r="N39" s="281"/>
      <c r="O39" s="281"/>
      <c r="P39" s="281"/>
      <c r="Q39" s="281"/>
      <c r="R39" s="281"/>
      <c r="S39" s="281"/>
      <c r="T39" s="281"/>
      <c r="U39" s="281"/>
      <c r="V39" s="281"/>
      <c r="W39" s="281"/>
      <c r="X39" s="281"/>
      <c r="Y39" s="281"/>
      <c r="Z39" s="281"/>
    </row>
    <row r="40">
      <c r="A40" s="285" t="s">
        <v>499</v>
      </c>
      <c r="B40" s="286" t="s">
        <v>494</v>
      </c>
      <c r="C40" s="287">
        <v>0.0</v>
      </c>
      <c r="D40" s="287" t="s">
        <v>457</v>
      </c>
      <c r="E40" s="287">
        <v>0.0</v>
      </c>
      <c r="F40" s="287" t="s">
        <v>452</v>
      </c>
      <c r="G40" s="281"/>
      <c r="H40" s="281"/>
      <c r="I40" s="281"/>
      <c r="J40" s="281"/>
      <c r="K40" s="281"/>
      <c r="L40" s="281"/>
      <c r="M40" s="281"/>
      <c r="N40" s="281"/>
      <c r="O40" s="281"/>
      <c r="P40" s="281"/>
      <c r="Q40" s="281"/>
      <c r="R40" s="281"/>
      <c r="S40" s="281"/>
      <c r="T40" s="281"/>
      <c r="U40" s="281"/>
      <c r="V40" s="281"/>
      <c r="W40" s="281"/>
      <c r="X40" s="281"/>
      <c r="Y40" s="281"/>
      <c r="Z40" s="281"/>
    </row>
    <row r="41">
      <c r="A41" s="285" t="s">
        <v>500</v>
      </c>
      <c r="B41" s="286" t="s">
        <v>494</v>
      </c>
      <c r="C41" s="287" t="s">
        <v>452</v>
      </c>
      <c r="D41" s="287" t="s">
        <v>483</v>
      </c>
      <c r="E41" s="287">
        <v>0.0</v>
      </c>
      <c r="F41" s="287" t="s">
        <v>452</v>
      </c>
      <c r="G41" s="281"/>
      <c r="H41" s="281"/>
      <c r="I41" s="281"/>
      <c r="J41" s="281"/>
      <c r="K41" s="281"/>
      <c r="L41" s="281"/>
      <c r="M41" s="281"/>
      <c r="N41" s="281"/>
      <c r="O41" s="281"/>
      <c r="P41" s="281"/>
      <c r="Q41" s="281"/>
      <c r="R41" s="281"/>
      <c r="S41" s="281"/>
      <c r="T41" s="281"/>
      <c r="U41" s="281"/>
      <c r="V41" s="281"/>
      <c r="W41" s="281"/>
      <c r="X41" s="281"/>
      <c r="Y41" s="281"/>
      <c r="Z41" s="281"/>
    </row>
    <row r="42">
      <c r="A42" s="285" t="s">
        <v>501</v>
      </c>
      <c r="B42" s="286" t="s">
        <v>494</v>
      </c>
      <c r="C42" s="287">
        <v>0.0</v>
      </c>
      <c r="D42" s="287" t="s">
        <v>457</v>
      </c>
      <c r="E42" s="287">
        <v>0.0</v>
      </c>
      <c r="F42" s="287" t="s">
        <v>452</v>
      </c>
      <c r="G42" s="281"/>
      <c r="H42" s="281"/>
      <c r="I42" s="281"/>
      <c r="J42" s="281"/>
      <c r="K42" s="281"/>
      <c r="L42" s="281"/>
      <c r="M42" s="281"/>
      <c r="N42" s="281"/>
      <c r="O42" s="281"/>
      <c r="P42" s="281"/>
      <c r="Q42" s="281"/>
      <c r="R42" s="281"/>
      <c r="S42" s="281"/>
      <c r="T42" s="281"/>
      <c r="U42" s="281"/>
      <c r="V42" s="281"/>
      <c r="W42" s="281"/>
      <c r="X42" s="281"/>
      <c r="Y42" s="281"/>
      <c r="Z42" s="281"/>
    </row>
    <row r="43">
      <c r="A43" s="285" t="s">
        <v>502</v>
      </c>
      <c r="B43" s="286" t="s">
        <v>494</v>
      </c>
      <c r="C43" s="287">
        <v>0.0</v>
      </c>
      <c r="D43" s="287" t="s">
        <v>452</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503</v>
      </c>
      <c r="B44" s="286" t="s">
        <v>494</v>
      </c>
      <c r="C44" s="287">
        <v>0.0</v>
      </c>
      <c r="D44" s="287" t="s">
        <v>459</v>
      </c>
      <c r="E44" s="287">
        <v>0.0</v>
      </c>
      <c r="F44" s="287" t="s">
        <v>452</v>
      </c>
      <c r="G44" s="281"/>
      <c r="H44" s="281"/>
      <c r="I44" s="281"/>
      <c r="J44" s="281"/>
      <c r="K44" s="281"/>
      <c r="L44" s="281"/>
      <c r="M44" s="281"/>
      <c r="N44" s="281"/>
      <c r="O44" s="281"/>
      <c r="P44" s="281"/>
      <c r="Q44" s="281"/>
      <c r="R44" s="281"/>
      <c r="S44" s="281"/>
      <c r="T44" s="281"/>
      <c r="U44" s="281"/>
      <c r="V44" s="281"/>
      <c r="W44" s="281"/>
      <c r="X44" s="281"/>
      <c r="Y44" s="281"/>
      <c r="Z44" s="281"/>
    </row>
    <row r="45">
      <c r="A45" s="285" t="s">
        <v>504</v>
      </c>
      <c r="B45" s="286" t="s">
        <v>494</v>
      </c>
      <c r="C45" s="287" t="s">
        <v>452</v>
      </c>
      <c r="D45" s="287" t="s">
        <v>505</v>
      </c>
      <c r="E45" s="287">
        <v>0.0</v>
      </c>
      <c r="F45" s="287" t="s">
        <v>454</v>
      </c>
      <c r="G45" s="281"/>
      <c r="H45" s="281"/>
      <c r="I45" s="281"/>
      <c r="J45" s="281"/>
      <c r="K45" s="281"/>
      <c r="L45" s="281"/>
      <c r="M45" s="281"/>
      <c r="N45" s="281"/>
      <c r="O45" s="281"/>
      <c r="P45" s="281"/>
      <c r="Q45" s="281"/>
      <c r="R45" s="281"/>
      <c r="S45" s="281"/>
      <c r="T45" s="281"/>
      <c r="U45" s="281"/>
      <c r="V45" s="281"/>
      <c r="W45" s="281"/>
      <c r="X45" s="281"/>
      <c r="Y45" s="281"/>
      <c r="Z45" s="281"/>
    </row>
    <row r="46">
      <c r="A46" s="285" t="s">
        <v>506</v>
      </c>
      <c r="B46" s="286" t="s">
        <v>494</v>
      </c>
      <c r="C46" s="287">
        <v>0.0</v>
      </c>
      <c r="D46" s="287" t="s">
        <v>457</v>
      </c>
      <c r="E46" s="287">
        <v>0.0</v>
      </c>
      <c r="F46" s="287" t="s">
        <v>454</v>
      </c>
      <c r="G46" s="281"/>
      <c r="H46" s="281"/>
      <c r="I46" s="281"/>
      <c r="J46" s="281"/>
      <c r="K46" s="281"/>
      <c r="L46" s="281"/>
      <c r="M46" s="281"/>
      <c r="N46" s="281"/>
      <c r="O46" s="281"/>
      <c r="P46" s="281"/>
      <c r="Q46" s="281"/>
      <c r="R46" s="281"/>
      <c r="S46" s="281"/>
      <c r="T46" s="281"/>
      <c r="U46" s="281"/>
      <c r="V46" s="281"/>
      <c r="W46" s="281"/>
      <c r="X46" s="281"/>
      <c r="Y46" s="281"/>
      <c r="Z46" s="281"/>
    </row>
    <row r="47">
      <c r="A47" s="285" t="s">
        <v>507</v>
      </c>
      <c r="B47" s="286" t="s">
        <v>494</v>
      </c>
      <c r="C47" s="287" t="s">
        <v>463</v>
      </c>
      <c r="D47" s="287" t="s">
        <v>508</v>
      </c>
      <c r="E47" s="287" t="s">
        <v>452</v>
      </c>
      <c r="F47" s="287" t="s">
        <v>454</v>
      </c>
      <c r="G47" s="281"/>
      <c r="H47" s="281"/>
      <c r="I47" s="281"/>
      <c r="J47" s="281"/>
      <c r="K47" s="281"/>
      <c r="L47" s="281"/>
      <c r="M47" s="281"/>
      <c r="N47" s="281"/>
      <c r="O47" s="281"/>
      <c r="P47" s="281"/>
      <c r="Q47" s="281"/>
      <c r="R47" s="281"/>
      <c r="S47" s="281"/>
      <c r="T47" s="281"/>
      <c r="U47" s="281"/>
      <c r="V47" s="281"/>
      <c r="W47" s="281"/>
      <c r="X47" s="281"/>
      <c r="Y47" s="281"/>
      <c r="Z47" s="281"/>
    </row>
    <row r="48">
      <c r="A48" s="285" t="s">
        <v>509</v>
      </c>
      <c r="B48" s="286" t="s">
        <v>494</v>
      </c>
      <c r="C48" s="287">
        <v>0.0</v>
      </c>
      <c r="D48" s="287" t="s">
        <v>457</v>
      </c>
      <c r="E48" s="287">
        <v>0.0</v>
      </c>
      <c r="F48" s="287" t="s">
        <v>452</v>
      </c>
      <c r="G48" s="281"/>
      <c r="H48" s="281"/>
      <c r="I48" s="281"/>
      <c r="J48" s="281"/>
      <c r="K48" s="281"/>
      <c r="L48" s="281"/>
      <c r="M48" s="281"/>
      <c r="N48" s="281"/>
      <c r="O48" s="281"/>
      <c r="P48" s="281"/>
      <c r="Q48" s="281"/>
      <c r="R48" s="281"/>
      <c r="S48" s="281"/>
      <c r="T48" s="281"/>
      <c r="U48" s="281"/>
      <c r="V48" s="281"/>
      <c r="W48" s="281"/>
      <c r="X48" s="281"/>
      <c r="Y48" s="281"/>
      <c r="Z48" s="281"/>
    </row>
    <row r="49">
      <c r="A49" s="285" t="s">
        <v>510</v>
      </c>
      <c r="B49" s="286" t="s">
        <v>494</v>
      </c>
      <c r="C49" s="287">
        <v>0.0</v>
      </c>
      <c r="D49" s="287" t="s">
        <v>457</v>
      </c>
      <c r="E49" s="287">
        <v>0.0</v>
      </c>
      <c r="F49" s="287" t="s">
        <v>452</v>
      </c>
      <c r="G49" s="281"/>
      <c r="H49" s="281"/>
      <c r="I49" s="281"/>
      <c r="J49" s="281"/>
      <c r="K49" s="281"/>
      <c r="L49" s="281"/>
      <c r="M49" s="281"/>
      <c r="N49" s="281"/>
      <c r="O49" s="281"/>
      <c r="P49" s="281"/>
      <c r="Q49" s="281"/>
      <c r="R49" s="281"/>
      <c r="S49" s="281"/>
      <c r="T49" s="281"/>
      <c r="U49" s="281"/>
      <c r="V49" s="281"/>
      <c r="W49" s="281"/>
      <c r="X49" s="281"/>
      <c r="Y49" s="281"/>
      <c r="Z49" s="281"/>
    </row>
    <row r="50">
      <c r="A50" s="285" t="s">
        <v>511</v>
      </c>
      <c r="B50" s="286" t="s">
        <v>494</v>
      </c>
      <c r="C50" s="287" t="s">
        <v>452</v>
      </c>
      <c r="D50" s="287" t="s">
        <v>454</v>
      </c>
      <c r="E50" s="287" t="s">
        <v>452</v>
      </c>
      <c r="F50" s="287" t="s">
        <v>452</v>
      </c>
      <c r="G50" s="281"/>
      <c r="H50" s="281"/>
      <c r="I50" s="281"/>
      <c r="J50" s="281"/>
      <c r="K50" s="281"/>
      <c r="L50" s="281"/>
      <c r="M50" s="281"/>
      <c r="N50" s="281"/>
      <c r="O50" s="281"/>
      <c r="P50" s="281"/>
      <c r="Q50" s="281"/>
      <c r="R50" s="281"/>
      <c r="S50" s="281"/>
      <c r="T50" s="281"/>
      <c r="U50" s="281"/>
      <c r="V50" s="281"/>
      <c r="W50" s="281"/>
      <c r="X50" s="281"/>
      <c r="Y50" s="281"/>
      <c r="Z50" s="281"/>
    </row>
    <row r="51">
      <c r="A51" s="285" t="s">
        <v>512</v>
      </c>
      <c r="B51" s="286" t="s">
        <v>494</v>
      </c>
      <c r="C51" s="287">
        <v>0.0</v>
      </c>
      <c r="D51" s="287" t="s">
        <v>452</v>
      </c>
      <c r="E51" s="287">
        <v>0.0</v>
      </c>
      <c r="F51" s="287" t="s">
        <v>454</v>
      </c>
      <c r="G51" s="281"/>
      <c r="H51" s="281"/>
      <c r="I51" s="281"/>
      <c r="J51" s="281"/>
      <c r="K51" s="281"/>
      <c r="L51" s="281"/>
      <c r="M51" s="281"/>
      <c r="N51" s="281"/>
      <c r="O51" s="281"/>
      <c r="P51" s="281"/>
      <c r="Q51" s="281"/>
      <c r="R51" s="281"/>
      <c r="S51" s="281"/>
      <c r="T51" s="281"/>
      <c r="U51" s="281"/>
      <c r="V51" s="281"/>
      <c r="W51" s="281"/>
      <c r="X51" s="281"/>
      <c r="Y51" s="281"/>
      <c r="Z51" s="281"/>
    </row>
    <row r="52">
      <c r="A52" s="285" t="s">
        <v>513</v>
      </c>
      <c r="B52" s="286" t="s">
        <v>494</v>
      </c>
      <c r="C52" s="287" t="s">
        <v>452</v>
      </c>
      <c r="D52" s="287" t="s">
        <v>457</v>
      </c>
      <c r="E52" s="287">
        <v>0.0</v>
      </c>
      <c r="F52" s="287" t="s">
        <v>452</v>
      </c>
      <c r="G52" s="281"/>
      <c r="H52" s="281"/>
      <c r="I52" s="281"/>
      <c r="J52" s="281"/>
      <c r="K52" s="281"/>
      <c r="L52" s="281"/>
      <c r="M52" s="281"/>
      <c r="N52" s="281"/>
      <c r="O52" s="281"/>
      <c r="P52" s="281"/>
      <c r="Q52" s="281"/>
      <c r="R52" s="281"/>
      <c r="S52" s="281"/>
      <c r="T52" s="281"/>
      <c r="U52" s="281"/>
      <c r="V52" s="281"/>
      <c r="W52" s="281"/>
      <c r="X52" s="281"/>
      <c r="Y52" s="281"/>
      <c r="Z52" s="281"/>
    </row>
    <row r="53">
      <c r="A53" s="285" t="s">
        <v>514</v>
      </c>
      <c r="B53" s="286" t="s">
        <v>494</v>
      </c>
      <c r="C53" s="287">
        <v>0.0</v>
      </c>
      <c r="D53" s="287" t="s">
        <v>454</v>
      </c>
      <c r="E53" s="287">
        <v>0.0</v>
      </c>
      <c r="F53" s="287" t="s">
        <v>454</v>
      </c>
      <c r="G53" s="281"/>
      <c r="H53" s="281"/>
      <c r="I53" s="281"/>
      <c r="J53" s="281"/>
      <c r="K53" s="281"/>
      <c r="L53" s="281"/>
      <c r="M53" s="281"/>
      <c r="N53" s="281"/>
      <c r="O53" s="281"/>
      <c r="P53" s="281"/>
      <c r="Q53" s="281"/>
      <c r="R53" s="281"/>
      <c r="S53" s="281"/>
      <c r="T53" s="281"/>
      <c r="U53" s="281"/>
      <c r="V53" s="281"/>
      <c r="W53" s="281"/>
      <c r="X53" s="281"/>
      <c r="Y53" s="281"/>
      <c r="Z53" s="281"/>
    </row>
    <row r="54">
      <c r="A54" s="285" t="s">
        <v>515</v>
      </c>
      <c r="B54" s="286" t="s">
        <v>494</v>
      </c>
      <c r="C54" s="287">
        <v>0.0</v>
      </c>
      <c r="D54" s="287" t="s">
        <v>457</v>
      </c>
      <c r="E54" s="287">
        <v>0.0</v>
      </c>
      <c r="F54" s="287" t="s">
        <v>452</v>
      </c>
      <c r="G54" s="281"/>
      <c r="H54" s="281"/>
      <c r="I54" s="281"/>
      <c r="J54" s="281"/>
      <c r="K54" s="281"/>
      <c r="L54" s="281"/>
      <c r="M54" s="281"/>
      <c r="N54" s="281"/>
      <c r="O54" s="281"/>
      <c r="P54" s="281"/>
      <c r="Q54" s="281"/>
      <c r="R54" s="281"/>
      <c r="S54" s="281"/>
      <c r="T54" s="281"/>
      <c r="U54" s="281"/>
      <c r="V54" s="281"/>
      <c r="W54" s="281"/>
      <c r="X54" s="281"/>
      <c r="Y54" s="281"/>
      <c r="Z54" s="281"/>
    </row>
    <row r="55">
      <c r="A55" s="285" t="s">
        <v>516</v>
      </c>
      <c r="B55" s="286" t="s">
        <v>494</v>
      </c>
      <c r="C55" s="287">
        <v>0.0</v>
      </c>
      <c r="D55" s="287" t="s">
        <v>463</v>
      </c>
      <c r="E55" s="287">
        <v>0.0</v>
      </c>
      <c r="F55" s="287" t="s">
        <v>454</v>
      </c>
      <c r="G55" s="281"/>
      <c r="H55" s="281"/>
      <c r="I55" s="281"/>
      <c r="J55" s="281"/>
      <c r="K55" s="281"/>
      <c r="L55" s="281"/>
      <c r="M55" s="281"/>
      <c r="N55" s="281"/>
      <c r="O55" s="281"/>
      <c r="P55" s="281"/>
      <c r="Q55" s="281"/>
      <c r="R55" s="281"/>
      <c r="S55" s="281"/>
      <c r="T55" s="281"/>
      <c r="U55" s="281"/>
      <c r="V55" s="281"/>
      <c r="W55" s="281"/>
      <c r="X55" s="281"/>
      <c r="Y55" s="281"/>
      <c r="Z55" s="281"/>
    </row>
    <row r="56">
      <c r="A56" s="285" t="s">
        <v>517</v>
      </c>
      <c r="B56" s="286" t="s">
        <v>494</v>
      </c>
      <c r="C56" s="287">
        <v>0.0</v>
      </c>
      <c r="D56" s="287" t="s">
        <v>452</v>
      </c>
      <c r="E56" s="287">
        <v>0.0</v>
      </c>
      <c r="F56" s="287" t="s">
        <v>452</v>
      </c>
      <c r="G56" s="281"/>
      <c r="H56" s="281"/>
      <c r="I56" s="281"/>
      <c r="J56" s="281"/>
      <c r="K56" s="281"/>
      <c r="L56" s="281"/>
      <c r="M56" s="281"/>
      <c r="N56" s="281"/>
      <c r="O56" s="281"/>
      <c r="P56" s="281"/>
      <c r="Q56" s="281"/>
      <c r="R56" s="281"/>
      <c r="S56" s="281"/>
      <c r="T56" s="281"/>
      <c r="U56" s="281"/>
      <c r="V56" s="281"/>
      <c r="W56" s="281"/>
      <c r="X56" s="281"/>
      <c r="Y56" s="281"/>
      <c r="Z56" s="281"/>
    </row>
    <row r="57">
      <c r="A57" s="285" t="s">
        <v>518</v>
      </c>
      <c r="B57" s="286" t="s">
        <v>494</v>
      </c>
      <c r="C57" s="287">
        <v>0.0</v>
      </c>
      <c r="D57" s="287" t="s">
        <v>454</v>
      </c>
      <c r="E57" s="287">
        <v>0.0</v>
      </c>
      <c r="F57" s="287" t="s">
        <v>452</v>
      </c>
      <c r="G57" s="281"/>
      <c r="H57" s="281"/>
      <c r="I57" s="281"/>
      <c r="J57" s="281"/>
      <c r="K57" s="281"/>
      <c r="L57" s="281"/>
      <c r="M57" s="281"/>
      <c r="N57" s="281"/>
      <c r="O57" s="281"/>
      <c r="P57" s="281"/>
      <c r="Q57" s="281"/>
      <c r="R57" s="281"/>
      <c r="S57" s="281"/>
      <c r="T57" s="281"/>
      <c r="U57" s="281"/>
      <c r="V57" s="281"/>
      <c r="W57" s="281"/>
      <c r="X57" s="281"/>
      <c r="Y57" s="281"/>
      <c r="Z57" s="281"/>
    </row>
    <row r="58">
      <c r="A58" s="285" t="s">
        <v>519</v>
      </c>
      <c r="B58" s="286" t="s">
        <v>494</v>
      </c>
      <c r="C58" s="287">
        <v>0.0</v>
      </c>
      <c r="D58" s="287" t="s">
        <v>483</v>
      </c>
      <c r="E58" s="287">
        <v>0.0</v>
      </c>
      <c r="F58" s="287" t="s">
        <v>452</v>
      </c>
      <c r="G58" s="281"/>
      <c r="H58" s="281"/>
      <c r="I58" s="281"/>
      <c r="J58" s="281"/>
      <c r="K58" s="281"/>
      <c r="L58" s="281"/>
      <c r="M58" s="281"/>
      <c r="N58" s="281"/>
      <c r="O58" s="281"/>
      <c r="P58" s="281"/>
      <c r="Q58" s="281"/>
      <c r="R58" s="281"/>
      <c r="S58" s="281"/>
      <c r="T58" s="281"/>
      <c r="U58" s="281"/>
      <c r="V58" s="281"/>
      <c r="W58" s="281"/>
      <c r="X58" s="281"/>
      <c r="Y58" s="281"/>
      <c r="Z58" s="281"/>
    </row>
    <row r="59">
      <c r="A59" s="285" t="s">
        <v>520</v>
      </c>
      <c r="B59" s="286" t="s">
        <v>494</v>
      </c>
      <c r="C59" s="287">
        <v>0.0</v>
      </c>
      <c r="D59" s="287" t="s">
        <v>457</v>
      </c>
      <c r="E59" s="287">
        <v>0.0</v>
      </c>
      <c r="F59" s="287" t="s">
        <v>452</v>
      </c>
      <c r="G59" s="281"/>
      <c r="H59" s="281"/>
      <c r="I59" s="281"/>
      <c r="J59" s="281"/>
      <c r="K59" s="281"/>
      <c r="L59" s="281"/>
      <c r="M59" s="281"/>
      <c r="N59" s="281"/>
      <c r="O59" s="281"/>
      <c r="P59" s="281"/>
      <c r="Q59" s="281"/>
      <c r="R59" s="281"/>
      <c r="S59" s="281"/>
      <c r="T59" s="281"/>
      <c r="U59" s="281"/>
      <c r="V59" s="281"/>
      <c r="W59" s="281"/>
      <c r="X59" s="281"/>
      <c r="Y59" s="281"/>
      <c r="Z59" s="281"/>
    </row>
    <row r="60">
      <c r="A60" s="285" t="s">
        <v>521</v>
      </c>
      <c r="B60" s="286" t="s">
        <v>494</v>
      </c>
      <c r="C60" s="287">
        <v>0.0</v>
      </c>
      <c r="D60" s="287" t="s">
        <v>452</v>
      </c>
      <c r="E60" s="287" t="s">
        <v>452</v>
      </c>
      <c r="F60" s="287" t="s">
        <v>452</v>
      </c>
      <c r="G60" s="281"/>
      <c r="H60" s="281"/>
      <c r="I60" s="281"/>
      <c r="J60" s="281"/>
      <c r="K60" s="281"/>
      <c r="L60" s="281"/>
      <c r="M60" s="281"/>
      <c r="N60" s="281"/>
      <c r="O60" s="281"/>
      <c r="P60" s="281"/>
      <c r="Q60" s="281"/>
      <c r="R60" s="281"/>
      <c r="S60" s="281"/>
      <c r="T60" s="281"/>
      <c r="U60" s="281"/>
      <c r="V60" s="281"/>
      <c r="W60" s="281"/>
      <c r="X60" s="281"/>
      <c r="Y60" s="281"/>
      <c r="Z60" s="281"/>
    </row>
    <row r="61">
      <c r="A61" s="285" t="s">
        <v>522</v>
      </c>
      <c r="B61" s="286" t="s">
        <v>494</v>
      </c>
      <c r="C61" s="287">
        <v>0.0</v>
      </c>
      <c r="D61" s="287" t="s">
        <v>463</v>
      </c>
      <c r="E61" s="287">
        <v>0.0</v>
      </c>
      <c r="F61" s="287" t="s">
        <v>452</v>
      </c>
      <c r="G61" s="281"/>
      <c r="H61" s="281"/>
      <c r="I61" s="281"/>
      <c r="J61" s="281"/>
      <c r="K61" s="281"/>
      <c r="L61" s="281"/>
      <c r="M61" s="281"/>
      <c r="N61" s="281"/>
      <c r="O61" s="281"/>
      <c r="P61" s="281"/>
      <c r="Q61" s="281"/>
      <c r="R61" s="281"/>
      <c r="S61" s="281"/>
      <c r="T61" s="281"/>
      <c r="U61" s="281"/>
      <c r="V61" s="281"/>
      <c r="W61" s="281"/>
      <c r="X61" s="281"/>
      <c r="Y61" s="281"/>
      <c r="Z61" s="281"/>
    </row>
    <row r="62">
      <c r="A62" s="285" t="s">
        <v>523</v>
      </c>
      <c r="B62" s="286" t="s">
        <v>494</v>
      </c>
      <c r="C62" s="287">
        <v>0.0</v>
      </c>
      <c r="D62" s="287" t="s">
        <v>454</v>
      </c>
      <c r="E62" s="287">
        <v>0.0</v>
      </c>
      <c r="F62" s="287" t="s">
        <v>452</v>
      </c>
      <c r="G62" s="281"/>
      <c r="H62" s="281"/>
      <c r="I62" s="281"/>
      <c r="J62" s="281"/>
      <c r="K62" s="281"/>
      <c r="L62" s="281"/>
      <c r="M62" s="281"/>
      <c r="N62" s="281"/>
      <c r="O62" s="281"/>
      <c r="P62" s="281"/>
      <c r="Q62" s="281"/>
      <c r="R62" s="281"/>
      <c r="S62" s="281"/>
      <c r="T62" s="281"/>
      <c r="U62" s="281"/>
      <c r="V62" s="281"/>
      <c r="W62" s="281"/>
      <c r="X62" s="281"/>
      <c r="Y62" s="281"/>
      <c r="Z62" s="281"/>
    </row>
    <row r="63">
      <c r="A63" s="285" t="s">
        <v>524</v>
      </c>
      <c r="B63" s="286" t="s">
        <v>494</v>
      </c>
      <c r="C63" s="287">
        <v>0.0</v>
      </c>
      <c r="D63" s="287" t="s">
        <v>457</v>
      </c>
      <c r="E63" s="287">
        <v>0.0</v>
      </c>
      <c r="F63" s="287" t="s">
        <v>452</v>
      </c>
      <c r="G63" s="281"/>
      <c r="H63" s="281"/>
      <c r="I63" s="281"/>
      <c r="J63" s="281"/>
      <c r="K63" s="281"/>
      <c r="L63" s="281"/>
      <c r="M63" s="281"/>
      <c r="N63" s="281"/>
      <c r="O63" s="281"/>
      <c r="P63" s="281"/>
      <c r="Q63" s="281"/>
      <c r="R63" s="281"/>
      <c r="S63" s="281"/>
      <c r="T63" s="281"/>
      <c r="U63" s="281"/>
      <c r="V63" s="281"/>
      <c r="W63" s="281"/>
      <c r="X63" s="281"/>
      <c r="Y63" s="281"/>
      <c r="Z63" s="281"/>
    </row>
    <row r="64">
      <c r="A64" s="285" t="s">
        <v>525</v>
      </c>
      <c r="B64" s="286" t="s">
        <v>494</v>
      </c>
      <c r="C64" s="287">
        <v>0.0</v>
      </c>
      <c r="D64" s="287" t="s">
        <v>457</v>
      </c>
      <c r="E64" s="287">
        <v>0.0</v>
      </c>
      <c r="F64" s="287" t="s">
        <v>452</v>
      </c>
      <c r="G64" s="281"/>
      <c r="H64" s="281"/>
      <c r="I64" s="281"/>
      <c r="J64" s="281"/>
      <c r="K64" s="281"/>
      <c r="L64" s="281"/>
      <c r="M64" s="281"/>
      <c r="N64" s="281"/>
      <c r="O64" s="281"/>
      <c r="P64" s="281"/>
      <c r="Q64" s="281"/>
      <c r="R64" s="281"/>
      <c r="S64" s="281"/>
      <c r="T64" s="281"/>
      <c r="U64" s="281"/>
      <c r="V64" s="281"/>
      <c r="W64" s="281"/>
      <c r="X64" s="281"/>
      <c r="Y64" s="281"/>
      <c r="Z64" s="281"/>
    </row>
    <row r="65">
      <c r="A65" s="285" t="s">
        <v>526</v>
      </c>
      <c r="B65" s="286" t="s">
        <v>494</v>
      </c>
      <c r="C65" s="287">
        <v>0.0</v>
      </c>
      <c r="D65" s="287" t="s">
        <v>454</v>
      </c>
      <c r="E65" s="287">
        <v>0.0</v>
      </c>
      <c r="F65" s="287" t="s">
        <v>452</v>
      </c>
      <c r="G65" s="281"/>
      <c r="H65" s="281"/>
      <c r="I65" s="281"/>
      <c r="J65" s="281"/>
      <c r="K65" s="281"/>
      <c r="L65" s="281"/>
      <c r="M65" s="281"/>
      <c r="N65" s="281"/>
      <c r="O65" s="281"/>
      <c r="P65" s="281"/>
      <c r="Q65" s="281"/>
      <c r="R65" s="281"/>
      <c r="S65" s="281"/>
      <c r="T65" s="281"/>
      <c r="U65" s="281"/>
      <c r="V65" s="281"/>
      <c r="W65" s="281"/>
      <c r="X65" s="281"/>
      <c r="Y65" s="281"/>
      <c r="Z65" s="281"/>
    </row>
    <row r="66">
      <c r="A66" s="285" t="s">
        <v>527</v>
      </c>
      <c r="B66" s="286" t="s">
        <v>494</v>
      </c>
      <c r="C66" s="287" t="s">
        <v>452</v>
      </c>
      <c r="D66" s="287" t="s">
        <v>483</v>
      </c>
      <c r="E66" s="287">
        <v>0.0</v>
      </c>
      <c r="F66" s="287" t="s">
        <v>452</v>
      </c>
      <c r="G66" s="281"/>
      <c r="H66" s="281"/>
      <c r="I66" s="281"/>
      <c r="J66" s="281"/>
      <c r="K66" s="281"/>
      <c r="L66" s="281"/>
      <c r="M66" s="281"/>
      <c r="N66" s="281"/>
      <c r="O66" s="281"/>
      <c r="P66" s="281"/>
      <c r="Q66" s="281"/>
      <c r="R66" s="281"/>
      <c r="S66" s="281"/>
      <c r="T66" s="281"/>
      <c r="U66" s="281"/>
      <c r="V66" s="281"/>
      <c r="W66" s="281"/>
      <c r="X66" s="281"/>
      <c r="Y66" s="281"/>
      <c r="Z66" s="281"/>
    </row>
    <row r="67">
      <c r="A67" s="285" t="s">
        <v>528</v>
      </c>
      <c r="B67" s="286" t="s">
        <v>494</v>
      </c>
      <c r="C67" s="287">
        <v>0.0</v>
      </c>
      <c r="D67" s="287" t="s">
        <v>457</v>
      </c>
      <c r="E67" s="287">
        <v>0.0</v>
      </c>
      <c r="F67" s="287" t="s">
        <v>452</v>
      </c>
      <c r="G67" s="281"/>
      <c r="H67" s="281"/>
      <c r="I67" s="281"/>
      <c r="J67" s="281"/>
      <c r="K67" s="281"/>
      <c r="L67" s="281"/>
      <c r="M67" s="281"/>
      <c r="N67" s="281"/>
      <c r="O67" s="281"/>
      <c r="P67" s="281"/>
      <c r="Q67" s="281"/>
      <c r="R67" s="281"/>
      <c r="S67" s="281"/>
      <c r="T67" s="281"/>
      <c r="U67" s="281"/>
      <c r="V67" s="281"/>
      <c r="W67" s="281"/>
      <c r="X67" s="281"/>
      <c r="Y67" s="281"/>
      <c r="Z67" s="281"/>
    </row>
    <row r="68">
      <c r="A68" s="285" t="s">
        <v>529</v>
      </c>
      <c r="B68" s="286" t="s">
        <v>494</v>
      </c>
      <c r="C68" s="287">
        <v>0.0</v>
      </c>
      <c r="D68" s="287" t="s">
        <v>454</v>
      </c>
      <c r="E68" s="287">
        <v>0.0</v>
      </c>
      <c r="F68" s="287" t="s">
        <v>452</v>
      </c>
      <c r="G68" s="281"/>
      <c r="H68" s="281"/>
      <c r="I68" s="281"/>
      <c r="J68" s="281"/>
      <c r="K68" s="281"/>
      <c r="L68" s="281"/>
      <c r="M68" s="281"/>
      <c r="N68" s="281"/>
      <c r="O68" s="281"/>
      <c r="P68" s="281"/>
      <c r="Q68" s="281"/>
      <c r="R68" s="281"/>
      <c r="S68" s="281"/>
      <c r="T68" s="281"/>
      <c r="U68" s="281"/>
      <c r="V68" s="281"/>
      <c r="W68" s="281"/>
      <c r="X68" s="281"/>
      <c r="Y68" s="281"/>
      <c r="Z68" s="281"/>
    </row>
    <row r="69">
      <c r="A69" s="285" t="s">
        <v>530</v>
      </c>
      <c r="B69" s="286" t="s">
        <v>494</v>
      </c>
      <c r="C69" s="287">
        <v>0.0</v>
      </c>
      <c r="D69" s="287" t="s">
        <v>457</v>
      </c>
      <c r="E69" s="287">
        <v>0.0</v>
      </c>
      <c r="F69" s="287" t="s">
        <v>452</v>
      </c>
      <c r="G69" s="281"/>
      <c r="H69" s="281"/>
      <c r="I69" s="281"/>
      <c r="J69" s="281"/>
      <c r="K69" s="281"/>
      <c r="L69" s="281"/>
      <c r="M69" s="281"/>
      <c r="N69" s="281"/>
      <c r="O69" s="281"/>
      <c r="P69" s="281"/>
      <c r="Q69" s="281"/>
      <c r="R69" s="281"/>
      <c r="S69" s="281"/>
      <c r="T69" s="281"/>
      <c r="U69" s="281"/>
      <c r="V69" s="281"/>
      <c r="W69" s="281"/>
      <c r="X69" s="281"/>
      <c r="Y69" s="281"/>
      <c r="Z69" s="281"/>
    </row>
    <row r="70">
      <c r="A70" s="285" t="s">
        <v>531</v>
      </c>
      <c r="B70" s="286" t="s">
        <v>494</v>
      </c>
      <c r="C70" s="287">
        <v>0.0</v>
      </c>
      <c r="D70" s="287" t="s">
        <v>454</v>
      </c>
      <c r="E70" s="287">
        <v>0.0</v>
      </c>
      <c r="F70" s="287" t="s">
        <v>452</v>
      </c>
      <c r="G70" s="281"/>
      <c r="H70" s="281"/>
      <c r="I70" s="281"/>
      <c r="J70" s="281"/>
      <c r="K70" s="281"/>
      <c r="L70" s="281"/>
      <c r="M70" s="281"/>
      <c r="N70" s="281"/>
      <c r="O70" s="281"/>
      <c r="P70" s="281"/>
      <c r="Q70" s="281"/>
      <c r="R70" s="281"/>
      <c r="S70" s="281"/>
      <c r="T70" s="281"/>
      <c r="U70" s="281"/>
      <c r="V70" s="281"/>
      <c r="W70" s="281"/>
      <c r="X70" s="281"/>
      <c r="Y70" s="281"/>
      <c r="Z70" s="281"/>
    </row>
    <row r="71">
      <c r="A71" s="285" t="s">
        <v>532</v>
      </c>
      <c r="B71" s="286" t="s">
        <v>494</v>
      </c>
      <c r="C71" s="287">
        <v>0.0</v>
      </c>
      <c r="D71" s="287" t="s">
        <v>459</v>
      </c>
      <c r="E71" s="287">
        <v>0.0</v>
      </c>
      <c r="F71" s="287" t="s">
        <v>452</v>
      </c>
      <c r="G71" s="281"/>
      <c r="H71" s="281"/>
      <c r="I71" s="281"/>
      <c r="J71" s="281"/>
      <c r="K71" s="281"/>
      <c r="L71" s="281"/>
      <c r="M71" s="281"/>
      <c r="N71" s="281"/>
      <c r="O71" s="281"/>
      <c r="P71" s="281"/>
      <c r="Q71" s="281"/>
      <c r="R71" s="281"/>
      <c r="S71" s="281"/>
      <c r="T71" s="281"/>
      <c r="U71" s="281"/>
      <c r="V71" s="281"/>
      <c r="W71" s="281"/>
      <c r="X71" s="281"/>
      <c r="Y71" s="281"/>
      <c r="Z71" s="281"/>
    </row>
    <row r="72">
      <c r="A72" s="285" t="s">
        <v>533</v>
      </c>
      <c r="B72" s="286" t="s">
        <v>232</v>
      </c>
      <c r="C72" s="287">
        <v>0.0</v>
      </c>
      <c r="D72" s="287" t="s">
        <v>457</v>
      </c>
      <c r="E72" s="287">
        <v>0.0</v>
      </c>
      <c r="F72" s="287" t="s">
        <v>454</v>
      </c>
      <c r="G72" s="281"/>
      <c r="H72" s="281"/>
      <c r="I72" s="281"/>
      <c r="J72" s="281"/>
      <c r="K72" s="281"/>
      <c r="L72" s="281"/>
      <c r="M72" s="281"/>
      <c r="N72" s="281"/>
      <c r="O72" s="281"/>
      <c r="P72" s="281"/>
      <c r="Q72" s="281"/>
      <c r="R72" s="281"/>
      <c r="S72" s="281"/>
      <c r="T72" s="281"/>
      <c r="U72" s="281"/>
      <c r="V72" s="281"/>
      <c r="W72" s="281"/>
      <c r="X72" s="281"/>
      <c r="Y72" s="281"/>
      <c r="Z72" s="281"/>
    </row>
    <row r="73">
      <c r="A73" s="285" t="s">
        <v>534</v>
      </c>
      <c r="B73" s="286" t="s">
        <v>232</v>
      </c>
      <c r="C73" s="287">
        <v>0.0</v>
      </c>
      <c r="D73" s="287" t="s">
        <v>452</v>
      </c>
      <c r="E73" s="287">
        <v>0.0</v>
      </c>
      <c r="F73" s="287" t="s">
        <v>452</v>
      </c>
      <c r="G73" s="281"/>
      <c r="H73" s="281"/>
      <c r="I73" s="281"/>
      <c r="J73" s="281"/>
      <c r="K73" s="281"/>
      <c r="L73" s="281"/>
      <c r="M73" s="281"/>
      <c r="N73" s="281"/>
      <c r="O73" s="281"/>
      <c r="P73" s="281"/>
      <c r="Q73" s="281"/>
      <c r="R73" s="281"/>
      <c r="S73" s="281"/>
      <c r="T73" s="281"/>
      <c r="U73" s="281"/>
      <c r="V73" s="281"/>
      <c r="W73" s="281"/>
      <c r="X73" s="281"/>
      <c r="Y73" s="281"/>
      <c r="Z73" s="281"/>
    </row>
    <row r="74">
      <c r="A74" s="285" t="s">
        <v>535</v>
      </c>
      <c r="B74" s="286" t="s">
        <v>232</v>
      </c>
      <c r="C74" s="287">
        <v>0.0</v>
      </c>
      <c r="D74" s="287" t="s">
        <v>454</v>
      </c>
      <c r="E74" s="287">
        <v>0.0</v>
      </c>
      <c r="F74" s="287" t="s">
        <v>454</v>
      </c>
      <c r="G74" s="281"/>
      <c r="H74" s="281"/>
      <c r="I74" s="281"/>
      <c r="J74" s="281"/>
      <c r="K74" s="281"/>
      <c r="L74" s="281"/>
      <c r="M74" s="281"/>
      <c r="N74" s="281"/>
      <c r="O74" s="281"/>
      <c r="P74" s="281"/>
      <c r="Q74" s="281"/>
      <c r="R74" s="281"/>
      <c r="S74" s="281"/>
      <c r="T74" s="281"/>
      <c r="U74" s="281"/>
      <c r="V74" s="281"/>
      <c r="W74" s="281"/>
      <c r="X74" s="281"/>
      <c r="Y74" s="281"/>
      <c r="Z74" s="281"/>
    </row>
    <row r="75">
      <c r="A75" s="285" t="s">
        <v>536</v>
      </c>
      <c r="B75" s="286" t="s">
        <v>232</v>
      </c>
      <c r="C75" s="287">
        <v>0.0</v>
      </c>
      <c r="D75" s="287" t="s">
        <v>463</v>
      </c>
      <c r="E75" s="287">
        <v>0.0</v>
      </c>
      <c r="F75" s="287" t="s">
        <v>454</v>
      </c>
      <c r="G75" s="281"/>
      <c r="H75" s="281"/>
      <c r="I75" s="281"/>
      <c r="J75" s="281"/>
      <c r="K75" s="281"/>
      <c r="L75" s="281"/>
      <c r="M75" s="281"/>
      <c r="N75" s="281"/>
      <c r="O75" s="281"/>
      <c r="P75" s="281"/>
      <c r="Q75" s="281"/>
      <c r="R75" s="281"/>
      <c r="S75" s="281"/>
      <c r="T75" s="281"/>
      <c r="U75" s="281"/>
      <c r="V75" s="281"/>
      <c r="W75" s="281"/>
      <c r="X75" s="281"/>
      <c r="Y75" s="281"/>
      <c r="Z75" s="281"/>
    </row>
    <row r="76">
      <c r="A76" s="285" t="s">
        <v>537</v>
      </c>
      <c r="B76" s="286" t="s">
        <v>232</v>
      </c>
      <c r="C76" s="287">
        <v>0.0</v>
      </c>
      <c r="D76" s="287" t="s">
        <v>452</v>
      </c>
      <c r="E76" s="287">
        <v>0.0</v>
      </c>
      <c r="F76" s="287" t="s">
        <v>452</v>
      </c>
      <c r="G76" s="281"/>
      <c r="H76" s="281"/>
      <c r="I76" s="281"/>
      <c r="J76" s="281"/>
      <c r="K76" s="281"/>
      <c r="L76" s="281"/>
      <c r="M76" s="281"/>
      <c r="N76" s="281"/>
      <c r="O76" s="281"/>
      <c r="P76" s="281"/>
      <c r="Q76" s="281"/>
      <c r="R76" s="281"/>
      <c r="S76" s="281"/>
      <c r="T76" s="281"/>
      <c r="U76" s="281"/>
      <c r="V76" s="281"/>
      <c r="W76" s="281"/>
      <c r="X76" s="281"/>
      <c r="Y76" s="281"/>
      <c r="Z76" s="281"/>
    </row>
    <row r="77">
      <c r="A77" s="285" t="s">
        <v>538</v>
      </c>
      <c r="B77" s="286" t="s">
        <v>232</v>
      </c>
      <c r="C77" s="287">
        <v>0.0</v>
      </c>
      <c r="D77" s="287" t="s">
        <v>454</v>
      </c>
      <c r="E77" s="287">
        <v>0.0</v>
      </c>
      <c r="F77" s="287" t="s">
        <v>452</v>
      </c>
      <c r="G77" s="281"/>
      <c r="H77" s="281"/>
      <c r="I77" s="281"/>
      <c r="J77" s="281"/>
      <c r="K77" s="281"/>
      <c r="L77" s="281"/>
      <c r="M77" s="281"/>
      <c r="N77" s="281"/>
      <c r="O77" s="281"/>
      <c r="P77" s="281"/>
      <c r="Q77" s="281"/>
      <c r="R77" s="281"/>
      <c r="S77" s="281"/>
      <c r="T77" s="281"/>
      <c r="U77" s="281"/>
      <c r="V77" s="281"/>
      <c r="W77" s="281"/>
      <c r="X77" s="281"/>
      <c r="Y77" s="281"/>
      <c r="Z77" s="281"/>
    </row>
    <row r="78">
      <c r="A78" s="285" t="s">
        <v>539</v>
      </c>
      <c r="B78" s="286" t="s">
        <v>232</v>
      </c>
      <c r="C78" s="287">
        <v>0.0</v>
      </c>
      <c r="D78" s="287" t="s">
        <v>457</v>
      </c>
      <c r="E78" s="287">
        <v>0.0</v>
      </c>
      <c r="F78" s="287" t="s">
        <v>452</v>
      </c>
      <c r="G78" s="281"/>
      <c r="H78" s="281"/>
      <c r="I78" s="281"/>
      <c r="J78" s="281"/>
      <c r="K78" s="281"/>
      <c r="L78" s="281"/>
      <c r="M78" s="281"/>
      <c r="N78" s="281"/>
      <c r="O78" s="281"/>
      <c r="P78" s="281"/>
      <c r="Q78" s="281"/>
      <c r="R78" s="281"/>
      <c r="S78" s="281"/>
      <c r="T78" s="281"/>
      <c r="U78" s="281"/>
      <c r="V78" s="281"/>
      <c r="W78" s="281"/>
      <c r="X78" s="281"/>
      <c r="Y78" s="281"/>
      <c r="Z78" s="281"/>
    </row>
    <row r="79">
      <c r="A79" s="285" t="s">
        <v>540</v>
      </c>
      <c r="B79" s="286" t="s">
        <v>541</v>
      </c>
      <c r="C79" s="287">
        <v>0.0</v>
      </c>
      <c r="D79" s="287" t="s">
        <v>452</v>
      </c>
      <c r="E79" s="287">
        <v>0.0</v>
      </c>
      <c r="F79" s="287" t="s">
        <v>452</v>
      </c>
      <c r="G79" s="281"/>
      <c r="H79" s="281"/>
      <c r="I79" s="281"/>
      <c r="J79" s="281"/>
      <c r="K79" s="281"/>
      <c r="L79" s="281"/>
      <c r="M79" s="281"/>
      <c r="N79" s="281"/>
      <c r="O79" s="281"/>
      <c r="P79" s="281"/>
      <c r="Q79" s="281"/>
      <c r="R79" s="281"/>
      <c r="S79" s="281"/>
      <c r="T79" s="281"/>
      <c r="U79" s="281"/>
      <c r="V79" s="281"/>
      <c r="W79" s="281"/>
      <c r="X79" s="281"/>
      <c r="Y79" s="281"/>
      <c r="Z79" s="281"/>
    </row>
    <row r="80">
      <c r="A80" s="285" t="s">
        <v>542</v>
      </c>
      <c r="B80" s="286" t="s">
        <v>543</v>
      </c>
      <c r="C80" s="287">
        <v>0.0</v>
      </c>
      <c r="D80" s="287" t="s">
        <v>452</v>
      </c>
      <c r="E80" s="287" t="s">
        <v>452</v>
      </c>
      <c r="F80" s="287" t="s">
        <v>454</v>
      </c>
      <c r="G80" s="281"/>
      <c r="H80" s="281"/>
      <c r="I80" s="281"/>
      <c r="J80" s="281"/>
      <c r="K80" s="281"/>
      <c r="L80" s="281"/>
      <c r="M80" s="281"/>
      <c r="N80" s="281"/>
      <c r="O80" s="281"/>
      <c r="P80" s="281"/>
      <c r="Q80" s="281"/>
      <c r="R80" s="281"/>
      <c r="S80" s="281"/>
      <c r="T80" s="281"/>
      <c r="U80" s="281"/>
      <c r="V80" s="281"/>
      <c r="W80" s="281"/>
      <c r="X80" s="281"/>
      <c r="Y80" s="281"/>
      <c r="Z80" s="281"/>
    </row>
    <row r="81">
      <c r="A81" s="285" t="s">
        <v>544</v>
      </c>
      <c r="B81" s="286" t="s">
        <v>543</v>
      </c>
      <c r="C81" s="287">
        <v>0.0</v>
      </c>
      <c r="D81" s="287" t="s">
        <v>452</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545</v>
      </c>
      <c r="B82" s="286" t="s">
        <v>543</v>
      </c>
      <c r="C82" s="287">
        <v>0.0</v>
      </c>
      <c r="D82" s="287" t="s">
        <v>452</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546</v>
      </c>
      <c r="B83" s="286" t="s">
        <v>543</v>
      </c>
      <c r="C83" s="287" t="s">
        <v>454</v>
      </c>
      <c r="D83" s="287" t="s">
        <v>547</v>
      </c>
      <c r="E83" s="287" t="s">
        <v>452</v>
      </c>
      <c r="F83" s="287" t="s">
        <v>457</v>
      </c>
      <c r="G83" s="281"/>
      <c r="H83" s="281"/>
      <c r="I83" s="281"/>
      <c r="J83" s="281"/>
      <c r="K83" s="281"/>
      <c r="L83" s="281"/>
      <c r="M83" s="281"/>
      <c r="N83" s="281"/>
      <c r="O83" s="281"/>
      <c r="P83" s="281"/>
      <c r="Q83" s="281"/>
      <c r="R83" s="281"/>
      <c r="S83" s="281"/>
      <c r="T83" s="281"/>
      <c r="U83" s="281"/>
      <c r="V83" s="281"/>
      <c r="W83" s="281"/>
      <c r="X83" s="281"/>
      <c r="Y83" s="281"/>
      <c r="Z83" s="281"/>
    </row>
    <row r="84">
      <c r="A84" s="285" t="s">
        <v>548</v>
      </c>
      <c r="B84" s="286" t="s">
        <v>543</v>
      </c>
      <c r="C84" s="287" t="s">
        <v>452</v>
      </c>
      <c r="D84" s="287" t="s">
        <v>549</v>
      </c>
      <c r="E84" s="287">
        <v>0.0</v>
      </c>
      <c r="F84" s="287" t="s">
        <v>457</v>
      </c>
      <c r="G84" s="281"/>
      <c r="H84" s="281"/>
      <c r="I84" s="281"/>
      <c r="J84" s="281"/>
      <c r="K84" s="281"/>
      <c r="L84" s="281"/>
      <c r="M84" s="281"/>
      <c r="N84" s="281"/>
      <c r="O84" s="281"/>
      <c r="P84" s="281"/>
      <c r="Q84" s="281"/>
      <c r="R84" s="281"/>
      <c r="S84" s="281"/>
      <c r="T84" s="281"/>
      <c r="U84" s="281"/>
      <c r="V84" s="281"/>
      <c r="W84" s="281"/>
      <c r="X84" s="281"/>
      <c r="Y84" s="281"/>
      <c r="Z84" s="281"/>
    </row>
    <row r="85">
      <c r="A85" s="285" t="s">
        <v>550</v>
      </c>
      <c r="B85" s="286" t="s">
        <v>543</v>
      </c>
      <c r="C85" s="287">
        <v>0.0</v>
      </c>
      <c r="D85" s="287" t="s">
        <v>457</v>
      </c>
      <c r="E85" s="287">
        <v>0.0</v>
      </c>
      <c r="F85" s="287" t="s">
        <v>452</v>
      </c>
      <c r="G85" s="281"/>
      <c r="H85" s="281"/>
      <c r="I85" s="281"/>
      <c r="J85" s="281"/>
      <c r="K85" s="281"/>
      <c r="L85" s="281"/>
      <c r="M85" s="281"/>
      <c r="N85" s="281"/>
      <c r="O85" s="281"/>
      <c r="P85" s="281"/>
      <c r="Q85" s="281"/>
      <c r="R85" s="281"/>
      <c r="S85" s="281"/>
      <c r="T85" s="281"/>
      <c r="U85" s="281"/>
      <c r="V85" s="281"/>
      <c r="W85" s="281"/>
      <c r="X85" s="281"/>
      <c r="Y85" s="281"/>
      <c r="Z85" s="281"/>
    </row>
    <row r="86">
      <c r="A86" s="285" t="s">
        <v>551</v>
      </c>
      <c r="B86" s="286" t="s">
        <v>543</v>
      </c>
      <c r="C86" s="287" t="s">
        <v>452</v>
      </c>
      <c r="D86" s="287" t="s">
        <v>457</v>
      </c>
      <c r="E86" s="287">
        <v>0.0</v>
      </c>
      <c r="F86" s="287" t="s">
        <v>454</v>
      </c>
      <c r="G86" s="281"/>
      <c r="H86" s="281"/>
      <c r="I86" s="281"/>
      <c r="J86" s="281"/>
      <c r="K86" s="281"/>
      <c r="L86" s="281"/>
      <c r="M86" s="281"/>
      <c r="N86" s="281"/>
      <c r="O86" s="281"/>
      <c r="P86" s="281"/>
      <c r="Q86" s="281"/>
      <c r="R86" s="281"/>
      <c r="S86" s="281"/>
      <c r="T86" s="281"/>
      <c r="U86" s="281"/>
      <c r="V86" s="281"/>
      <c r="W86" s="281"/>
      <c r="X86" s="281"/>
      <c r="Y86" s="281"/>
      <c r="Z86" s="281"/>
    </row>
    <row r="87">
      <c r="A87" s="285" t="s">
        <v>552</v>
      </c>
      <c r="B87" s="286" t="s">
        <v>543</v>
      </c>
      <c r="C87" s="287">
        <v>0.0</v>
      </c>
      <c r="D87" s="287">
        <v>0.0</v>
      </c>
      <c r="E87" s="287">
        <v>0.0</v>
      </c>
      <c r="F87" s="287" t="s">
        <v>452</v>
      </c>
      <c r="G87" s="281"/>
      <c r="H87" s="281"/>
      <c r="I87" s="281"/>
      <c r="J87" s="281"/>
      <c r="K87" s="281"/>
      <c r="L87" s="281"/>
      <c r="M87" s="281"/>
      <c r="N87" s="281"/>
      <c r="O87" s="281"/>
      <c r="P87" s="281"/>
      <c r="Q87" s="281"/>
      <c r="R87" s="281"/>
      <c r="S87" s="281"/>
      <c r="T87" s="281"/>
      <c r="U87" s="281"/>
      <c r="V87" s="281"/>
      <c r="W87" s="281"/>
      <c r="X87" s="281"/>
      <c r="Y87" s="281"/>
      <c r="Z87" s="281"/>
    </row>
    <row r="88">
      <c r="A88" s="285" t="s">
        <v>553</v>
      </c>
      <c r="B88" s="286" t="s">
        <v>543</v>
      </c>
      <c r="C88" s="287" t="s">
        <v>452</v>
      </c>
      <c r="D88" s="287" t="s">
        <v>454</v>
      </c>
      <c r="E88" s="287">
        <v>0.0</v>
      </c>
      <c r="F88" s="287" t="s">
        <v>452</v>
      </c>
      <c r="G88" s="281"/>
      <c r="H88" s="281"/>
      <c r="I88" s="281"/>
      <c r="J88" s="281"/>
      <c r="K88" s="281"/>
      <c r="L88" s="281"/>
      <c r="M88" s="281"/>
      <c r="N88" s="281"/>
      <c r="O88" s="281"/>
      <c r="P88" s="281"/>
      <c r="Q88" s="281"/>
      <c r="R88" s="281"/>
      <c r="S88" s="281"/>
      <c r="T88" s="281"/>
      <c r="U88" s="281"/>
      <c r="V88" s="281"/>
      <c r="W88" s="281"/>
      <c r="X88" s="281"/>
      <c r="Y88" s="281"/>
      <c r="Z88" s="281"/>
    </row>
    <row r="89">
      <c r="A89" s="285" t="s">
        <v>554</v>
      </c>
      <c r="B89" s="286" t="s">
        <v>234</v>
      </c>
      <c r="C89" s="287">
        <v>0.0</v>
      </c>
      <c r="D89" s="287" t="s">
        <v>549</v>
      </c>
      <c r="E89" s="287">
        <v>0.0</v>
      </c>
      <c r="F89" s="287" t="s">
        <v>457</v>
      </c>
      <c r="G89" s="281"/>
      <c r="H89" s="281"/>
      <c r="I89" s="281"/>
      <c r="J89" s="281"/>
      <c r="K89" s="281"/>
      <c r="L89" s="281"/>
      <c r="M89" s="281"/>
      <c r="N89" s="281"/>
      <c r="O89" s="281"/>
      <c r="P89" s="281"/>
      <c r="Q89" s="281"/>
      <c r="R89" s="281"/>
      <c r="S89" s="281"/>
      <c r="T89" s="281"/>
      <c r="U89" s="281"/>
      <c r="V89" s="281"/>
      <c r="W89" s="281"/>
      <c r="X89" s="281"/>
      <c r="Y89" s="281"/>
      <c r="Z89" s="281"/>
    </row>
    <row r="90">
      <c r="A90" s="285" t="s">
        <v>555</v>
      </c>
      <c r="B90" s="286" t="s">
        <v>234</v>
      </c>
      <c r="C90" s="287">
        <v>0.0</v>
      </c>
      <c r="D90" s="287" t="s">
        <v>454</v>
      </c>
      <c r="E90" s="287">
        <v>0.0</v>
      </c>
      <c r="F90" s="287" t="s">
        <v>452</v>
      </c>
      <c r="G90" s="281"/>
      <c r="H90" s="281"/>
      <c r="I90" s="281"/>
      <c r="J90" s="281"/>
      <c r="K90" s="281"/>
      <c r="L90" s="281"/>
      <c r="M90" s="281"/>
      <c r="N90" s="281"/>
      <c r="O90" s="281"/>
      <c r="P90" s="281"/>
      <c r="Q90" s="281"/>
      <c r="R90" s="281"/>
      <c r="S90" s="281"/>
      <c r="T90" s="281"/>
      <c r="U90" s="281"/>
      <c r="V90" s="281"/>
      <c r="W90" s="281"/>
      <c r="X90" s="281"/>
      <c r="Y90" s="281"/>
      <c r="Z90" s="281"/>
    </row>
    <row r="91">
      <c r="A91" s="285" t="s">
        <v>556</v>
      </c>
      <c r="B91" s="286" t="s">
        <v>234</v>
      </c>
      <c r="C91" s="287" t="s">
        <v>452</v>
      </c>
      <c r="D91" s="287" t="s">
        <v>505</v>
      </c>
      <c r="E91" s="287" t="s">
        <v>452</v>
      </c>
      <c r="F91" s="287" t="s">
        <v>457</v>
      </c>
      <c r="G91" s="281"/>
      <c r="H91" s="281"/>
      <c r="I91" s="281"/>
      <c r="J91" s="281"/>
      <c r="K91" s="281"/>
      <c r="L91" s="281"/>
      <c r="M91" s="281"/>
      <c r="N91" s="281"/>
      <c r="O91" s="281"/>
      <c r="P91" s="281"/>
      <c r="Q91" s="281"/>
      <c r="R91" s="281"/>
      <c r="S91" s="281"/>
      <c r="T91" s="281"/>
      <c r="U91" s="281"/>
      <c r="V91" s="281"/>
      <c r="W91" s="281"/>
      <c r="X91" s="281"/>
      <c r="Y91" s="281"/>
      <c r="Z91" s="281"/>
    </row>
    <row r="92">
      <c r="A92" s="285" t="s">
        <v>557</v>
      </c>
      <c r="B92" s="286" t="s">
        <v>234</v>
      </c>
      <c r="C92" s="287">
        <v>0.0</v>
      </c>
      <c r="D92" s="287" t="s">
        <v>457</v>
      </c>
      <c r="E92" s="287">
        <v>0.0</v>
      </c>
      <c r="F92" s="287" t="s">
        <v>454</v>
      </c>
      <c r="G92" s="281"/>
      <c r="H92" s="281"/>
      <c r="I92" s="281"/>
      <c r="J92" s="281"/>
      <c r="K92" s="281"/>
      <c r="L92" s="281"/>
      <c r="M92" s="281"/>
      <c r="N92" s="281"/>
      <c r="O92" s="281"/>
      <c r="P92" s="281"/>
      <c r="Q92" s="281"/>
      <c r="R92" s="281"/>
      <c r="S92" s="281"/>
      <c r="T92" s="281"/>
      <c r="U92" s="281"/>
      <c r="V92" s="281"/>
      <c r="W92" s="281"/>
      <c r="X92" s="281"/>
      <c r="Y92" s="281"/>
      <c r="Z92" s="281"/>
    </row>
    <row r="93">
      <c r="A93" s="285" t="s">
        <v>558</v>
      </c>
      <c r="B93" s="286" t="s">
        <v>234</v>
      </c>
      <c r="C93" s="287">
        <v>0.0</v>
      </c>
      <c r="D93" s="287">
        <v>0.0</v>
      </c>
      <c r="E93" s="287">
        <v>0.0</v>
      </c>
      <c r="F93" s="287" t="s">
        <v>452</v>
      </c>
      <c r="G93" s="281"/>
      <c r="H93" s="281"/>
      <c r="I93" s="281"/>
      <c r="J93" s="281"/>
      <c r="K93" s="281"/>
      <c r="L93" s="281"/>
      <c r="M93" s="281"/>
      <c r="N93" s="281"/>
      <c r="O93" s="281"/>
      <c r="P93" s="281"/>
      <c r="Q93" s="281"/>
      <c r="R93" s="281"/>
      <c r="S93" s="281"/>
      <c r="T93" s="281"/>
      <c r="U93" s="281"/>
      <c r="V93" s="281"/>
      <c r="W93" s="281"/>
      <c r="X93" s="281"/>
      <c r="Y93" s="281"/>
      <c r="Z93" s="281"/>
    </row>
    <row r="94">
      <c r="A94" s="285" t="s">
        <v>559</v>
      </c>
      <c r="B94" s="286" t="s">
        <v>234</v>
      </c>
      <c r="C94" s="287">
        <v>0.0</v>
      </c>
      <c r="D94" s="287" t="s">
        <v>457</v>
      </c>
      <c r="E94" s="287">
        <v>0.0</v>
      </c>
      <c r="F94" s="287" t="s">
        <v>454</v>
      </c>
      <c r="G94" s="281"/>
      <c r="H94" s="281"/>
      <c r="I94" s="281"/>
      <c r="J94" s="281"/>
      <c r="K94" s="281"/>
      <c r="L94" s="281"/>
      <c r="M94" s="281"/>
      <c r="N94" s="281"/>
      <c r="O94" s="281"/>
      <c r="P94" s="281"/>
      <c r="Q94" s="281"/>
      <c r="R94" s="281"/>
      <c r="S94" s="281"/>
      <c r="T94" s="281"/>
      <c r="U94" s="281"/>
      <c r="V94" s="281"/>
      <c r="W94" s="281"/>
      <c r="X94" s="281"/>
      <c r="Y94" s="281"/>
      <c r="Z94" s="281"/>
    </row>
    <row r="95">
      <c r="A95" s="285" t="s">
        <v>560</v>
      </c>
      <c r="B95" s="286" t="s">
        <v>234</v>
      </c>
      <c r="C95" s="287">
        <v>0.0</v>
      </c>
      <c r="D95" s="287" t="s">
        <v>463</v>
      </c>
      <c r="E95" s="287">
        <v>0.0</v>
      </c>
      <c r="F95" s="287" t="s">
        <v>454</v>
      </c>
      <c r="G95" s="281"/>
      <c r="H95" s="281"/>
      <c r="I95" s="281"/>
      <c r="J95" s="281"/>
      <c r="K95" s="281"/>
      <c r="L95" s="281"/>
      <c r="M95" s="281"/>
      <c r="N95" s="281"/>
      <c r="O95" s="281"/>
      <c r="P95" s="281"/>
      <c r="Q95" s="281"/>
      <c r="R95" s="281"/>
      <c r="S95" s="281"/>
      <c r="T95" s="281"/>
      <c r="U95" s="281"/>
      <c r="V95" s="281"/>
      <c r="W95" s="281"/>
      <c r="X95" s="281"/>
      <c r="Y95" s="281"/>
      <c r="Z95" s="281"/>
    </row>
    <row r="96">
      <c r="A96" s="285" t="s">
        <v>561</v>
      </c>
      <c r="B96" s="286" t="s">
        <v>234</v>
      </c>
      <c r="C96" s="287" t="s">
        <v>452</v>
      </c>
      <c r="D96" s="287" t="s">
        <v>463</v>
      </c>
      <c r="E96" s="287">
        <v>0.0</v>
      </c>
      <c r="F96" s="287" t="s">
        <v>452</v>
      </c>
      <c r="G96" s="281"/>
      <c r="H96" s="281"/>
      <c r="I96" s="281"/>
      <c r="J96" s="281"/>
      <c r="K96" s="281"/>
      <c r="L96" s="281"/>
      <c r="M96" s="281"/>
      <c r="N96" s="281"/>
      <c r="O96" s="281"/>
      <c r="P96" s="281"/>
      <c r="Q96" s="281"/>
      <c r="R96" s="281"/>
      <c r="S96" s="281"/>
      <c r="T96" s="281"/>
      <c r="U96" s="281"/>
      <c r="V96" s="281"/>
      <c r="W96" s="281"/>
      <c r="X96" s="281"/>
      <c r="Y96" s="281"/>
      <c r="Z96" s="281"/>
    </row>
    <row r="97">
      <c r="A97" s="285" t="s">
        <v>562</v>
      </c>
      <c r="B97" s="286" t="s">
        <v>235</v>
      </c>
      <c r="C97" s="287">
        <v>0.0</v>
      </c>
      <c r="D97" s="287">
        <v>0.0</v>
      </c>
      <c r="E97" s="287">
        <v>0.0</v>
      </c>
      <c r="F97" s="287" t="s">
        <v>452</v>
      </c>
      <c r="G97" s="281"/>
      <c r="H97" s="281"/>
      <c r="I97" s="281"/>
      <c r="J97" s="281"/>
      <c r="K97" s="281"/>
      <c r="L97" s="281"/>
      <c r="M97" s="281"/>
      <c r="N97" s="281"/>
      <c r="O97" s="281"/>
      <c r="P97" s="281"/>
      <c r="Q97" s="281"/>
      <c r="R97" s="281"/>
      <c r="S97" s="281"/>
      <c r="T97" s="281"/>
      <c r="U97" s="281"/>
      <c r="V97" s="281"/>
      <c r="W97" s="281"/>
      <c r="X97" s="281"/>
      <c r="Y97" s="281"/>
      <c r="Z97" s="281"/>
    </row>
    <row r="98">
      <c r="A98" s="285" t="s">
        <v>563</v>
      </c>
      <c r="B98" s="286" t="s">
        <v>235</v>
      </c>
      <c r="C98" s="287" t="s">
        <v>452</v>
      </c>
      <c r="D98" s="287" t="s">
        <v>454</v>
      </c>
      <c r="E98" s="287">
        <v>0.0</v>
      </c>
      <c r="F98" s="287" t="s">
        <v>452</v>
      </c>
      <c r="G98" s="281"/>
      <c r="H98" s="281"/>
      <c r="I98" s="281"/>
      <c r="J98" s="281"/>
      <c r="K98" s="281"/>
      <c r="L98" s="281"/>
      <c r="M98" s="281"/>
      <c r="N98" s="281"/>
      <c r="O98" s="281"/>
      <c r="P98" s="281"/>
      <c r="Q98" s="281"/>
      <c r="R98" s="281"/>
      <c r="S98" s="281"/>
      <c r="T98" s="281"/>
      <c r="U98" s="281"/>
      <c r="V98" s="281"/>
      <c r="W98" s="281"/>
      <c r="X98" s="281"/>
      <c r="Y98" s="281"/>
      <c r="Z98" s="281"/>
    </row>
    <row r="99">
      <c r="A99" s="285" t="s">
        <v>564</v>
      </c>
      <c r="B99" s="286" t="s">
        <v>235</v>
      </c>
      <c r="C99" s="287">
        <v>0.0</v>
      </c>
      <c r="D99" s="287" t="s">
        <v>452</v>
      </c>
      <c r="E99" s="287">
        <v>0.0</v>
      </c>
      <c r="F99" s="287" t="s">
        <v>452</v>
      </c>
      <c r="G99" s="281"/>
      <c r="H99" s="281"/>
      <c r="I99" s="281"/>
      <c r="J99" s="281"/>
      <c r="K99" s="281"/>
      <c r="L99" s="281"/>
      <c r="M99" s="281"/>
      <c r="N99" s="281"/>
      <c r="O99" s="281"/>
      <c r="P99" s="281"/>
      <c r="Q99" s="281"/>
      <c r="R99" s="281"/>
      <c r="S99" s="281"/>
      <c r="T99" s="281"/>
      <c r="U99" s="281"/>
      <c r="V99" s="281"/>
      <c r="W99" s="281"/>
      <c r="X99" s="281"/>
      <c r="Y99" s="281"/>
      <c r="Z99" s="281"/>
    </row>
    <row r="100">
      <c r="A100" s="285" t="s">
        <v>565</v>
      </c>
      <c r="B100" s="286" t="s">
        <v>235</v>
      </c>
      <c r="C100" s="287">
        <v>0.0</v>
      </c>
      <c r="D100" s="287" t="s">
        <v>483</v>
      </c>
      <c r="E100" s="287">
        <v>0.0</v>
      </c>
      <c r="F100" s="287" t="s">
        <v>457</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566</v>
      </c>
      <c r="B101" s="286" t="s">
        <v>235</v>
      </c>
      <c r="C101" s="287" t="s">
        <v>452</v>
      </c>
      <c r="D101" s="287" t="s">
        <v>461</v>
      </c>
      <c r="E101" s="287">
        <v>0.0</v>
      </c>
      <c r="F101" s="287" t="s">
        <v>457</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567</v>
      </c>
      <c r="B102" s="286" t="s">
        <v>235</v>
      </c>
      <c r="C102" s="287" t="s">
        <v>452</v>
      </c>
      <c r="D102" s="287" t="s">
        <v>454</v>
      </c>
      <c r="E102" s="287">
        <v>0.0</v>
      </c>
      <c r="F102" s="287" t="s">
        <v>452</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568</v>
      </c>
      <c r="B103" s="286" t="s">
        <v>235</v>
      </c>
      <c r="C103" s="287">
        <v>0.0</v>
      </c>
      <c r="D103" s="287" t="s">
        <v>454</v>
      </c>
      <c r="E103" s="287">
        <v>0.0</v>
      </c>
      <c r="F103" s="287" t="s">
        <v>452</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569</v>
      </c>
      <c r="B104" s="286" t="s">
        <v>235</v>
      </c>
      <c r="C104" s="287">
        <v>0.0</v>
      </c>
      <c r="D104" s="287" t="s">
        <v>454</v>
      </c>
      <c r="E104" s="287">
        <v>0.0</v>
      </c>
      <c r="F104" s="287" t="s">
        <v>452</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570</v>
      </c>
      <c r="B105" s="286" t="s">
        <v>235</v>
      </c>
      <c r="C105" s="287" t="s">
        <v>452</v>
      </c>
      <c r="D105" s="287" t="s">
        <v>457</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571</v>
      </c>
      <c r="B106" s="286" t="s">
        <v>235</v>
      </c>
      <c r="C106" s="287">
        <v>0.0</v>
      </c>
      <c r="D106" s="287" t="s">
        <v>459</v>
      </c>
      <c r="E106" s="287">
        <v>0.0</v>
      </c>
      <c r="F106" s="287" t="s">
        <v>454</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572</v>
      </c>
      <c r="B107" s="286" t="s">
        <v>235</v>
      </c>
      <c r="C107" s="287">
        <v>0.0</v>
      </c>
      <c r="D107" s="287" t="s">
        <v>457</v>
      </c>
      <c r="E107" s="287">
        <v>0.0</v>
      </c>
      <c r="F107" s="287" t="s">
        <v>454</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573</v>
      </c>
      <c r="B108" s="286" t="s">
        <v>235</v>
      </c>
      <c r="C108" s="287" t="s">
        <v>452</v>
      </c>
      <c r="D108" s="287" t="s">
        <v>454</v>
      </c>
      <c r="E108" s="287">
        <v>0.0</v>
      </c>
      <c r="F108" s="287" t="s">
        <v>452</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574</v>
      </c>
      <c r="B109" s="286" t="s">
        <v>235</v>
      </c>
      <c r="C109" s="287" t="s">
        <v>452</v>
      </c>
      <c r="D109" s="287" t="s">
        <v>454</v>
      </c>
      <c r="E109" s="287">
        <v>0.0</v>
      </c>
      <c r="F109" s="287" t="s">
        <v>452</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575</v>
      </c>
      <c r="B110" s="286" t="s">
        <v>235</v>
      </c>
      <c r="C110" s="287">
        <v>0.0</v>
      </c>
      <c r="D110" s="287" t="s">
        <v>457</v>
      </c>
      <c r="E110" s="287">
        <v>0.0</v>
      </c>
      <c r="F110" s="287" t="s">
        <v>452</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576</v>
      </c>
      <c r="B111" s="286" t="s">
        <v>235</v>
      </c>
      <c r="C111" s="287">
        <v>0.0</v>
      </c>
      <c r="D111" s="287" t="s">
        <v>483</v>
      </c>
      <c r="E111" s="287">
        <v>0.0</v>
      </c>
      <c r="F111" s="287" t="s">
        <v>454</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577</v>
      </c>
      <c r="B112" s="286" t="s">
        <v>235</v>
      </c>
      <c r="C112" s="287">
        <v>0.0</v>
      </c>
      <c r="D112" s="287" t="s">
        <v>454</v>
      </c>
      <c r="E112" s="287">
        <v>0.0</v>
      </c>
      <c r="F112" s="287" t="s">
        <v>452</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578</v>
      </c>
      <c r="B113" s="286" t="s">
        <v>235</v>
      </c>
      <c r="C113" s="287">
        <v>0.0</v>
      </c>
      <c r="D113" s="287" t="s">
        <v>457</v>
      </c>
      <c r="E113" s="287">
        <v>0.0</v>
      </c>
      <c r="F113" s="287" t="s">
        <v>452</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579</v>
      </c>
      <c r="B114" s="286" t="s">
        <v>235</v>
      </c>
      <c r="C114" s="287" t="s">
        <v>452</v>
      </c>
      <c r="D114" s="287" t="s">
        <v>463</v>
      </c>
      <c r="E114" s="287">
        <v>0.0</v>
      </c>
      <c r="F114" s="287" t="s">
        <v>454</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580</v>
      </c>
      <c r="B115" s="286" t="s">
        <v>235</v>
      </c>
      <c r="C115" s="287" t="s">
        <v>452</v>
      </c>
      <c r="D115" s="287" t="s">
        <v>483</v>
      </c>
      <c r="E115" s="287">
        <v>0.0</v>
      </c>
      <c r="F115" s="287" t="s">
        <v>457</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581</v>
      </c>
      <c r="B116" s="286" t="s">
        <v>235</v>
      </c>
      <c r="C116" s="287">
        <v>0.0</v>
      </c>
      <c r="D116" s="287">
        <v>0.0</v>
      </c>
      <c r="E116" s="287">
        <v>0.0</v>
      </c>
      <c r="F116" s="287" t="s">
        <v>452</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582</v>
      </c>
      <c r="B117" s="286" t="s">
        <v>235</v>
      </c>
      <c r="C117" s="287">
        <v>0.0</v>
      </c>
      <c r="D117" s="287" t="s">
        <v>457</v>
      </c>
      <c r="E117" s="287">
        <v>0.0</v>
      </c>
      <c r="F117" s="287" t="s">
        <v>454</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583</v>
      </c>
      <c r="B118" s="286" t="s">
        <v>235</v>
      </c>
      <c r="C118" s="287">
        <v>0.0</v>
      </c>
      <c r="D118" s="287" t="s">
        <v>457</v>
      </c>
      <c r="E118" s="287">
        <v>0.0</v>
      </c>
      <c r="F118" s="287" t="s">
        <v>452</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584</v>
      </c>
      <c r="B119" s="286" t="s">
        <v>235</v>
      </c>
      <c r="C119" s="287" t="s">
        <v>452</v>
      </c>
      <c r="D119" s="287" t="s">
        <v>483</v>
      </c>
      <c r="E119" s="287">
        <v>0.0</v>
      </c>
      <c r="F119" s="287" t="s">
        <v>454</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585</v>
      </c>
      <c r="B120" s="286" t="s">
        <v>235</v>
      </c>
      <c r="C120" s="287">
        <v>0.0</v>
      </c>
      <c r="D120" s="287" t="s">
        <v>454</v>
      </c>
      <c r="E120" s="287">
        <v>0.0</v>
      </c>
      <c r="F120" s="287" t="s">
        <v>452</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586</v>
      </c>
      <c r="B121" s="286" t="s">
        <v>235</v>
      </c>
      <c r="C121" s="287">
        <v>0.0</v>
      </c>
      <c r="D121" s="287" t="s">
        <v>454</v>
      </c>
      <c r="E121" s="287">
        <v>0.0</v>
      </c>
      <c r="F121" s="287" t="s">
        <v>452</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587</v>
      </c>
      <c r="B122" s="286" t="s">
        <v>236</v>
      </c>
      <c r="C122" s="287" t="s">
        <v>452</v>
      </c>
      <c r="D122" s="287" t="s">
        <v>454</v>
      </c>
      <c r="E122" s="287">
        <v>0.0</v>
      </c>
      <c r="F122" s="287" t="s">
        <v>452</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588</v>
      </c>
      <c r="B123" s="286" t="s">
        <v>236</v>
      </c>
      <c r="C123" s="287">
        <v>0.0</v>
      </c>
      <c r="D123" s="287" t="s">
        <v>457</v>
      </c>
      <c r="E123" s="287">
        <v>0.0</v>
      </c>
      <c r="F123" s="287" t="s">
        <v>452</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589</v>
      </c>
      <c r="B124" s="286" t="s">
        <v>236</v>
      </c>
      <c r="C124" s="287">
        <v>0.0</v>
      </c>
      <c r="D124" s="287" t="s">
        <v>459</v>
      </c>
      <c r="E124" s="287">
        <v>0.0</v>
      </c>
      <c r="F124" s="287" t="s">
        <v>454</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590</v>
      </c>
      <c r="B125" s="286" t="s">
        <v>236</v>
      </c>
      <c r="C125" s="287" t="s">
        <v>452</v>
      </c>
      <c r="D125" s="287" t="s">
        <v>591</v>
      </c>
      <c r="E125" s="287">
        <v>0.0</v>
      </c>
      <c r="F125" s="287" t="s">
        <v>457</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592</v>
      </c>
      <c r="B126" s="286" t="s">
        <v>236</v>
      </c>
      <c r="C126" s="287">
        <v>0.0</v>
      </c>
      <c r="D126" s="287" t="s">
        <v>452</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593</v>
      </c>
      <c r="B127" s="286" t="s">
        <v>236</v>
      </c>
      <c r="C127" s="287">
        <v>0.0</v>
      </c>
      <c r="D127" s="287" t="s">
        <v>457</v>
      </c>
      <c r="E127" s="287">
        <v>0.0</v>
      </c>
      <c r="F127" s="287" t="s">
        <v>454</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594</v>
      </c>
      <c r="B128" s="286" t="s">
        <v>236</v>
      </c>
      <c r="C128" s="287">
        <v>0.0</v>
      </c>
      <c r="D128" s="287" t="s">
        <v>454</v>
      </c>
      <c r="E128" s="287">
        <v>0.0</v>
      </c>
      <c r="F128" s="287" t="s">
        <v>454</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595</v>
      </c>
      <c r="B129" s="286" t="s">
        <v>236</v>
      </c>
      <c r="C129" s="287" t="s">
        <v>452</v>
      </c>
      <c r="D129" s="287" t="s">
        <v>459</v>
      </c>
      <c r="E129" s="287">
        <v>0.0</v>
      </c>
      <c r="F129" s="287" t="s">
        <v>452</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596</v>
      </c>
      <c r="B130" s="286" t="s">
        <v>236</v>
      </c>
      <c r="C130" s="287">
        <v>0.0</v>
      </c>
      <c r="D130" s="287" t="s">
        <v>483</v>
      </c>
      <c r="E130" s="287">
        <v>0.0</v>
      </c>
      <c r="F130" s="287" t="s">
        <v>454</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597</v>
      </c>
      <c r="B131" s="286" t="s">
        <v>598</v>
      </c>
      <c r="C131" s="287">
        <v>0.0</v>
      </c>
      <c r="D131" s="287" t="s">
        <v>452</v>
      </c>
      <c r="E131" s="287">
        <v>0.0</v>
      </c>
      <c r="F131" s="287" t="s">
        <v>452</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599</v>
      </c>
      <c r="B132" s="286" t="s">
        <v>598</v>
      </c>
      <c r="C132" s="287">
        <v>0.0</v>
      </c>
      <c r="D132" s="287" t="s">
        <v>452</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600</v>
      </c>
      <c r="B133" s="286" t="s">
        <v>601</v>
      </c>
      <c r="C133" s="287" t="s">
        <v>452</v>
      </c>
      <c r="D133" s="287" t="s">
        <v>602</v>
      </c>
      <c r="E133" s="287">
        <v>0.0</v>
      </c>
      <c r="F133" s="287" t="s">
        <v>457</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603</v>
      </c>
      <c r="B134" s="286" t="s">
        <v>603</v>
      </c>
      <c r="C134" s="287">
        <v>0.0</v>
      </c>
      <c r="D134" s="287" t="s">
        <v>452</v>
      </c>
      <c r="E134" s="287">
        <v>0.0</v>
      </c>
      <c r="F134" s="287" t="s">
        <v>452</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604</v>
      </c>
      <c r="B135" s="286" t="s">
        <v>237</v>
      </c>
      <c r="C135" s="287" t="s">
        <v>452</v>
      </c>
      <c r="D135" s="287" t="s">
        <v>459</v>
      </c>
      <c r="E135" s="287">
        <v>0.0</v>
      </c>
      <c r="F135" s="287" t="s">
        <v>454</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605</v>
      </c>
      <c r="B136" s="286" t="s">
        <v>237</v>
      </c>
      <c r="C136" s="287" t="s">
        <v>452</v>
      </c>
      <c r="D136" s="287" t="s">
        <v>489</v>
      </c>
      <c r="E136" s="287">
        <v>0.0</v>
      </c>
      <c r="F136" s="287" t="s">
        <v>454</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606</v>
      </c>
      <c r="B137" s="286" t="s">
        <v>237</v>
      </c>
      <c r="C137" s="287" t="s">
        <v>452</v>
      </c>
      <c r="D137" s="287" t="s">
        <v>454</v>
      </c>
      <c r="E137" s="287">
        <v>0.0</v>
      </c>
      <c r="F137" s="287" t="s">
        <v>452</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607</v>
      </c>
      <c r="B138" s="286" t="s">
        <v>237</v>
      </c>
      <c r="C138" s="287">
        <v>0.0</v>
      </c>
      <c r="D138" s="287" t="s">
        <v>454</v>
      </c>
      <c r="E138" s="287">
        <v>0.0</v>
      </c>
      <c r="F138" s="287" t="s">
        <v>452</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608</v>
      </c>
      <c r="B139" s="286" t="s">
        <v>237</v>
      </c>
      <c r="C139" s="287" t="s">
        <v>452</v>
      </c>
      <c r="D139" s="287" t="s">
        <v>463</v>
      </c>
      <c r="E139" s="287">
        <v>0.0</v>
      </c>
      <c r="F139" s="287" t="s">
        <v>452</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609</v>
      </c>
      <c r="B140" s="286" t="s">
        <v>237</v>
      </c>
      <c r="C140" s="287" t="s">
        <v>452</v>
      </c>
      <c r="D140" s="287" t="s">
        <v>463</v>
      </c>
      <c r="E140" s="287">
        <v>0.0</v>
      </c>
      <c r="F140" s="287" t="s">
        <v>452</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610</v>
      </c>
      <c r="B141" s="286" t="s">
        <v>238</v>
      </c>
      <c r="C141" s="287">
        <v>0.0</v>
      </c>
      <c r="D141" s="287" t="s">
        <v>457</v>
      </c>
      <c r="E141" s="287">
        <v>0.0</v>
      </c>
      <c r="F141" s="287" t="s">
        <v>452</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611</v>
      </c>
      <c r="B142" s="286" t="s">
        <v>238</v>
      </c>
      <c r="C142" s="287">
        <v>0.0</v>
      </c>
      <c r="D142" s="287" t="s">
        <v>457</v>
      </c>
      <c r="E142" s="287">
        <v>0.0</v>
      </c>
      <c r="F142" s="287" t="s">
        <v>454</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612</v>
      </c>
      <c r="B143" s="286" t="s">
        <v>238</v>
      </c>
      <c r="C143" s="287" t="s">
        <v>452</v>
      </c>
      <c r="D143" s="287" t="s">
        <v>461</v>
      </c>
      <c r="E143" s="287" t="s">
        <v>452</v>
      </c>
      <c r="F143" s="287" t="s">
        <v>459</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613</v>
      </c>
      <c r="B144" s="286" t="s">
        <v>238</v>
      </c>
      <c r="C144" s="287">
        <v>0.0</v>
      </c>
      <c r="D144" s="287" t="s">
        <v>463</v>
      </c>
      <c r="E144" s="287" t="s">
        <v>452</v>
      </c>
      <c r="F144" s="287" t="s">
        <v>454</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614</v>
      </c>
      <c r="B145" s="286" t="s">
        <v>238</v>
      </c>
      <c r="C145" s="287">
        <v>0.0</v>
      </c>
      <c r="D145" s="287" t="s">
        <v>452</v>
      </c>
      <c r="E145" s="287">
        <v>0.0</v>
      </c>
      <c r="F145" s="287" t="s">
        <v>452</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615</v>
      </c>
      <c r="B146" s="286" t="s">
        <v>238</v>
      </c>
      <c r="C146" s="287" t="s">
        <v>452</v>
      </c>
      <c r="D146" s="287" t="s">
        <v>454</v>
      </c>
      <c r="E146" s="287" t="s">
        <v>452</v>
      </c>
      <c r="F146" s="287" t="s">
        <v>454</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616</v>
      </c>
      <c r="B147" s="286" t="s">
        <v>238</v>
      </c>
      <c r="C147" s="287">
        <v>0.0</v>
      </c>
      <c r="D147" s="287" t="s">
        <v>452</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617</v>
      </c>
      <c r="B148" s="286" t="s">
        <v>238</v>
      </c>
      <c r="C148" s="287">
        <v>0.0</v>
      </c>
      <c r="D148" s="287" t="s">
        <v>454</v>
      </c>
      <c r="E148" s="287">
        <v>0.0</v>
      </c>
      <c r="F148" s="287" t="s">
        <v>452</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618</v>
      </c>
      <c r="B149" s="286" t="s">
        <v>238</v>
      </c>
      <c r="C149" s="287">
        <v>0.0</v>
      </c>
      <c r="D149" s="287" t="s">
        <v>457</v>
      </c>
      <c r="E149" s="287">
        <v>0.0</v>
      </c>
      <c r="F149" s="287" t="s">
        <v>452</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619</v>
      </c>
      <c r="B150" s="286" t="s">
        <v>238</v>
      </c>
      <c r="C150" s="287">
        <v>0.0</v>
      </c>
      <c r="D150" s="287" t="s">
        <v>454</v>
      </c>
      <c r="E150" s="287" t="s">
        <v>452</v>
      </c>
      <c r="F150" s="287" t="s">
        <v>452</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620</v>
      </c>
      <c r="B151" s="286" t="s">
        <v>238</v>
      </c>
      <c r="C151" s="287">
        <v>0.0</v>
      </c>
      <c r="D151" s="287" t="s">
        <v>457</v>
      </c>
      <c r="E151" s="287">
        <v>0.0</v>
      </c>
      <c r="F151" s="287" t="s">
        <v>454</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621</v>
      </c>
      <c r="B152" s="286" t="s">
        <v>238</v>
      </c>
      <c r="C152" s="287">
        <v>0.0</v>
      </c>
      <c r="D152" s="287" t="s">
        <v>452</v>
      </c>
      <c r="E152" s="287">
        <v>0.0</v>
      </c>
      <c r="F152" s="287" t="s">
        <v>454</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622</v>
      </c>
      <c r="B153" s="286" t="s">
        <v>238</v>
      </c>
      <c r="C153" s="287">
        <v>0.0</v>
      </c>
      <c r="D153" s="287">
        <v>0.0</v>
      </c>
      <c r="E153" s="287">
        <v>0.0</v>
      </c>
      <c r="F153" s="287" t="s">
        <v>452</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623</v>
      </c>
      <c r="B154" s="286" t="s">
        <v>624</v>
      </c>
      <c r="C154" s="287">
        <v>0.0</v>
      </c>
      <c r="D154" s="287" t="s">
        <v>463</v>
      </c>
      <c r="E154" s="287">
        <v>0.0</v>
      </c>
      <c r="F154" s="287" t="s">
        <v>452</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625</v>
      </c>
      <c r="B155" s="286" t="s">
        <v>624</v>
      </c>
      <c r="C155" s="287">
        <v>0.0</v>
      </c>
      <c r="D155" s="287" t="s">
        <v>454</v>
      </c>
      <c r="E155" s="287">
        <v>0.0</v>
      </c>
      <c r="F155" s="287" t="s">
        <v>452</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626</v>
      </c>
      <c r="B156" s="286" t="s">
        <v>624</v>
      </c>
      <c r="C156" s="287" t="s">
        <v>452</v>
      </c>
      <c r="D156" s="287" t="s">
        <v>483</v>
      </c>
      <c r="E156" s="287">
        <v>0.0</v>
      </c>
      <c r="F156" s="287" t="s">
        <v>452</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627</v>
      </c>
      <c r="B157" s="286" t="s">
        <v>624</v>
      </c>
      <c r="C157" s="287">
        <v>0.0</v>
      </c>
      <c r="D157" s="287" t="s">
        <v>452</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628</v>
      </c>
      <c r="B158" s="286" t="s">
        <v>624</v>
      </c>
      <c r="C158" s="287">
        <v>0.0</v>
      </c>
      <c r="D158" s="287" t="s">
        <v>454</v>
      </c>
      <c r="E158" s="287">
        <v>0.0</v>
      </c>
      <c r="F158" s="287" t="s">
        <v>454</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629</v>
      </c>
      <c r="B159" s="286" t="s">
        <v>240</v>
      </c>
      <c r="C159" s="287">
        <v>0.0</v>
      </c>
      <c r="D159" s="287" t="s">
        <v>454</v>
      </c>
      <c r="E159" s="287">
        <v>0.0</v>
      </c>
      <c r="F159" s="287" t="s">
        <v>452</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630</v>
      </c>
      <c r="B160" s="286" t="s">
        <v>631</v>
      </c>
      <c r="C160" s="287" t="s">
        <v>457</v>
      </c>
      <c r="D160" s="287" t="s">
        <v>549</v>
      </c>
      <c r="E160" s="287">
        <v>0.0</v>
      </c>
      <c r="F160" s="287" t="s">
        <v>457</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632</v>
      </c>
      <c r="B161" s="286" t="s">
        <v>631</v>
      </c>
      <c r="C161" s="287" t="s">
        <v>452</v>
      </c>
      <c r="D161" s="287" t="s">
        <v>463</v>
      </c>
      <c r="E161" s="287">
        <v>0.0</v>
      </c>
      <c r="F161" s="287" t="s">
        <v>452</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633</v>
      </c>
      <c r="B162" s="286" t="s">
        <v>241</v>
      </c>
      <c r="C162" s="287" t="s">
        <v>452</v>
      </c>
      <c r="D162" s="287" t="s">
        <v>457</v>
      </c>
      <c r="E162" s="287" t="s">
        <v>452</v>
      </c>
      <c r="F162" s="287" t="s">
        <v>457</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634</v>
      </c>
      <c r="B163" s="286" t="s">
        <v>241</v>
      </c>
      <c r="C163" s="287" t="s">
        <v>452</v>
      </c>
      <c r="D163" s="287" t="s">
        <v>454</v>
      </c>
      <c r="E163" s="287">
        <v>0.0</v>
      </c>
      <c r="F163" s="287" t="s">
        <v>452</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635</v>
      </c>
      <c r="B164" s="286" t="s">
        <v>636</v>
      </c>
      <c r="C164" s="287">
        <v>0.0</v>
      </c>
      <c r="D164" s="287" t="s">
        <v>454</v>
      </c>
      <c r="E164" s="287" t="s">
        <v>452</v>
      </c>
      <c r="F164" s="287" t="s">
        <v>452</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637</v>
      </c>
      <c r="B165" s="286" t="s">
        <v>636</v>
      </c>
      <c r="C165" s="287">
        <v>0.0</v>
      </c>
      <c r="D165" s="287" t="s">
        <v>454</v>
      </c>
      <c r="E165" s="287">
        <v>0.0</v>
      </c>
      <c r="F165" s="287" t="s">
        <v>452</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638</v>
      </c>
      <c r="B166" s="286" t="s">
        <v>639</v>
      </c>
      <c r="C166" s="287">
        <v>0.0</v>
      </c>
      <c r="D166" s="287" t="s">
        <v>457</v>
      </c>
      <c r="E166" s="287">
        <v>0.0</v>
      </c>
      <c r="F166" s="287" t="s">
        <v>454</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640</v>
      </c>
      <c r="B167" s="286" t="s">
        <v>243</v>
      </c>
      <c r="C167" s="287" t="s">
        <v>452</v>
      </c>
      <c r="D167" s="287" t="s">
        <v>454</v>
      </c>
      <c r="E167" s="287">
        <v>0.0</v>
      </c>
      <c r="F167" s="287" t="s">
        <v>452</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641</v>
      </c>
      <c r="B168" s="286" t="s">
        <v>243</v>
      </c>
      <c r="C168" s="287">
        <v>0.0</v>
      </c>
      <c r="D168" s="287" t="s">
        <v>452</v>
      </c>
      <c r="E168" s="287">
        <v>0.0</v>
      </c>
      <c r="F168" s="287" t="s">
        <v>452</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642</v>
      </c>
      <c r="B169" s="286" t="s">
        <v>244</v>
      </c>
      <c r="C169" s="287" t="s">
        <v>452</v>
      </c>
      <c r="D169" s="287" t="s">
        <v>454</v>
      </c>
      <c r="E169" s="287">
        <v>0.0</v>
      </c>
      <c r="F169" s="287" t="s">
        <v>454</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643</v>
      </c>
      <c r="B170" s="286" t="s">
        <v>244</v>
      </c>
      <c r="C170" s="287">
        <v>0.0</v>
      </c>
      <c r="D170" s="287" t="s">
        <v>452</v>
      </c>
      <c r="E170" s="287" t="s">
        <v>452</v>
      </c>
      <c r="F170" s="287" t="s">
        <v>452</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644</v>
      </c>
      <c r="B171" s="286" t="s">
        <v>244</v>
      </c>
      <c r="C171" s="287">
        <v>0.0</v>
      </c>
      <c r="D171" s="287" t="s">
        <v>452</v>
      </c>
      <c r="E171" s="287">
        <v>0.0</v>
      </c>
      <c r="F171" s="287" t="s">
        <v>452</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645</v>
      </c>
      <c r="B172" s="286" t="s">
        <v>244</v>
      </c>
      <c r="C172" s="287" t="s">
        <v>452</v>
      </c>
      <c r="D172" s="287" t="s">
        <v>489</v>
      </c>
      <c r="E172" s="287">
        <v>0.0</v>
      </c>
      <c r="F172" s="287" t="s">
        <v>457</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646</v>
      </c>
      <c r="B173" s="286" t="s">
        <v>244</v>
      </c>
      <c r="C173" s="287" t="s">
        <v>452</v>
      </c>
      <c r="D173" s="287" t="s">
        <v>489</v>
      </c>
      <c r="E173" s="287">
        <v>0.0</v>
      </c>
      <c r="F173" s="287" t="s">
        <v>454</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647</v>
      </c>
      <c r="B174" s="286" t="s">
        <v>244</v>
      </c>
      <c r="C174" s="287">
        <v>0.0</v>
      </c>
      <c r="D174" s="287" t="s">
        <v>454</v>
      </c>
      <c r="E174" s="287">
        <v>0.0</v>
      </c>
      <c r="F174" s="287" t="s">
        <v>452</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648</v>
      </c>
      <c r="B175" s="286" t="s">
        <v>244</v>
      </c>
      <c r="C175" s="287" t="s">
        <v>452</v>
      </c>
      <c r="D175" s="287" t="s">
        <v>454</v>
      </c>
      <c r="E175" s="287">
        <v>0.0</v>
      </c>
      <c r="F175" s="287" t="s">
        <v>452</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649</v>
      </c>
      <c r="B176" s="286" t="s">
        <v>244</v>
      </c>
      <c r="C176" s="287">
        <v>0.0</v>
      </c>
      <c r="D176" s="287" t="s">
        <v>463</v>
      </c>
      <c r="E176" s="287">
        <v>0.0</v>
      </c>
      <c r="F176" s="287" t="s">
        <v>454</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650</v>
      </c>
      <c r="B177" s="286" t="s">
        <v>650</v>
      </c>
      <c r="C177" s="287" t="s">
        <v>452</v>
      </c>
      <c r="D177" s="287" t="s">
        <v>454</v>
      </c>
      <c r="E177" s="287" t="s">
        <v>452</v>
      </c>
      <c r="F177" s="287" t="s">
        <v>454</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651</v>
      </c>
      <c r="B178" s="286" t="s">
        <v>652</v>
      </c>
      <c r="C178" s="287">
        <v>0.0</v>
      </c>
      <c r="D178" s="287" t="s">
        <v>452</v>
      </c>
      <c r="E178" s="287">
        <v>0.0</v>
      </c>
      <c r="F178" s="287" t="s">
        <v>452</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653</v>
      </c>
      <c r="B179" s="286" t="s">
        <v>245</v>
      </c>
      <c r="C179" s="287">
        <v>0.0</v>
      </c>
      <c r="D179" s="287" t="s">
        <v>457</v>
      </c>
      <c r="E179" s="287">
        <v>0.0</v>
      </c>
      <c r="F179" s="287" t="s">
        <v>454</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654</v>
      </c>
      <c r="B180" s="286" t="s">
        <v>245</v>
      </c>
      <c r="C180" s="287" t="s">
        <v>452</v>
      </c>
      <c r="D180" s="287" t="s">
        <v>459</v>
      </c>
      <c r="E180" s="287" t="s">
        <v>452</v>
      </c>
      <c r="F180" s="287" t="s">
        <v>457</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655</v>
      </c>
      <c r="B181" s="286" t="s">
        <v>245</v>
      </c>
      <c r="C181" s="287" t="s">
        <v>452</v>
      </c>
      <c r="D181" s="287" t="s">
        <v>591</v>
      </c>
      <c r="E181" s="287">
        <v>0.0</v>
      </c>
      <c r="F181" s="287" t="s">
        <v>457</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656</v>
      </c>
      <c r="B182" s="286" t="s">
        <v>245</v>
      </c>
      <c r="C182" s="287">
        <v>0.0</v>
      </c>
      <c r="D182" s="287" t="s">
        <v>457</v>
      </c>
      <c r="E182" s="287">
        <v>0.0</v>
      </c>
      <c r="F182" s="287" t="s">
        <v>454</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657</v>
      </c>
      <c r="B183" s="286" t="s">
        <v>245</v>
      </c>
      <c r="C183" s="287" t="s">
        <v>452</v>
      </c>
      <c r="D183" s="287" t="s">
        <v>459</v>
      </c>
      <c r="E183" s="287">
        <v>0.0</v>
      </c>
      <c r="F183" s="287" t="s">
        <v>454</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658</v>
      </c>
      <c r="B184" s="286" t="s">
        <v>245</v>
      </c>
      <c r="C184" s="287">
        <v>0.0</v>
      </c>
      <c r="D184" s="287" t="s">
        <v>454</v>
      </c>
      <c r="E184" s="287">
        <v>0.0</v>
      </c>
      <c r="F184" s="287" t="s">
        <v>452</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659</v>
      </c>
      <c r="B185" s="286" t="s">
        <v>246</v>
      </c>
      <c r="C185" s="287">
        <v>0.0</v>
      </c>
      <c r="D185" s="287" t="s">
        <v>454</v>
      </c>
      <c r="E185" s="287">
        <v>0.0</v>
      </c>
      <c r="F185" s="287" t="s">
        <v>452</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660</v>
      </c>
      <c r="B186" s="286" t="s">
        <v>661</v>
      </c>
      <c r="C186" s="287">
        <v>0.0</v>
      </c>
      <c r="D186" s="287" t="s">
        <v>457</v>
      </c>
      <c r="E186" s="287">
        <v>0.0</v>
      </c>
      <c r="F186" s="287" t="s">
        <v>454</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662</v>
      </c>
      <c r="B187" s="286" t="s">
        <v>247</v>
      </c>
      <c r="C187" s="287">
        <v>0.0</v>
      </c>
      <c r="D187" s="287" t="s">
        <v>457</v>
      </c>
      <c r="E187" s="287">
        <v>0.0</v>
      </c>
      <c r="F187" s="287" t="s">
        <v>452</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663</v>
      </c>
      <c r="B188" s="286" t="s">
        <v>247</v>
      </c>
      <c r="C188" s="287">
        <v>0.0</v>
      </c>
      <c r="D188" s="287" t="s">
        <v>457</v>
      </c>
      <c r="E188" s="287">
        <v>0.0</v>
      </c>
      <c r="F188" s="287" t="s">
        <v>452</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664</v>
      </c>
      <c r="B189" s="286" t="s">
        <v>247</v>
      </c>
      <c r="C189" s="287">
        <v>0.0</v>
      </c>
      <c r="D189" s="287" t="s">
        <v>454</v>
      </c>
      <c r="E189" s="287">
        <v>0.0</v>
      </c>
      <c r="F189" s="287" t="s">
        <v>452</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665</v>
      </c>
      <c r="B190" s="286" t="s">
        <v>247</v>
      </c>
      <c r="C190" s="287" t="s">
        <v>452</v>
      </c>
      <c r="D190" s="287" t="s">
        <v>483</v>
      </c>
      <c r="E190" s="287" t="s">
        <v>452</v>
      </c>
      <c r="F190" s="287" t="s">
        <v>454</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666</v>
      </c>
      <c r="B191" s="286" t="s">
        <v>247</v>
      </c>
      <c r="C191" s="287" t="s">
        <v>452</v>
      </c>
      <c r="D191" s="287" t="s">
        <v>459</v>
      </c>
      <c r="E191" s="287">
        <v>0.0</v>
      </c>
      <c r="F191" s="287" t="s">
        <v>452</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667</v>
      </c>
      <c r="B192" s="286" t="s">
        <v>248</v>
      </c>
      <c r="C192" s="287">
        <v>0.0</v>
      </c>
      <c r="D192" s="287" t="s">
        <v>463</v>
      </c>
      <c r="E192" s="287">
        <v>0.0</v>
      </c>
      <c r="F192" s="287" t="s">
        <v>457</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668</v>
      </c>
      <c r="B193" s="286" t="s">
        <v>248</v>
      </c>
      <c r="C193" s="287">
        <v>0.0</v>
      </c>
      <c r="D193" s="287" t="s">
        <v>483</v>
      </c>
      <c r="E193" s="287">
        <v>0.0</v>
      </c>
      <c r="F193" s="287" t="s">
        <v>454</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669</v>
      </c>
      <c r="B194" s="286" t="s">
        <v>248</v>
      </c>
      <c r="C194" s="287" t="s">
        <v>452</v>
      </c>
      <c r="D194" s="287" t="s">
        <v>457</v>
      </c>
      <c r="E194" s="287">
        <v>0.0</v>
      </c>
      <c r="F194" s="287" t="s">
        <v>454</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670</v>
      </c>
      <c r="B195" s="286" t="s">
        <v>249</v>
      </c>
      <c r="C195" s="287">
        <v>0.0</v>
      </c>
      <c r="D195" s="287" t="s">
        <v>454</v>
      </c>
      <c r="E195" s="287">
        <v>0.0</v>
      </c>
      <c r="F195" s="287" t="s">
        <v>452</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671</v>
      </c>
      <c r="B196" s="286" t="s">
        <v>250</v>
      </c>
      <c r="C196" s="287" t="s">
        <v>452</v>
      </c>
      <c r="D196" s="287" t="s">
        <v>463</v>
      </c>
      <c r="E196" s="287">
        <v>0.0</v>
      </c>
      <c r="F196" s="287" t="s">
        <v>452</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672</v>
      </c>
      <c r="B197" s="286" t="s">
        <v>250</v>
      </c>
      <c r="C197" s="287" t="s">
        <v>452</v>
      </c>
      <c r="D197" s="287" t="s">
        <v>463</v>
      </c>
      <c r="E197" s="287">
        <v>0.0</v>
      </c>
      <c r="F197" s="287" t="s">
        <v>452</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673</v>
      </c>
      <c r="B198" s="286" t="s">
        <v>250</v>
      </c>
      <c r="C198" s="287" t="s">
        <v>452</v>
      </c>
      <c r="D198" s="287" t="s">
        <v>489</v>
      </c>
      <c r="E198" s="287">
        <v>0.0</v>
      </c>
      <c r="F198" s="287" t="s">
        <v>454</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674</v>
      </c>
      <c r="B199" s="286" t="s">
        <v>250</v>
      </c>
      <c r="C199" s="287">
        <v>0.0</v>
      </c>
      <c r="D199" s="287" t="s">
        <v>452</v>
      </c>
      <c r="E199" s="287">
        <v>0.0</v>
      </c>
      <c r="F199" s="287" t="s">
        <v>452</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675</v>
      </c>
      <c r="B200" s="286" t="s">
        <v>251</v>
      </c>
      <c r="C200" s="287" t="s">
        <v>452</v>
      </c>
      <c r="D200" s="287" t="s">
        <v>452</v>
      </c>
      <c r="E200" s="287">
        <v>0.0</v>
      </c>
      <c r="F200" s="287" t="s">
        <v>452</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676</v>
      </c>
      <c r="B201" s="286" t="s">
        <v>251</v>
      </c>
      <c r="C201" s="287" t="s">
        <v>452</v>
      </c>
      <c r="D201" s="287" t="s">
        <v>459</v>
      </c>
      <c r="E201" s="287">
        <v>0.0</v>
      </c>
      <c r="F201" s="287" t="s">
        <v>454</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677</v>
      </c>
      <c r="B202" s="286" t="s">
        <v>251</v>
      </c>
      <c r="C202" s="287">
        <v>0.0</v>
      </c>
      <c r="D202" s="287" t="s">
        <v>454</v>
      </c>
      <c r="E202" s="287">
        <v>0.0</v>
      </c>
      <c r="F202" s="287" t="s">
        <v>454</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678</v>
      </c>
      <c r="B203" s="286" t="s">
        <v>251</v>
      </c>
      <c r="C203" s="287">
        <v>0.0</v>
      </c>
      <c r="D203" s="287" t="s">
        <v>454</v>
      </c>
      <c r="E203" s="287">
        <v>0.0</v>
      </c>
      <c r="F203" s="287" t="s">
        <v>454</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679</v>
      </c>
      <c r="B204" s="286" t="s">
        <v>251</v>
      </c>
      <c r="C204" s="287" t="s">
        <v>452</v>
      </c>
      <c r="D204" s="287" t="s">
        <v>463</v>
      </c>
      <c r="E204" s="287">
        <v>0.0</v>
      </c>
      <c r="F204" s="287" t="s">
        <v>452</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680</v>
      </c>
      <c r="B205" s="286" t="s">
        <v>251</v>
      </c>
      <c r="C205" s="287" t="s">
        <v>454</v>
      </c>
      <c r="D205" s="287" t="s">
        <v>505</v>
      </c>
      <c r="E205" s="287" t="s">
        <v>452</v>
      </c>
      <c r="F205" s="287" t="s">
        <v>457</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681</v>
      </c>
      <c r="B206" s="286" t="s">
        <v>251</v>
      </c>
      <c r="C206" s="287" t="s">
        <v>452</v>
      </c>
      <c r="D206" s="287" t="s">
        <v>457</v>
      </c>
      <c r="E206" s="287">
        <v>0.0</v>
      </c>
      <c r="F206" s="287" t="s">
        <v>452</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682</v>
      </c>
      <c r="B207" s="286" t="s">
        <v>251</v>
      </c>
      <c r="C207" s="287" t="s">
        <v>452</v>
      </c>
      <c r="D207" s="287" t="s">
        <v>457</v>
      </c>
      <c r="E207" s="287">
        <v>0.0</v>
      </c>
      <c r="F207" s="287" t="s">
        <v>452</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683</v>
      </c>
      <c r="B208" s="286" t="s">
        <v>251</v>
      </c>
      <c r="C208" s="287">
        <v>0.0</v>
      </c>
      <c r="D208" s="287" t="s">
        <v>457</v>
      </c>
      <c r="E208" s="287">
        <v>0.0</v>
      </c>
      <c r="F208" s="287" t="s">
        <v>452</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684</v>
      </c>
      <c r="B209" s="286" t="s">
        <v>252</v>
      </c>
      <c r="C209" s="287" t="s">
        <v>452</v>
      </c>
      <c r="D209" s="287" t="s">
        <v>459</v>
      </c>
      <c r="E209" s="287">
        <v>0.0</v>
      </c>
      <c r="F209" s="287" t="s">
        <v>454</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685</v>
      </c>
      <c r="B210" s="286" t="s">
        <v>252</v>
      </c>
      <c r="C210" s="287">
        <v>0.0</v>
      </c>
      <c r="D210" s="287" t="s">
        <v>452</v>
      </c>
      <c r="E210" s="287">
        <v>0.0</v>
      </c>
      <c r="F210" s="287" t="s">
        <v>452</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686</v>
      </c>
      <c r="B211" s="286" t="s">
        <v>252</v>
      </c>
      <c r="C211" s="287">
        <v>0.0</v>
      </c>
      <c r="D211" s="287" t="s">
        <v>457</v>
      </c>
      <c r="E211" s="287">
        <v>0.0</v>
      </c>
      <c r="F211" s="287" t="s">
        <v>454</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687</v>
      </c>
      <c r="B212" s="286" t="s">
        <v>252</v>
      </c>
      <c r="C212" s="287">
        <v>0.0</v>
      </c>
      <c r="D212" s="287" t="s">
        <v>454</v>
      </c>
      <c r="E212" s="287" t="s">
        <v>452</v>
      </c>
      <c r="F212" s="287" t="s">
        <v>454</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688</v>
      </c>
      <c r="B213" s="286" t="s">
        <v>252</v>
      </c>
      <c r="C213" s="287">
        <v>0.0</v>
      </c>
      <c r="D213" s="287" t="s">
        <v>454</v>
      </c>
      <c r="E213" s="287">
        <v>0.0</v>
      </c>
      <c r="F213" s="287" t="s">
        <v>454</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689</v>
      </c>
      <c r="B214" s="286" t="s">
        <v>252</v>
      </c>
      <c r="C214" s="287">
        <v>0.0</v>
      </c>
      <c r="D214" s="287" t="s">
        <v>463</v>
      </c>
      <c r="E214" s="287">
        <v>0.0</v>
      </c>
      <c r="F214" s="287" t="s">
        <v>454</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690</v>
      </c>
      <c r="B215" s="286" t="s">
        <v>252</v>
      </c>
      <c r="C215" s="287">
        <v>0.0</v>
      </c>
      <c r="D215" s="287" t="s">
        <v>549</v>
      </c>
      <c r="E215" s="287">
        <v>0.0</v>
      </c>
      <c r="F215" s="287" t="s">
        <v>463</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691</v>
      </c>
      <c r="B216" s="286" t="s">
        <v>252</v>
      </c>
      <c r="C216" s="287">
        <v>0.0</v>
      </c>
      <c r="D216" s="287" t="s">
        <v>463</v>
      </c>
      <c r="E216" s="287">
        <v>0.0</v>
      </c>
      <c r="F216" s="287" t="s">
        <v>454</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692</v>
      </c>
      <c r="B217" s="286" t="s">
        <v>253</v>
      </c>
      <c r="C217" s="287" t="s">
        <v>452</v>
      </c>
      <c r="D217" s="287" t="s">
        <v>483</v>
      </c>
      <c r="E217" s="287">
        <v>0.0</v>
      </c>
      <c r="F217" s="287" t="s">
        <v>457</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693</v>
      </c>
      <c r="B218" s="286" t="s">
        <v>253</v>
      </c>
      <c r="C218" s="287" t="s">
        <v>452</v>
      </c>
      <c r="D218" s="287" t="s">
        <v>489</v>
      </c>
      <c r="E218" s="287">
        <v>0.0</v>
      </c>
      <c r="F218" s="287" t="s">
        <v>454</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694</v>
      </c>
      <c r="B219" s="286" t="s">
        <v>253</v>
      </c>
      <c r="C219" s="287" t="s">
        <v>452</v>
      </c>
      <c r="D219" s="287" t="s">
        <v>463</v>
      </c>
      <c r="E219" s="287">
        <v>0.0</v>
      </c>
      <c r="F219" s="287" t="s">
        <v>454</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695</v>
      </c>
      <c r="B220" s="286" t="s">
        <v>695</v>
      </c>
      <c r="C220" s="287">
        <v>0.0</v>
      </c>
      <c r="D220" s="287" t="s">
        <v>454</v>
      </c>
      <c r="E220" s="287" t="s">
        <v>452</v>
      </c>
      <c r="F220" s="287" t="s">
        <v>452</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696</v>
      </c>
      <c r="B221" s="286" t="s">
        <v>697</v>
      </c>
      <c r="C221" s="287">
        <v>0.0</v>
      </c>
      <c r="D221" s="287" t="s">
        <v>454</v>
      </c>
      <c r="E221" s="287">
        <v>0.0</v>
      </c>
      <c r="F221" s="287" t="s">
        <v>454</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698</v>
      </c>
      <c r="B222" s="286" t="s">
        <v>697</v>
      </c>
      <c r="C222" s="287">
        <v>0.0</v>
      </c>
      <c r="D222" s="287" t="s">
        <v>457</v>
      </c>
      <c r="E222" s="287">
        <v>0.0</v>
      </c>
      <c r="F222" s="287" t="s">
        <v>452</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699</v>
      </c>
      <c r="B223" s="286" t="s">
        <v>697</v>
      </c>
      <c r="C223" s="287" t="s">
        <v>452</v>
      </c>
      <c r="D223" s="287" t="s">
        <v>457</v>
      </c>
      <c r="E223" s="287">
        <v>0.0</v>
      </c>
      <c r="F223" s="287" t="s">
        <v>452</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700</v>
      </c>
      <c r="B224" s="286" t="s">
        <v>254</v>
      </c>
      <c r="C224" s="287" t="s">
        <v>452</v>
      </c>
      <c r="D224" s="287" t="s">
        <v>452</v>
      </c>
      <c r="E224" s="287">
        <v>0.0</v>
      </c>
      <c r="F224" s="287" t="s">
        <v>452</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701</v>
      </c>
      <c r="B225" s="286" t="s">
        <v>254</v>
      </c>
      <c r="C225" s="287">
        <v>0.0</v>
      </c>
      <c r="D225" s="287" t="s">
        <v>452</v>
      </c>
      <c r="E225" s="287">
        <v>0.0</v>
      </c>
      <c r="F225" s="287" t="s">
        <v>452</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702</v>
      </c>
      <c r="B226" s="286" t="s">
        <v>254</v>
      </c>
      <c r="C226" s="287">
        <v>0.0</v>
      </c>
      <c r="D226" s="287" t="s">
        <v>452</v>
      </c>
      <c r="E226" s="287">
        <v>0.0</v>
      </c>
      <c r="F226" s="287" t="s">
        <v>452</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703</v>
      </c>
      <c r="B227" s="286" t="s">
        <v>254</v>
      </c>
      <c r="C227" s="287">
        <v>0.0</v>
      </c>
      <c r="D227" s="287" t="s">
        <v>452</v>
      </c>
      <c r="E227" s="287">
        <v>0.0</v>
      </c>
      <c r="F227" s="287" t="s">
        <v>454</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704</v>
      </c>
      <c r="B228" s="286" t="s">
        <v>254</v>
      </c>
      <c r="C228" s="287">
        <v>0.0</v>
      </c>
      <c r="D228" s="287" t="s">
        <v>452</v>
      </c>
      <c r="E228" s="287">
        <v>0.0</v>
      </c>
      <c r="F228" s="287" t="s">
        <v>452</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705</v>
      </c>
      <c r="B229" s="286" t="s">
        <v>254</v>
      </c>
      <c r="C229" s="287" t="s">
        <v>452</v>
      </c>
      <c r="D229" s="287" t="s">
        <v>452</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706</v>
      </c>
      <c r="B230" s="286" t="s">
        <v>254</v>
      </c>
      <c r="C230" s="287">
        <v>0.0</v>
      </c>
      <c r="D230" s="287" t="s">
        <v>454</v>
      </c>
      <c r="E230" s="287">
        <v>0.0</v>
      </c>
      <c r="F230" s="287" t="s">
        <v>457</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707</v>
      </c>
      <c r="B231" s="286" t="s">
        <v>254</v>
      </c>
      <c r="C231" s="287">
        <v>0.0</v>
      </c>
      <c r="D231" s="287" t="s">
        <v>452</v>
      </c>
      <c r="E231" s="287">
        <v>0.0</v>
      </c>
      <c r="F231" s="287" t="s">
        <v>452</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708</v>
      </c>
      <c r="B232" s="286" t="s">
        <v>254</v>
      </c>
      <c r="C232" s="287">
        <v>0.0</v>
      </c>
      <c r="D232" s="287" t="s">
        <v>452</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709</v>
      </c>
      <c r="B233" s="286" t="s">
        <v>254</v>
      </c>
      <c r="C233" s="287">
        <v>0.0</v>
      </c>
      <c r="D233" s="287" t="s">
        <v>454</v>
      </c>
      <c r="E233" s="287">
        <v>0.0</v>
      </c>
      <c r="F233" s="287" t="s">
        <v>457</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710</v>
      </c>
      <c r="B234" s="286" t="s">
        <v>254</v>
      </c>
      <c r="C234" s="287">
        <v>0.0</v>
      </c>
      <c r="D234" s="287">
        <v>0.0</v>
      </c>
      <c r="E234" s="287">
        <v>0.0</v>
      </c>
      <c r="F234" s="287" t="s">
        <v>452</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711</v>
      </c>
      <c r="B235" s="286" t="s">
        <v>254</v>
      </c>
      <c r="C235" s="287">
        <v>0.0</v>
      </c>
      <c r="D235" s="287">
        <v>0.0</v>
      </c>
      <c r="E235" s="287">
        <v>0.0</v>
      </c>
      <c r="F235" s="287" t="s">
        <v>452</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712</v>
      </c>
      <c r="B236" s="286" t="s">
        <v>254</v>
      </c>
      <c r="C236" s="287">
        <v>0.0</v>
      </c>
      <c r="D236" s="287" t="s">
        <v>457</v>
      </c>
      <c r="E236" s="287">
        <v>0.0</v>
      </c>
      <c r="F236" s="287" t="s">
        <v>454</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713</v>
      </c>
      <c r="B237" s="286" t="s">
        <v>254</v>
      </c>
      <c r="C237" s="287">
        <v>0.0</v>
      </c>
      <c r="D237" s="287" t="s">
        <v>454</v>
      </c>
      <c r="E237" s="287">
        <v>0.0</v>
      </c>
      <c r="F237" s="287" t="s">
        <v>454</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714</v>
      </c>
      <c r="B238" s="286" t="s">
        <v>254</v>
      </c>
      <c r="C238" s="287">
        <v>0.0</v>
      </c>
      <c r="D238" s="287" t="s">
        <v>452</v>
      </c>
      <c r="E238" s="287">
        <v>0.0</v>
      </c>
      <c r="F238" s="287" t="s">
        <v>452</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715</v>
      </c>
      <c r="B239" s="286" t="s">
        <v>254</v>
      </c>
      <c r="C239" s="287">
        <v>0.0</v>
      </c>
      <c r="D239" s="287" t="s">
        <v>452</v>
      </c>
      <c r="E239" s="287">
        <v>0.0</v>
      </c>
      <c r="F239" s="287" t="s">
        <v>452</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716</v>
      </c>
      <c r="B240" s="286" t="s">
        <v>254</v>
      </c>
      <c r="C240" s="287">
        <v>0.0</v>
      </c>
      <c r="D240" s="287" t="s">
        <v>452</v>
      </c>
      <c r="E240" s="287">
        <v>0.0</v>
      </c>
      <c r="F240" s="287" t="s">
        <v>452</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717</v>
      </c>
      <c r="B241" s="286" t="s">
        <v>254</v>
      </c>
      <c r="C241" s="287">
        <v>0.0</v>
      </c>
      <c r="D241" s="287" t="s">
        <v>454</v>
      </c>
      <c r="E241" s="287">
        <v>0.0</v>
      </c>
      <c r="F241" s="287" t="s">
        <v>452</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718</v>
      </c>
      <c r="B242" s="286" t="s">
        <v>255</v>
      </c>
      <c r="C242" s="287">
        <v>0.0</v>
      </c>
      <c r="D242" s="287" t="s">
        <v>454</v>
      </c>
      <c r="E242" s="287">
        <v>0.0</v>
      </c>
      <c r="F242" s="287" t="s">
        <v>452</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719</v>
      </c>
      <c r="B243" s="286" t="s">
        <v>255</v>
      </c>
      <c r="C243" s="287">
        <v>0.0</v>
      </c>
      <c r="D243" s="287" t="s">
        <v>463</v>
      </c>
      <c r="E243" s="287">
        <v>0.0</v>
      </c>
      <c r="F243" s="287" t="s">
        <v>454</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720</v>
      </c>
      <c r="B244" s="286" t="s">
        <v>255</v>
      </c>
      <c r="C244" s="287">
        <v>0.0</v>
      </c>
      <c r="D244" s="287" t="s">
        <v>459</v>
      </c>
      <c r="E244" s="287">
        <v>0.0</v>
      </c>
      <c r="F244" s="287" t="s">
        <v>454</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721</v>
      </c>
      <c r="B245" s="286" t="s">
        <v>255</v>
      </c>
      <c r="C245" s="287">
        <v>0.0</v>
      </c>
      <c r="D245" s="287" t="s">
        <v>463</v>
      </c>
      <c r="E245" s="287">
        <v>0.0</v>
      </c>
      <c r="F245" s="287" t="s">
        <v>452</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722</v>
      </c>
      <c r="B246" s="286" t="s">
        <v>723</v>
      </c>
      <c r="C246" s="287">
        <v>0.0</v>
      </c>
      <c r="D246" s="287" t="s">
        <v>452</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724</v>
      </c>
      <c r="B247" s="286" t="s">
        <v>723</v>
      </c>
      <c r="C247" s="287">
        <v>0.0</v>
      </c>
      <c r="D247" s="287">
        <v>0.0</v>
      </c>
      <c r="E247" s="287">
        <v>0.0</v>
      </c>
      <c r="F247" s="287" t="s">
        <v>452</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725</v>
      </c>
      <c r="B248" s="286" t="s">
        <v>723</v>
      </c>
      <c r="C248" s="287">
        <v>0.0</v>
      </c>
      <c r="D248" s="287" t="s">
        <v>457</v>
      </c>
      <c r="E248" s="287">
        <v>0.0</v>
      </c>
      <c r="F248" s="287" t="s">
        <v>454</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726</v>
      </c>
      <c r="B249" s="286" t="s">
        <v>723</v>
      </c>
      <c r="C249" s="287">
        <v>0.0</v>
      </c>
      <c r="D249" s="287" t="s">
        <v>452</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727</v>
      </c>
      <c r="B250" s="286" t="s">
        <v>723</v>
      </c>
      <c r="C250" s="287">
        <v>0.0</v>
      </c>
      <c r="D250" s="287" t="s">
        <v>454</v>
      </c>
      <c r="E250" s="287">
        <v>0.0</v>
      </c>
      <c r="F250" s="287" t="s">
        <v>452</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728</v>
      </c>
      <c r="B251" s="286" t="s">
        <v>723</v>
      </c>
      <c r="C251" s="287">
        <v>0.0</v>
      </c>
      <c r="D251" s="287" t="s">
        <v>452</v>
      </c>
      <c r="E251" s="287">
        <v>0.0</v>
      </c>
      <c r="F251" s="287" t="s">
        <v>454</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729</v>
      </c>
      <c r="B252" s="286" t="s">
        <v>723</v>
      </c>
      <c r="C252" s="287">
        <v>0.0</v>
      </c>
      <c r="D252" s="287" t="s">
        <v>452</v>
      </c>
      <c r="E252" s="287">
        <v>0.0</v>
      </c>
      <c r="F252" s="287" t="s">
        <v>452</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730</v>
      </c>
      <c r="B253" s="286" t="s">
        <v>723</v>
      </c>
      <c r="C253" s="287">
        <v>0.0</v>
      </c>
      <c r="D253" s="287" t="s">
        <v>452</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731</v>
      </c>
      <c r="B254" s="286" t="s">
        <v>723</v>
      </c>
      <c r="C254" s="287">
        <v>0.0</v>
      </c>
      <c r="D254" s="287" t="s">
        <v>452</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732</v>
      </c>
      <c r="B255" s="286" t="s">
        <v>723</v>
      </c>
      <c r="C255" s="287">
        <v>0.0</v>
      </c>
      <c r="D255" s="287" t="s">
        <v>452</v>
      </c>
      <c r="E255" s="287">
        <v>0.0</v>
      </c>
      <c r="F255" s="287" t="s">
        <v>452</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733</v>
      </c>
      <c r="B256" s="286" t="s">
        <v>723</v>
      </c>
      <c r="C256" s="287">
        <v>0.0</v>
      </c>
      <c r="D256" s="287" t="s">
        <v>452</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734</v>
      </c>
      <c r="B257" s="286" t="s">
        <v>723</v>
      </c>
      <c r="C257" s="287">
        <v>0.0</v>
      </c>
      <c r="D257" s="287" t="s">
        <v>452</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735</v>
      </c>
      <c r="B258" s="286" t="s">
        <v>723</v>
      </c>
      <c r="C258" s="287">
        <v>0.0</v>
      </c>
      <c r="D258" s="287" t="s">
        <v>452</v>
      </c>
      <c r="E258" s="287">
        <v>0.0</v>
      </c>
      <c r="F258" s="287" t="s">
        <v>452</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736</v>
      </c>
      <c r="B259" s="286" t="s">
        <v>723</v>
      </c>
      <c r="C259" s="287">
        <v>0.0</v>
      </c>
      <c r="D259" s="287">
        <v>0.0</v>
      </c>
      <c r="E259" s="287">
        <v>0.0</v>
      </c>
      <c r="F259" s="287" t="s">
        <v>452</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737</v>
      </c>
      <c r="B260" s="286" t="s">
        <v>723</v>
      </c>
      <c r="C260" s="287">
        <v>0.0</v>
      </c>
      <c r="D260" s="287" t="s">
        <v>452</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738</v>
      </c>
      <c r="B261" s="286" t="s">
        <v>723</v>
      </c>
      <c r="C261" s="287">
        <v>0.0</v>
      </c>
      <c r="D261" s="287" t="s">
        <v>454</v>
      </c>
      <c r="E261" s="287">
        <v>0.0</v>
      </c>
      <c r="F261" s="287" t="s">
        <v>452</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739</v>
      </c>
      <c r="B262" s="286" t="s">
        <v>723</v>
      </c>
      <c r="C262" s="287">
        <v>0.0</v>
      </c>
      <c r="D262" s="287" t="s">
        <v>452</v>
      </c>
      <c r="E262" s="287">
        <v>0.0</v>
      </c>
      <c r="F262" s="287" t="s">
        <v>452</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740</v>
      </c>
      <c r="B263" s="286" t="s">
        <v>723</v>
      </c>
      <c r="C263" s="287">
        <v>0.0</v>
      </c>
      <c r="D263" s="287" t="s">
        <v>452</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8" t="s">
        <v>741</v>
      </c>
      <c r="B264" s="286" t="s">
        <v>723</v>
      </c>
      <c r="C264" s="287">
        <v>0.0</v>
      </c>
      <c r="D264" s="287">
        <v>0.0</v>
      </c>
      <c r="E264" s="287">
        <v>0.0</v>
      </c>
      <c r="F264" s="287" t="s">
        <v>452</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5" t="s">
        <v>742</v>
      </c>
      <c r="B265" s="286" t="s">
        <v>723</v>
      </c>
      <c r="C265" s="287">
        <v>0.0</v>
      </c>
      <c r="D265" s="287" t="s">
        <v>452</v>
      </c>
      <c r="E265" s="287">
        <v>0.0</v>
      </c>
      <c r="F265" s="287">
        <v>0.0</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743</v>
      </c>
      <c r="B266" s="286" t="s">
        <v>723</v>
      </c>
      <c r="C266" s="287">
        <v>0.0</v>
      </c>
      <c r="D266" s="287">
        <v>0.0</v>
      </c>
      <c r="E266" s="287">
        <v>0.0</v>
      </c>
      <c r="F266" s="287" t="s">
        <v>452</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744</v>
      </c>
      <c r="B267" s="286" t="s">
        <v>723</v>
      </c>
      <c r="C267" s="287">
        <v>0.0</v>
      </c>
      <c r="D267" s="287" t="s">
        <v>454</v>
      </c>
      <c r="E267" s="287">
        <v>0.0</v>
      </c>
      <c r="F267" s="287" t="s">
        <v>457</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745</v>
      </c>
      <c r="B268" s="286" t="s">
        <v>723</v>
      </c>
      <c r="C268" s="287">
        <v>0.0</v>
      </c>
      <c r="D268" s="287" t="s">
        <v>457</v>
      </c>
      <c r="E268" s="287">
        <v>0.0</v>
      </c>
      <c r="F268" s="287" t="s">
        <v>454</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746</v>
      </c>
      <c r="B269" s="286" t="s">
        <v>723</v>
      </c>
      <c r="C269" s="287">
        <v>0.0</v>
      </c>
      <c r="D269" s="287" t="s">
        <v>452</v>
      </c>
      <c r="E269" s="287">
        <v>0.0</v>
      </c>
      <c r="F269" s="287" t="s">
        <v>452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747</v>
      </c>
      <c r="B270" s="286" t="s">
        <v>723</v>
      </c>
      <c r="C270" s="287">
        <v>0.0</v>
      </c>
      <c r="D270" s="287" t="s">
        <v>452</v>
      </c>
      <c r="E270" s="287">
        <v>0.0</v>
      </c>
      <c r="F270" s="287" t="s">
        <v>452</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748</v>
      </c>
      <c r="B271" s="286" t="s">
        <v>723</v>
      </c>
      <c r="C271" s="287">
        <v>0.0</v>
      </c>
      <c r="D271" s="287" t="s">
        <v>459</v>
      </c>
      <c r="E271" s="287">
        <v>0.0</v>
      </c>
      <c r="F271" s="287" t="s">
        <v>454</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749</v>
      </c>
      <c r="B272" s="286" t="s">
        <v>723</v>
      </c>
      <c r="C272" s="287" t="s">
        <v>452</v>
      </c>
      <c r="D272" s="287" t="s">
        <v>452</v>
      </c>
      <c r="E272" s="287">
        <v>0.0</v>
      </c>
      <c r="F272" s="287" t="s">
        <v>452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750</v>
      </c>
      <c r="B273" s="286" t="s">
        <v>723</v>
      </c>
      <c r="C273" s="287">
        <v>0.0</v>
      </c>
      <c r="D273" s="287">
        <v>0.0</v>
      </c>
      <c r="E273" s="287">
        <v>0.0</v>
      </c>
      <c r="F273" s="287" t="s">
        <v>452</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751</v>
      </c>
      <c r="B274" s="286" t="s">
        <v>723</v>
      </c>
      <c r="C274" s="287">
        <v>0.0</v>
      </c>
      <c r="D274" s="287" t="s">
        <v>457</v>
      </c>
      <c r="E274" s="287" t="s">
        <v>452</v>
      </c>
      <c r="F274" s="287" t="s">
        <v>452</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752</v>
      </c>
      <c r="B275" s="286" t="s">
        <v>723</v>
      </c>
      <c r="C275" s="287">
        <v>0.0</v>
      </c>
      <c r="D275" s="287" t="s">
        <v>452</v>
      </c>
      <c r="E275" s="287">
        <v>0.0</v>
      </c>
      <c r="F275" s="287">
        <v>0.0</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753</v>
      </c>
      <c r="B276" s="286" t="s">
        <v>723</v>
      </c>
      <c r="C276" s="287">
        <v>0.0</v>
      </c>
      <c r="D276" s="287">
        <v>0.0</v>
      </c>
      <c r="E276" s="287">
        <v>0.0</v>
      </c>
      <c r="F276" s="287" t="s">
        <v>452</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754</v>
      </c>
      <c r="B277" s="286" t="s">
        <v>723</v>
      </c>
      <c r="C277" s="287">
        <v>0.0</v>
      </c>
      <c r="D277" s="287" t="s">
        <v>454</v>
      </c>
      <c r="E277" s="287">
        <v>0.0</v>
      </c>
      <c r="F277" s="287" t="s">
        <v>454</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755</v>
      </c>
      <c r="B278" s="286" t="s">
        <v>723</v>
      </c>
      <c r="C278" s="287">
        <v>0.0</v>
      </c>
      <c r="D278" s="287" t="s">
        <v>452</v>
      </c>
      <c r="E278" s="287">
        <v>0.0</v>
      </c>
      <c r="F278" s="287" t="s">
        <v>452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756</v>
      </c>
      <c r="B279" s="286" t="s">
        <v>723</v>
      </c>
      <c r="C279" s="287">
        <v>0.0</v>
      </c>
      <c r="D279" s="287" t="s">
        <v>452</v>
      </c>
      <c r="E279" s="287">
        <v>0.0</v>
      </c>
      <c r="F279" s="287" t="s">
        <v>452</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757</v>
      </c>
      <c r="B280" s="286" t="s">
        <v>723</v>
      </c>
      <c r="C280" s="287" t="s">
        <v>452</v>
      </c>
      <c r="D280" s="287" t="s">
        <v>452</v>
      </c>
      <c r="E280" s="287" t="s">
        <v>452</v>
      </c>
      <c r="F280" s="287" t="s">
        <v>452</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758</v>
      </c>
      <c r="B281" s="286" t="s">
        <v>723</v>
      </c>
      <c r="C281" s="287">
        <v>0.0</v>
      </c>
      <c r="D281" s="287" t="s">
        <v>463</v>
      </c>
      <c r="E281" s="287">
        <v>0.0</v>
      </c>
      <c r="F281" s="287" t="s">
        <v>454</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759</v>
      </c>
      <c r="B282" s="286" t="s">
        <v>723</v>
      </c>
      <c r="C282" s="287">
        <v>0.0</v>
      </c>
      <c r="D282" s="287" t="s">
        <v>452</v>
      </c>
      <c r="E282" s="287">
        <v>0.0</v>
      </c>
      <c r="F282" s="287" t="s">
        <v>452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760</v>
      </c>
      <c r="B283" s="286" t="s">
        <v>723</v>
      </c>
      <c r="C283" s="287">
        <v>0.0</v>
      </c>
      <c r="D283" s="287" t="s">
        <v>452</v>
      </c>
      <c r="E283" s="287">
        <v>0.0</v>
      </c>
      <c r="F283" s="287" t="s">
        <v>454</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761</v>
      </c>
      <c r="B284" s="286" t="s">
        <v>723</v>
      </c>
      <c r="C284" s="287">
        <v>0.0</v>
      </c>
      <c r="D284" s="287" t="s">
        <v>452</v>
      </c>
      <c r="E284" s="287">
        <v>0.0</v>
      </c>
      <c r="F284" s="287" t="s">
        <v>452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762</v>
      </c>
      <c r="B285" s="286" t="s">
        <v>723</v>
      </c>
      <c r="C285" s="287">
        <v>0.0</v>
      </c>
      <c r="D285" s="287" t="s">
        <v>457</v>
      </c>
      <c r="E285" s="287">
        <v>0.0</v>
      </c>
      <c r="F285" s="287" t="s">
        <v>454</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763</v>
      </c>
      <c r="B286" s="286" t="s">
        <v>723</v>
      </c>
      <c r="C286" s="287">
        <v>0.0</v>
      </c>
      <c r="D286" s="287" t="s">
        <v>452</v>
      </c>
      <c r="E286" s="287">
        <v>0.0</v>
      </c>
      <c r="F286" s="287" t="s">
        <v>454</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764</v>
      </c>
      <c r="B287" s="286" t="s">
        <v>723</v>
      </c>
      <c r="C287" s="287">
        <v>0.0</v>
      </c>
      <c r="D287" s="287" t="s">
        <v>454</v>
      </c>
      <c r="E287" s="287">
        <v>0.0</v>
      </c>
      <c r="F287" s="287" t="s">
        <v>454</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765</v>
      </c>
      <c r="B288" s="286" t="s">
        <v>723</v>
      </c>
      <c r="C288" s="287">
        <v>0.0</v>
      </c>
      <c r="D288" s="287" t="s">
        <v>454</v>
      </c>
      <c r="E288" s="287">
        <v>0.0</v>
      </c>
      <c r="F288" s="287" t="s">
        <v>454</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766</v>
      </c>
      <c r="B289" s="286" t="s">
        <v>723</v>
      </c>
      <c r="C289" s="287">
        <v>0.0</v>
      </c>
      <c r="D289" s="287" t="s">
        <v>457</v>
      </c>
      <c r="E289" s="287">
        <v>0.0</v>
      </c>
      <c r="F289" s="287" t="s">
        <v>452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767</v>
      </c>
      <c r="B290" s="286" t="s">
        <v>723</v>
      </c>
      <c r="C290" s="287" t="s">
        <v>457</v>
      </c>
      <c r="D290" s="287" t="s">
        <v>463</v>
      </c>
      <c r="E290" s="287" t="s">
        <v>454</v>
      </c>
      <c r="F290" s="287" t="s">
        <v>454</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768</v>
      </c>
      <c r="B291" s="286" t="s">
        <v>723</v>
      </c>
      <c r="C291" s="287">
        <v>0.0</v>
      </c>
      <c r="D291" s="287" t="s">
        <v>452</v>
      </c>
      <c r="E291" s="287">
        <v>0.0</v>
      </c>
      <c r="F291" s="287" t="s">
        <v>452</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769</v>
      </c>
      <c r="B292" s="286" t="s">
        <v>723</v>
      </c>
      <c r="C292" s="287">
        <v>0.0</v>
      </c>
      <c r="D292" s="287">
        <v>0.0</v>
      </c>
      <c r="E292" s="287">
        <v>0.0</v>
      </c>
      <c r="F292" s="287" t="s">
        <v>452</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770</v>
      </c>
      <c r="B293" s="286" t="s">
        <v>723</v>
      </c>
      <c r="C293" s="287" t="s">
        <v>452</v>
      </c>
      <c r="D293" s="287" t="s">
        <v>463</v>
      </c>
      <c r="E293" s="287">
        <v>0.0</v>
      </c>
      <c r="F293" s="287" t="s">
        <v>452</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771</v>
      </c>
      <c r="B294" s="286" t="s">
        <v>723</v>
      </c>
      <c r="C294" s="287">
        <v>0.0</v>
      </c>
      <c r="D294" s="287" t="s">
        <v>452</v>
      </c>
      <c r="E294" s="287">
        <v>0.0</v>
      </c>
      <c r="F294" s="287">
        <v>0.0</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772</v>
      </c>
      <c r="B295" s="286" t="s">
        <v>723</v>
      </c>
      <c r="C295" s="287">
        <v>0.0</v>
      </c>
      <c r="D295" s="287" t="s">
        <v>452</v>
      </c>
      <c r="E295" s="287">
        <v>0.0</v>
      </c>
      <c r="F295" s="287" t="s">
        <v>452</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773</v>
      </c>
      <c r="B296" s="286" t="s">
        <v>723</v>
      </c>
      <c r="C296" s="287" t="s">
        <v>452</v>
      </c>
      <c r="D296" s="287" t="s">
        <v>454</v>
      </c>
      <c r="E296" s="287">
        <v>0.0</v>
      </c>
      <c r="F296" s="287" t="s">
        <v>454</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774</v>
      </c>
      <c r="B297" s="286" t="s">
        <v>723</v>
      </c>
      <c r="C297" s="287">
        <v>0.0</v>
      </c>
      <c r="D297" s="287" t="s">
        <v>452</v>
      </c>
      <c r="E297" s="287">
        <v>0.0</v>
      </c>
      <c r="F297" s="287">
        <v>0.0</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775</v>
      </c>
      <c r="B298" s="286" t="s">
        <v>723</v>
      </c>
      <c r="C298" s="287">
        <v>0.0</v>
      </c>
      <c r="D298" s="287" t="s">
        <v>452</v>
      </c>
      <c r="E298" s="287">
        <v>0.0</v>
      </c>
      <c r="F298" s="287">
        <v>0.0</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776</v>
      </c>
      <c r="B299" s="286" t="s">
        <v>723</v>
      </c>
      <c r="C299" s="287">
        <v>0.0</v>
      </c>
      <c r="D299" s="287" t="s">
        <v>452</v>
      </c>
      <c r="E299" s="287">
        <v>0.0</v>
      </c>
      <c r="F299" s="287" t="s">
        <v>452</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777</v>
      </c>
      <c r="B300" s="286" t="s">
        <v>723</v>
      </c>
      <c r="C300" s="287">
        <v>0.0</v>
      </c>
      <c r="D300" s="287" t="s">
        <v>452</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778</v>
      </c>
      <c r="B301" s="286" t="s">
        <v>723</v>
      </c>
      <c r="C301" s="287" t="s">
        <v>452</v>
      </c>
      <c r="D301" s="287" t="s">
        <v>457</v>
      </c>
      <c r="E301" s="287" t="s">
        <v>452</v>
      </c>
      <c r="F301" s="287" t="s">
        <v>452</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779</v>
      </c>
      <c r="B302" s="286" t="s">
        <v>723</v>
      </c>
      <c r="C302" s="287" t="s">
        <v>452</v>
      </c>
      <c r="D302" s="287" t="s">
        <v>457</v>
      </c>
      <c r="E302" s="287">
        <v>0.0</v>
      </c>
      <c r="F302" s="287" t="s">
        <v>454</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780</v>
      </c>
      <c r="B303" s="286" t="s">
        <v>723</v>
      </c>
      <c r="C303" s="287">
        <v>0.0</v>
      </c>
      <c r="D303" s="287" t="s">
        <v>457</v>
      </c>
      <c r="E303" s="287">
        <v>0.0</v>
      </c>
      <c r="F303" s="287" t="s">
        <v>452</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781</v>
      </c>
      <c r="B304" s="286" t="s">
        <v>723</v>
      </c>
      <c r="C304" s="287" t="s">
        <v>452</v>
      </c>
      <c r="D304" s="287" t="s">
        <v>452</v>
      </c>
      <c r="E304" s="287" t="s">
        <v>452</v>
      </c>
      <c r="F304" s="287" t="s">
        <v>452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782</v>
      </c>
      <c r="B305" s="286" t="s">
        <v>723</v>
      </c>
      <c r="C305" s="287">
        <v>0.0</v>
      </c>
      <c r="D305" s="287" t="s">
        <v>452</v>
      </c>
      <c r="E305" s="287">
        <v>0.0</v>
      </c>
      <c r="F305" s="287" t="s">
        <v>452</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783</v>
      </c>
      <c r="B306" s="286" t="s">
        <v>723</v>
      </c>
      <c r="C306" s="287">
        <v>0.0</v>
      </c>
      <c r="D306" s="287">
        <v>0.0</v>
      </c>
      <c r="E306" s="287" t="s">
        <v>452</v>
      </c>
      <c r="F306" s="287" t="s">
        <v>452</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784</v>
      </c>
      <c r="B307" s="286" t="s">
        <v>723</v>
      </c>
      <c r="C307" s="287">
        <v>0.0</v>
      </c>
      <c r="D307" s="287">
        <v>0.0</v>
      </c>
      <c r="E307" s="287">
        <v>0.0</v>
      </c>
      <c r="F307" s="287" t="s">
        <v>452</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785</v>
      </c>
      <c r="B308" s="286" t="s">
        <v>723</v>
      </c>
      <c r="C308" s="287">
        <v>0.0</v>
      </c>
      <c r="D308" s="287" t="s">
        <v>454</v>
      </c>
      <c r="E308" s="287">
        <v>0.0</v>
      </c>
      <c r="F308" s="287" t="s">
        <v>454</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786</v>
      </c>
      <c r="B309" s="286" t="s">
        <v>723</v>
      </c>
      <c r="C309" s="287">
        <v>0.0</v>
      </c>
      <c r="D309" s="287" t="s">
        <v>452</v>
      </c>
      <c r="E309" s="287">
        <v>0.0</v>
      </c>
      <c r="F309" s="287" t="s">
        <v>452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787</v>
      </c>
      <c r="B310" s="286" t="s">
        <v>723</v>
      </c>
      <c r="C310" s="287">
        <v>0.0</v>
      </c>
      <c r="D310" s="287" t="s">
        <v>454</v>
      </c>
      <c r="E310" s="287">
        <v>0.0</v>
      </c>
      <c r="F310" s="287" t="s">
        <v>452</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788</v>
      </c>
      <c r="B311" s="286" t="s">
        <v>723</v>
      </c>
      <c r="C311" s="287">
        <v>0.0</v>
      </c>
      <c r="D311" s="287" t="s">
        <v>463</v>
      </c>
      <c r="E311" s="287">
        <v>0.0</v>
      </c>
      <c r="F311" s="287" t="s">
        <v>452</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789</v>
      </c>
      <c r="B312" s="286" t="s">
        <v>723</v>
      </c>
      <c r="C312" s="287">
        <v>0.0</v>
      </c>
      <c r="D312" s="287" t="s">
        <v>452</v>
      </c>
      <c r="E312" s="287">
        <v>0.0</v>
      </c>
      <c r="F312" s="287">
        <v>0.0</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790</v>
      </c>
      <c r="B313" s="286" t="s">
        <v>723</v>
      </c>
      <c r="C313" s="287">
        <v>0.0</v>
      </c>
      <c r="D313" s="287" t="s">
        <v>452</v>
      </c>
      <c r="E313" s="287">
        <v>0.0</v>
      </c>
      <c r="F313" s="287" t="s">
        <v>454</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791</v>
      </c>
      <c r="B314" s="286" t="s">
        <v>723</v>
      </c>
      <c r="C314" s="287">
        <v>0.0</v>
      </c>
      <c r="D314" s="287" t="s">
        <v>452</v>
      </c>
      <c r="E314" s="287">
        <v>0.0</v>
      </c>
      <c r="F314" s="287">
        <v>0.0</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792</v>
      </c>
      <c r="B315" s="286" t="s">
        <v>723</v>
      </c>
      <c r="C315" s="287">
        <v>0.0</v>
      </c>
      <c r="D315" s="287" t="s">
        <v>454</v>
      </c>
      <c r="E315" s="287">
        <v>0.0</v>
      </c>
      <c r="F315" s="287" t="s">
        <v>452</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793</v>
      </c>
      <c r="B316" s="286" t="s">
        <v>723</v>
      </c>
      <c r="C316" s="287">
        <v>0.0</v>
      </c>
      <c r="D316" s="287" t="s">
        <v>452</v>
      </c>
      <c r="E316" s="287">
        <v>0.0</v>
      </c>
      <c r="F316" s="287" t="s">
        <v>454</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794</v>
      </c>
      <c r="B317" s="286" t="s">
        <v>723</v>
      </c>
      <c r="C317" s="287">
        <v>0.0</v>
      </c>
      <c r="D317" s="287" t="s">
        <v>452</v>
      </c>
      <c r="E317" s="287">
        <v>0.0</v>
      </c>
      <c r="F317" s="287">
        <v>0.0</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795</v>
      </c>
      <c r="B318" s="286" t="s">
        <v>723</v>
      </c>
      <c r="C318" s="287" t="s">
        <v>452</v>
      </c>
      <c r="D318" s="287" t="s">
        <v>452</v>
      </c>
      <c r="E318" s="287">
        <v>0.0</v>
      </c>
      <c r="F318" s="287" t="s">
        <v>452</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796</v>
      </c>
      <c r="B319" s="286" t="s">
        <v>723</v>
      </c>
      <c r="C319" s="287">
        <v>0.0</v>
      </c>
      <c r="D319" s="287" t="s">
        <v>452</v>
      </c>
      <c r="E319" s="287">
        <v>0.0</v>
      </c>
      <c r="F319" s="287">
        <v>0.0</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797</v>
      </c>
      <c r="B320" s="286" t="s">
        <v>723</v>
      </c>
      <c r="C320" s="287">
        <v>0.0</v>
      </c>
      <c r="D320" s="287" t="s">
        <v>452</v>
      </c>
      <c r="E320" s="287">
        <v>0.0</v>
      </c>
      <c r="F320" s="287" t="s">
        <v>452</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798</v>
      </c>
      <c r="B321" s="286" t="s">
        <v>723</v>
      </c>
      <c r="C321" s="287" t="s">
        <v>452</v>
      </c>
      <c r="D321" s="287" t="s">
        <v>483</v>
      </c>
      <c r="E321" s="287">
        <v>0.0</v>
      </c>
      <c r="F321" s="287" t="s">
        <v>463</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799</v>
      </c>
      <c r="B322" s="286" t="s">
        <v>723</v>
      </c>
      <c r="C322" s="287">
        <v>0.0</v>
      </c>
      <c r="D322" s="287" t="s">
        <v>457</v>
      </c>
      <c r="E322" s="287">
        <v>0.0</v>
      </c>
      <c r="F322" s="287" t="s">
        <v>454</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800</v>
      </c>
      <c r="B323" s="286" t="s">
        <v>723</v>
      </c>
      <c r="C323" s="287" t="s">
        <v>452</v>
      </c>
      <c r="D323" s="287" t="s">
        <v>454</v>
      </c>
      <c r="E323" s="287">
        <v>0.0</v>
      </c>
      <c r="F323" s="287" t="s">
        <v>452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801</v>
      </c>
      <c r="B324" s="286" t="s">
        <v>723</v>
      </c>
      <c r="C324" s="287">
        <v>0.0</v>
      </c>
      <c r="D324" s="287" t="s">
        <v>457</v>
      </c>
      <c r="E324" s="287">
        <v>0.0</v>
      </c>
      <c r="F324" s="287" t="s">
        <v>454</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802</v>
      </c>
      <c r="B325" s="286" t="s">
        <v>723</v>
      </c>
      <c r="C325" s="287">
        <v>0.0</v>
      </c>
      <c r="D325" s="287" t="s">
        <v>452</v>
      </c>
      <c r="E325" s="287">
        <v>0.0</v>
      </c>
      <c r="F325" s="287">
        <v>0.0</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803</v>
      </c>
      <c r="B326" s="286" t="s">
        <v>723</v>
      </c>
      <c r="C326" s="287">
        <v>0.0</v>
      </c>
      <c r="D326" s="287" t="s">
        <v>452</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804</v>
      </c>
      <c r="B327" s="286" t="s">
        <v>723</v>
      </c>
      <c r="C327" s="287" t="s">
        <v>452</v>
      </c>
      <c r="D327" s="287" t="s">
        <v>452</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805</v>
      </c>
      <c r="B328" s="286" t="s">
        <v>256</v>
      </c>
      <c r="C328" s="287">
        <v>0.0</v>
      </c>
      <c r="D328" s="287" t="s">
        <v>457</v>
      </c>
      <c r="E328" s="287">
        <v>0.0</v>
      </c>
      <c r="F328" s="287" t="s">
        <v>452</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806</v>
      </c>
      <c r="B329" s="286" t="s">
        <v>256</v>
      </c>
      <c r="C329" s="287">
        <v>0.0</v>
      </c>
      <c r="D329" s="287" t="s">
        <v>452</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807</v>
      </c>
      <c r="B330" s="286" t="s">
        <v>256</v>
      </c>
      <c r="C330" s="287">
        <v>0.0</v>
      </c>
      <c r="D330" s="287" t="s">
        <v>483</v>
      </c>
      <c r="E330" s="287" t="s">
        <v>452</v>
      </c>
      <c r="F330" s="287" t="s">
        <v>463</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808</v>
      </c>
      <c r="B331" s="286" t="s">
        <v>256</v>
      </c>
      <c r="C331" s="287" t="s">
        <v>452</v>
      </c>
      <c r="D331" s="287" t="s">
        <v>463</v>
      </c>
      <c r="E331" s="287">
        <v>0.0</v>
      </c>
      <c r="F331" s="287" t="s">
        <v>454</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809</v>
      </c>
      <c r="B332" s="286" t="s">
        <v>256</v>
      </c>
      <c r="C332" s="287">
        <v>0.0</v>
      </c>
      <c r="D332" s="287" t="s">
        <v>463</v>
      </c>
      <c r="E332" s="287" t="s">
        <v>452</v>
      </c>
      <c r="F332" s="287" t="s">
        <v>463</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810</v>
      </c>
      <c r="B333" s="286" t="s">
        <v>256</v>
      </c>
      <c r="C333" s="287">
        <v>0.0</v>
      </c>
      <c r="D333" s="287" t="s">
        <v>457</v>
      </c>
      <c r="E333" s="287" t="s">
        <v>452</v>
      </c>
      <c r="F333" s="287" t="s">
        <v>457</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811</v>
      </c>
      <c r="B334" s="286" t="s">
        <v>256</v>
      </c>
      <c r="C334" s="287" t="s">
        <v>452</v>
      </c>
      <c r="D334" s="287" t="s">
        <v>457</v>
      </c>
      <c r="E334" s="287">
        <v>0.0</v>
      </c>
      <c r="F334" s="287" t="s">
        <v>463</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812</v>
      </c>
      <c r="B335" s="286" t="s">
        <v>256</v>
      </c>
      <c r="C335" s="287">
        <v>0.0</v>
      </c>
      <c r="D335" s="287" t="s">
        <v>459</v>
      </c>
      <c r="E335" s="287" t="s">
        <v>452</v>
      </c>
      <c r="F335" s="287" t="s">
        <v>457</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813</v>
      </c>
      <c r="B336" s="286" t="s">
        <v>256</v>
      </c>
      <c r="C336" s="287" t="s">
        <v>452</v>
      </c>
      <c r="D336" s="287" t="s">
        <v>463</v>
      </c>
      <c r="E336" s="287">
        <v>0.0</v>
      </c>
      <c r="F336" s="287" t="s">
        <v>454</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814</v>
      </c>
      <c r="B337" s="286" t="s">
        <v>256</v>
      </c>
      <c r="C337" s="287" t="s">
        <v>452</v>
      </c>
      <c r="D337" s="287" t="s">
        <v>505</v>
      </c>
      <c r="E337" s="287" t="s">
        <v>452</v>
      </c>
      <c r="F337" s="287" t="s">
        <v>454</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815</v>
      </c>
      <c r="B338" s="286" t="s">
        <v>256</v>
      </c>
      <c r="C338" s="287" t="s">
        <v>452</v>
      </c>
      <c r="D338" s="287" t="s">
        <v>483</v>
      </c>
      <c r="E338" s="287">
        <v>0.0</v>
      </c>
      <c r="F338" s="287" t="s">
        <v>454</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816</v>
      </c>
      <c r="B339" s="286" t="s">
        <v>256</v>
      </c>
      <c r="C339" s="287">
        <v>0.0</v>
      </c>
      <c r="D339" s="287" t="s">
        <v>457</v>
      </c>
      <c r="E339" s="287">
        <v>0.0</v>
      </c>
      <c r="F339" s="287" t="s">
        <v>454</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817</v>
      </c>
      <c r="B340" s="286" t="s">
        <v>256</v>
      </c>
      <c r="C340" s="287">
        <v>0.0</v>
      </c>
      <c r="D340" s="287" t="s">
        <v>457</v>
      </c>
      <c r="E340" s="287">
        <v>0.0</v>
      </c>
      <c r="F340" s="287" t="s">
        <v>454</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818</v>
      </c>
      <c r="B341" s="286" t="s">
        <v>256</v>
      </c>
      <c r="C341" s="287" t="s">
        <v>452</v>
      </c>
      <c r="D341" s="287" t="s">
        <v>463</v>
      </c>
      <c r="E341" s="287">
        <v>0.0</v>
      </c>
      <c r="F341" s="287" t="s">
        <v>454</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819</v>
      </c>
      <c r="B342" s="286" t="s">
        <v>256</v>
      </c>
      <c r="C342" s="287">
        <v>0.0</v>
      </c>
      <c r="D342" s="287" t="s">
        <v>463</v>
      </c>
      <c r="E342" s="287" t="s">
        <v>452</v>
      </c>
      <c r="F342" s="287" t="s">
        <v>452</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820</v>
      </c>
      <c r="B343" s="286" t="s">
        <v>256</v>
      </c>
      <c r="C343" s="287">
        <v>0.0</v>
      </c>
      <c r="D343" s="287" t="s">
        <v>452</v>
      </c>
      <c r="E343" s="287">
        <v>0.0</v>
      </c>
      <c r="F343" s="287" t="s">
        <v>454</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821</v>
      </c>
      <c r="B344" s="286" t="s">
        <v>256</v>
      </c>
      <c r="C344" s="287" t="s">
        <v>452</v>
      </c>
      <c r="D344" s="287" t="s">
        <v>489</v>
      </c>
      <c r="E344" s="287">
        <v>0.0</v>
      </c>
      <c r="F344" s="287" t="s">
        <v>457</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822</v>
      </c>
      <c r="B345" s="286" t="s">
        <v>256</v>
      </c>
      <c r="C345" s="287">
        <v>0.0</v>
      </c>
      <c r="D345" s="287" t="s">
        <v>459</v>
      </c>
      <c r="E345" s="287">
        <v>0.0</v>
      </c>
      <c r="F345" s="287" t="s">
        <v>463</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823</v>
      </c>
      <c r="B346" s="286" t="s">
        <v>256</v>
      </c>
      <c r="C346" s="287">
        <v>0.0</v>
      </c>
      <c r="D346" s="287" t="s">
        <v>483</v>
      </c>
      <c r="E346" s="287">
        <v>0.0</v>
      </c>
      <c r="F346" s="287" t="s">
        <v>463</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824</v>
      </c>
      <c r="B347" s="286" t="s">
        <v>256</v>
      </c>
      <c r="C347" s="287" t="s">
        <v>452</v>
      </c>
      <c r="D347" s="287" t="s">
        <v>459</v>
      </c>
      <c r="E347" s="287">
        <v>0.0</v>
      </c>
      <c r="F347" s="287" t="s">
        <v>454</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825</v>
      </c>
      <c r="B348" s="286" t="s">
        <v>256</v>
      </c>
      <c r="C348" s="287">
        <v>0.0</v>
      </c>
      <c r="D348" s="287" t="s">
        <v>452</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826</v>
      </c>
      <c r="B349" s="286" t="s">
        <v>256</v>
      </c>
      <c r="C349" s="287" t="s">
        <v>452</v>
      </c>
      <c r="D349" s="287" t="s">
        <v>461</v>
      </c>
      <c r="E349" s="287">
        <v>0.0</v>
      </c>
      <c r="F349" s="287" t="s">
        <v>483</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827</v>
      </c>
      <c r="B350" s="286" t="s">
        <v>256</v>
      </c>
      <c r="C350" s="287">
        <v>0.0</v>
      </c>
      <c r="D350" s="287" t="s">
        <v>463</v>
      </c>
      <c r="E350" s="287">
        <v>0.0</v>
      </c>
      <c r="F350" s="287" t="s">
        <v>454</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828</v>
      </c>
      <c r="B351" s="286" t="s">
        <v>256</v>
      </c>
      <c r="C351" s="287">
        <v>0.0</v>
      </c>
      <c r="D351" s="287" t="s">
        <v>463</v>
      </c>
      <c r="E351" s="287">
        <v>0.0</v>
      </c>
      <c r="F351" s="287" t="s">
        <v>454</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829</v>
      </c>
      <c r="B352" s="286" t="s">
        <v>256</v>
      </c>
      <c r="C352" s="287">
        <v>0.0</v>
      </c>
      <c r="D352" s="287" t="s">
        <v>452</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830</v>
      </c>
      <c r="B353" s="286" t="s">
        <v>256</v>
      </c>
      <c r="C353" s="287">
        <v>0.0</v>
      </c>
      <c r="D353" s="287" t="s">
        <v>463</v>
      </c>
      <c r="E353" s="287">
        <v>0.0</v>
      </c>
      <c r="F353" s="287" t="s">
        <v>454</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831</v>
      </c>
      <c r="B354" s="286" t="s">
        <v>256</v>
      </c>
      <c r="C354" s="287" t="s">
        <v>454</v>
      </c>
      <c r="D354" s="287" t="s">
        <v>489</v>
      </c>
      <c r="E354" s="287">
        <v>0.0</v>
      </c>
      <c r="F354" s="287" t="s">
        <v>463</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832</v>
      </c>
      <c r="B355" s="286" t="s">
        <v>256</v>
      </c>
      <c r="C355" s="287">
        <v>0.0</v>
      </c>
      <c r="D355" s="287" t="s">
        <v>483</v>
      </c>
      <c r="E355" s="287">
        <v>0.0</v>
      </c>
      <c r="F355" s="287" t="s">
        <v>463</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833</v>
      </c>
      <c r="B356" s="286" t="s">
        <v>256</v>
      </c>
      <c r="C356" s="287">
        <v>0.0</v>
      </c>
      <c r="D356" s="287" t="s">
        <v>459</v>
      </c>
      <c r="E356" s="287">
        <v>0.0</v>
      </c>
      <c r="F356" s="287" t="s">
        <v>463</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834</v>
      </c>
      <c r="B357" s="286" t="s">
        <v>256</v>
      </c>
      <c r="C357" s="287">
        <v>0.0</v>
      </c>
      <c r="D357" s="287">
        <v>0.0</v>
      </c>
      <c r="E357" s="287">
        <v>0.0</v>
      </c>
      <c r="F357" s="287" t="s">
        <v>452</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835</v>
      </c>
      <c r="B358" s="286" t="s">
        <v>256</v>
      </c>
      <c r="C358" s="287">
        <v>0.0</v>
      </c>
      <c r="D358" s="287" t="s">
        <v>483</v>
      </c>
      <c r="E358" s="287">
        <v>0.0</v>
      </c>
      <c r="F358" s="287" t="s">
        <v>463</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836</v>
      </c>
      <c r="B359" s="286" t="s">
        <v>256</v>
      </c>
      <c r="C359" s="287">
        <v>0.0</v>
      </c>
      <c r="D359" s="287" t="s">
        <v>549</v>
      </c>
      <c r="E359" s="287">
        <v>0.0</v>
      </c>
      <c r="F359" s="287" t="s">
        <v>454</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837</v>
      </c>
      <c r="B360" s="286" t="s">
        <v>256</v>
      </c>
      <c r="C360" s="287">
        <v>0.0</v>
      </c>
      <c r="D360" s="287" t="s">
        <v>452</v>
      </c>
      <c r="E360" s="287">
        <v>0.0</v>
      </c>
      <c r="F360" s="287" t="s">
        <v>452</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838</v>
      </c>
      <c r="B361" s="286" t="s">
        <v>256</v>
      </c>
      <c r="C361" s="287" t="s">
        <v>452</v>
      </c>
      <c r="D361" s="287" t="s">
        <v>463</v>
      </c>
      <c r="E361" s="287">
        <v>0.0</v>
      </c>
      <c r="F361" s="287" t="s">
        <v>454</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839</v>
      </c>
      <c r="B362" s="286" t="s">
        <v>256</v>
      </c>
      <c r="C362" s="287" t="s">
        <v>452</v>
      </c>
      <c r="D362" s="287" t="s">
        <v>457</v>
      </c>
      <c r="E362" s="287">
        <v>0.0</v>
      </c>
      <c r="F362" s="287" t="s">
        <v>452</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840</v>
      </c>
      <c r="B363" s="286" t="s">
        <v>256</v>
      </c>
      <c r="C363" s="287">
        <v>0.0</v>
      </c>
      <c r="D363" s="287" t="s">
        <v>463</v>
      </c>
      <c r="E363" s="287" t="s">
        <v>452</v>
      </c>
      <c r="F363" s="287" t="s">
        <v>457</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841</v>
      </c>
      <c r="B364" s="286" t="s">
        <v>256</v>
      </c>
      <c r="C364" s="287">
        <v>0.0</v>
      </c>
      <c r="D364" s="287" t="s">
        <v>463</v>
      </c>
      <c r="E364" s="287">
        <v>0.0</v>
      </c>
      <c r="F364" s="287" t="s">
        <v>457</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842</v>
      </c>
      <c r="B365" s="286" t="s">
        <v>256</v>
      </c>
      <c r="C365" s="287" t="s">
        <v>452</v>
      </c>
      <c r="D365" s="287" t="s">
        <v>459</v>
      </c>
      <c r="E365" s="287">
        <v>0.0</v>
      </c>
      <c r="F365" s="287" t="s">
        <v>454</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843</v>
      </c>
      <c r="B366" s="286" t="s">
        <v>256</v>
      </c>
      <c r="C366" s="287" t="s">
        <v>452</v>
      </c>
      <c r="D366" s="287" t="s">
        <v>483</v>
      </c>
      <c r="E366" s="287">
        <v>0.0</v>
      </c>
      <c r="F366" s="287" t="s">
        <v>454</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844</v>
      </c>
      <c r="B367" s="286" t="s">
        <v>256</v>
      </c>
      <c r="C367" s="287">
        <v>0.0</v>
      </c>
      <c r="D367" s="287" t="s">
        <v>457</v>
      </c>
      <c r="E367" s="287">
        <v>0.0</v>
      </c>
      <c r="F367" s="287" t="s">
        <v>457</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845</v>
      </c>
      <c r="B368" s="286" t="s">
        <v>256</v>
      </c>
      <c r="C368" s="287">
        <v>0.0</v>
      </c>
      <c r="D368" s="287" t="s">
        <v>457</v>
      </c>
      <c r="E368" s="287">
        <v>0.0</v>
      </c>
      <c r="F368" s="287" t="s">
        <v>452</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846</v>
      </c>
      <c r="B369" s="286" t="s">
        <v>256</v>
      </c>
      <c r="C369" s="287">
        <v>0.0</v>
      </c>
      <c r="D369" s="287" t="s">
        <v>457</v>
      </c>
      <c r="E369" s="287" t="s">
        <v>452</v>
      </c>
      <c r="F369" s="287" t="s">
        <v>454</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847</v>
      </c>
      <c r="B370" s="286" t="s">
        <v>256</v>
      </c>
      <c r="C370" s="287">
        <v>0.0</v>
      </c>
      <c r="D370" s="287" t="s">
        <v>457</v>
      </c>
      <c r="E370" s="287">
        <v>0.0</v>
      </c>
      <c r="F370" s="287" t="s">
        <v>457</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848</v>
      </c>
      <c r="B371" s="286" t="s">
        <v>256</v>
      </c>
      <c r="C371" s="287">
        <v>0.0</v>
      </c>
      <c r="D371" s="287" t="s">
        <v>483</v>
      </c>
      <c r="E371" s="287">
        <v>0.0</v>
      </c>
      <c r="F371" s="287" t="s">
        <v>454</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849</v>
      </c>
      <c r="B372" s="286" t="s">
        <v>256</v>
      </c>
      <c r="C372" s="287" t="s">
        <v>452</v>
      </c>
      <c r="D372" s="287" t="s">
        <v>463</v>
      </c>
      <c r="E372" s="287">
        <v>0.0</v>
      </c>
      <c r="F372" s="287" t="s">
        <v>463</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850</v>
      </c>
      <c r="B373" s="286" t="s">
        <v>256</v>
      </c>
      <c r="C373" s="287">
        <v>0.0</v>
      </c>
      <c r="D373" s="287" t="s">
        <v>459</v>
      </c>
      <c r="E373" s="287" t="s">
        <v>452</v>
      </c>
      <c r="F373" s="287" t="s">
        <v>454</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851</v>
      </c>
      <c r="B374" s="286" t="s">
        <v>852</v>
      </c>
      <c r="C374" s="287" t="s">
        <v>452</v>
      </c>
      <c r="D374" s="287" t="s">
        <v>454</v>
      </c>
      <c r="E374" s="287">
        <v>0.0</v>
      </c>
      <c r="F374" s="287" t="s">
        <v>452</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853</v>
      </c>
      <c r="B375" s="286" t="s">
        <v>854</v>
      </c>
      <c r="C375" s="287" t="s">
        <v>452</v>
      </c>
      <c r="D375" s="287" t="s">
        <v>483</v>
      </c>
      <c r="E375" s="287">
        <v>0.0</v>
      </c>
      <c r="F375" s="287" t="s">
        <v>452</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855</v>
      </c>
      <c r="B376" s="286" t="s">
        <v>854</v>
      </c>
      <c r="C376" s="287" t="s">
        <v>452</v>
      </c>
      <c r="D376" s="287" t="s">
        <v>452</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856</v>
      </c>
      <c r="B377" s="286" t="s">
        <v>857</v>
      </c>
      <c r="C377" s="287">
        <v>0.0</v>
      </c>
      <c r="D377" s="287" t="s">
        <v>452</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858</v>
      </c>
      <c r="B378" s="286" t="s">
        <v>258</v>
      </c>
      <c r="C378" s="287">
        <v>0.0</v>
      </c>
      <c r="D378" s="287" t="s">
        <v>454</v>
      </c>
      <c r="E378" s="287">
        <v>0.0</v>
      </c>
      <c r="F378" s="287" t="s">
        <v>452</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859</v>
      </c>
      <c r="B379" s="286" t="s">
        <v>258</v>
      </c>
      <c r="C379" s="287">
        <v>0.0</v>
      </c>
      <c r="D379" s="287" t="s">
        <v>454</v>
      </c>
      <c r="E379" s="287">
        <v>0.0</v>
      </c>
      <c r="F379" s="287" t="s">
        <v>452</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860</v>
      </c>
      <c r="B380" s="286" t="s">
        <v>258</v>
      </c>
      <c r="C380" s="287">
        <v>0.0</v>
      </c>
      <c r="D380" s="287" t="s">
        <v>454</v>
      </c>
      <c r="E380" s="287">
        <v>0.0</v>
      </c>
      <c r="F380" s="287" t="s">
        <v>452</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861</v>
      </c>
      <c r="B381" s="286" t="s">
        <v>258</v>
      </c>
      <c r="C381" s="287">
        <v>0.0</v>
      </c>
      <c r="D381" s="287" t="s">
        <v>457</v>
      </c>
      <c r="E381" s="287">
        <v>0.0</v>
      </c>
      <c r="F381" s="287" t="s">
        <v>454</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862</v>
      </c>
      <c r="B382" s="286" t="s">
        <v>258</v>
      </c>
      <c r="C382" s="287" t="s">
        <v>452</v>
      </c>
      <c r="D382" s="287" t="s">
        <v>463</v>
      </c>
      <c r="E382" s="287">
        <v>0.0</v>
      </c>
      <c r="F382" s="287" t="s">
        <v>452</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863</v>
      </c>
      <c r="B383" s="286" t="s">
        <v>863</v>
      </c>
      <c r="C383" s="287">
        <v>0.0</v>
      </c>
      <c r="D383" s="287" t="s">
        <v>457</v>
      </c>
      <c r="E383" s="287">
        <v>0.0</v>
      </c>
      <c r="F383" s="287" t="s">
        <v>454</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864</v>
      </c>
      <c r="B384" s="286" t="s">
        <v>865</v>
      </c>
      <c r="C384" s="287">
        <v>0.0</v>
      </c>
      <c r="D384" s="287" t="s">
        <v>452</v>
      </c>
      <c r="E384" s="287">
        <v>0.0</v>
      </c>
      <c r="F384" s="287" t="s">
        <v>452</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866</v>
      </c>
      <c r="B385" s="286" t="s">
        <v>259</v>
      </c>
      <c r="C385" s="287">
        <v>0.0</v>
      </c>
      <c r="D385" s="287" t="s">
        <v>457</v>
      </c>
      <c r="E385" s="287">
        <v>0.0</v>
      </c>
      <c r="F385" s="287" t="s">
        <v>454</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867</v>
      </c>
      <c r="B386" s="286" t="s">
        <v>259</v>
      </c>
      <c r="C386" s="287">
        <v>0.0</v>
      </c>
      <c r="D386" s="287" t="s">
        <v>452</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868</v>
      </c>
      <c r="B387" s="286" t="s">
        <v>259</v>
      </c>
      <c r="C387" s="287" t="s">
        <v>452</v>
      </c>
      <c r="D387" s="287" t="s">
        <v>457</v>
      </c>
      <c r="E387" s="287">
        <v>0.0</v>
      </c>
      <c r="F387" s="287" t="s">
        <v>454</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869</v>
      </c>
      <c r="B388" s="286" t="s">
        <v>259</v>
      </c>
      <c r="C388" s="287" t="s">
        <v>452</v>
      </c>
      <c r="D388" s="287" t="s">
        <v>454</v>
      </c>
      <c r="E388" s="287">
        <v>0.0</v>
      </c>
      <c r="F388" s="287" t="s">
        <v>454</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870</v>
      </c>
      <c r="B389" s="286" t="s">
        <v>259</v>
      </c>
      <c r="C389" s="287" t="s">
        <v>452</v>
      </c>
      <c r="D389" s="287" t="s">
        <v>602</v>
      </c>
      <c r="E389" s="287">
        <v>0.0</v>
      </c>
      <c r="F389" s="287" t="s">
        <v>457</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871</v>
      </c>
      <c r="B390" s="286" t="s">
        <v>259</v>
      </c>
      <c r="C390" s="287" t="s">
        <v>452</v>
      </c>
      <c r="D390" s="287" t="s">
        <v>461</v>
      </c>
      <c r="E390" s="287">
        <v>0.0</v>
      </c>
      <c r="F390" s="287" t="s">
        <v>457</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872</v>
      </c>
      <c r="B391" s="286" t="s">
        <v>259</v>
      </c>
      <c r="C391" s="287">
        <v>0.0</v>
      </c>
      <c r="D391" s="287" t="s">
        <v>483</v>
      </c>
      <c r="E391" s="287">
        <v>0.0</v>
      </c>
      <c r="F391" s="287" t="s">
        <v>452</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873</v>
      </c>
      <c r="B392" s="286" t="s">
        <v>260</v>
      </c>
      <c r="C392" s="287" t="s">
        <v>452</v>
      </c>
      <c r="D392" s="287" t="s">
        <v>483</v>
      </c>
      <c r="E392" s="287">
        <v>0.0</v>
      </c>
      <c r="F392" s="287" t="s">
        <v>454</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874</v>
      </c>
      <c r="B393" s="286" t="s">
        <v>260</v>
      </c>
      <c r="C393" s="287" t="s">
        <v>452</v>
      </c>
      <c r="D393" s="287" t="s">
        <v>463</v>
      </c>
      <c r="E393" s="287">
        <v>0.0</v>
      </c>
      <c r="F393" s="287" t="s">
        <v>454</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875</v>
      </c>
      <c r="B394" s="286" t="s">
        <v>260</v>
      </c>
      <c r="C394" s="287">
        <v>0.0</v>
      </c>
      <c r="D394" s="287" t="s">
        <v>457</v>
      </c>
      <c r="E394" s="287" t="s">
        <v>452</v>
      </c>
      <c r="F394" s="287" t="s">
        <v>452</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876</v>
      </c>
      <c r="B395" s="286" t="s">
        <v>260</v>
      </c>
      <c r="C395" s="287">
        <v>0.0</v>
      </c>
      <c r="D395" s="287" t="s">
        <v>457</v>
      </c>
      <c r="E395" s="287">
        <v>0.0</v>
      </c>
      <c r="F395" s="287" t="s">
        <v>454</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877</v>
      </c>
      <c r="B396" s="286" t="s">
        <v>260</v>
      </c>
      <c r="C396" s="287" t="s">
        <v>454</v>
      </c>
      <c r="D396" s="287" t="s">
        <v>549</v>
      </c>
      <c r="E396" s="287">
        <v>0.0</v>
      </c>
      <c r="F396" s="287" t="s">
        <v>457</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878</v>
      </c>
      <c r="B397" s="286" t="s">
        <v>260</v>
      </c>
      <c r="C397" s="287" t="s">
        <v>452</v>
      </c>
      <c r="D397" s="287" t="s">
        <v>454</v>
      </c>
      <c r="E397" s="287">
        <v>0.0</v>
      </c>
      <c r="F397" s="287" t="s">
        <v>452</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879</v>
      </c>
      <c r="B398" s="286" t="s">
        <v>260</v>
      </c>
      <c r="C398" s="287">
        <v>0.0</v>
      </c>
      <c r="D398" s="287" t="s">
        <v>454</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880</v>
      </c>
      <c r="B399" s="286" t="s">
        <v>881</v>
      </c>
      <c r="C399" s="287">
        <v>0.0</v>
      </c>
      <c r="D399" s="287" t="s">
        <v>452</v>
      </c>
      <c r="E399" s="287">
        <v>0.0</v>
      </c>
      <c r="F399" s="287" t="s">
        <v>454</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882</v>
      </c>
      <c r="B400" s="286" t="s">
        <v>882</v>
      </c>
      <c r="C400" s="287">
        <v>0.0</v>
      </c>
      <c r="D400" s="287" t="s">
        <v>457</v>
      </c>
      <c r="E400" s="287">
        <v>0.0</v>
      </c>
      <c r="F400" s="287" t="s">
        <v>452</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883</v>
      </c>
      <c r="B401" s="286" t="s">
        <v>883</v>
      </c>
      <c r="C401" s="287" t="s">
        <v>452</v>
      </c>
      <c r="D401" s="287" t="s">
        <v>457</v>
      </c>
      <c r="E401" s="287">
        <v>0.0</v>
      </c>
      <c r="F401" s="287" t="s">
        <v>452</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884</v>
      </c>
      <c r="B402" s="286" t="s">
        <v>884</v>
      </c>
      <c r="C402" s="287">
        <v>0.0</v>
      </c>
      <c r="D402" s="287" t="s">
        <v>457</v>
      </c>
      <c r="E402" s="287">
        <v>0.0</v>
      </c>
      <c r="F402" s="287" t="s">
        <v>452</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885</v>
      </c>
      <c r="B403" s="286" t="s">
        <v>261</v>
      </c>
      <c r="C403" s="287">
        <v>0.0</v>
      </c>
      <c r="D403" s="287" t="s">
        <v>457</v>
      </c>
      <c r="E403" s="287">
        <v>0.0</v>
      </c>
      <c r="F403" s="287" t="s">
        <v>452</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886</v>
      </c>
      <c r="B404" s="286" t="s">
        <v>261</v>
      </c>
      <c r="C404" s="287">
        <v>0.0</v>
      </c>
      <c r="D404" s="287" t="s">
        <v>454</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887</v>
      </c>
      <c r="B405" s="286" t="s">
        <v>261</v>
      </c>
      <c r="C405" s="287" t="s">
        <v>452</v>
      </c>
      <c r="D405" s="287" t="s">
        <v>483</v>
      </c>
      <c r="E405" s="287">
        <v>0.0</v>
      </c>
      <c r="F405" s="287" t="s">
        <v>452</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888</v>
      </c>
      <c r="B406" s="286" t="s">
        <v>261</v>
      </c>
      <c r="C406" s="287" t="s">
        <v>452</v>
      </c>
      <c r="D406" s="287" t="s">
        <v>483</v>
      </c>
      <c r="E406" s="287">
        <v>0.0</v>
      </c>
      <c r="F406" s="287" t="s">
        <v>452</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889</v>
      </c>
      <c r="B407" s="286" t="s">
        <v>261</v>
      </c>
      <c r="C407" s="287">
        <v>0.0</v>
      </c>
      <c r="D407" s="287" t="s">
        <v>457</v>
      </c>
      <c r="E407" s="287">
        <v>0.0</v>
      </c>
      <c r="F407" s="287" t="s">
        <v>452</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890</v>
      </c>
      <c r="B408" s="286" t="s">
        <v>890</v>
      </c>
      <c r="C408" s="287">
        <v>0.0</v>
      </c>
      <c r="D408" s="287">
        <v>0.0</v>
      </c>
      <c r="E408" s="287">
        <v>0.0</v>
      </c>
      <c r="F408" s="287" t="s">
        <v>452</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891</v>
      </c>
      <c r="B409" s="286" t="s">
        <v>892</v>
      </c>
      <c r="C409" s="287">
        <v>0.0</v>
      </c>
      <c r="D409" s="287" t="s">
        <v>454</v>
      </c>
      <c r="E409" s="287">
        <v>0.0</v>
      </c>
      <c r="F409" s="287" t="s">
        <v>452</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893</v>
      </c>
      <c r="B410" s="286" t="s">
        <v>894</v>
      </c>
      <c r="C410" s="287">
        <v>0.0</v>
      </c>
      <c r="D410" s="287" t="s">
        <v>452</v>
      </c>
      <c r="E410" s="287">
        <v>0.0</v>
      </c>
      <c r="F410" s="287" t="s">
        <v>452</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895</v>
      </c>
      <c r="B411" s="286" t="s">
        <v>263</v>
      </c>
      <c r="C411" s="287">
        <v>0.0</v>
      </c>
      <c r="D411" s="287" t="s">
        <v>463</v>
      </c>
      <c r="E411" s="287">
        <v>0.0</v>
      </c>
      <c r="F411" s="287" t="s">
        <v>454</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896</v>
      </c>
      <c r="B412" s="286" t="s">
        <v>263</v>
      </c>
      <c r="C412" s="287">
        <v>0.0</v>
      </c>
      <c r="D412" s="287" t="s">
        <v>454</v>
      </c>
      <c r="E412" s="287">
        <v>0.0</v>
      </c>
      <c r="F412" s="287" t="s">
        <v>452</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897</v>
      </c>
      <c r="B413" s="286" t="s">
        <v>263</v>
      </c>
      <c r="C413" s="287">
        <v>0.0</v>
      </c>
      <c r="D413" s="287" t="s">
        <v>454</v>
      </c>
      <c r="E413" s="287">
        <v>0.0</v>
      </c>
      <c r="F413" s="287" t="s">
        <v>452</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898</v>
      </c>
      <c r="B414" s="286" t="s">
        <v>263</v>
      </c>
      <c r="C414" s="287">
        <v>0.0</v>
      </c>
      <c r="D414" s="287" t="s">
        <v>454</v>
      </c>
      <c r="E414" s="287">
        <v>0.0</v>
      </c>
      <c r="F414" s="287" t="s">
        <v>454</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899</v>
      </c>
      <c r="B415" s="286" t="s">
        <v>263</v>
      </c>
      <c r="C415" s="287">
        <v>0.0</v>
      </c>
      <c r="D415" s="287" t="s">
        <v>454</v>
      </c>
      <c r="E415" s="287">
        <v>0.0</v>
      </c>
      <c r="F415" s="287" t="s">
        <v>452</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900</v>
      </c>
      <c r="B416" s="286" t="s">
        <v>263</v>
      </c>
      <c r="C416" s="287">
        <v>0.0</v>
      </c>
      <c r="D416" s="287" t="s">
        <v>452</v>
      </c>
      <c r="E416" s="287" t="s">
        <v>452</v>
      </c>
      <c r="F416" s="287" t="s">
        <v>452</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901</v>
      </c>
      <c r="B417" s="286" t="s">
        <v>263</v>
      </c>
      <c r="C417" s="287" t="s">
        <v>452</v>
      </c>
      <c r="D417" s="287" t="s">
        <v>457</v>
      </c>
      <c r="E417" s="287">
        <v>0.0</v>
      </c>
      <c r="F417" s="287" t="s">
        <v>452</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902</v>
      </c>
      <c r="B418" s="286" t="s">
        <v>263</v>
      </c>
      <c r="C418" s="287">
        <v>0.0</v>
      </c>
      <c r="D418" s="287" t="s">
        <v>452</v>
      </c>
      <c r="E418" s="287">
        <v>0.0</v>
      </c>
      <c r="F418" s="287" t="s">
        <v>452</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903</v>
      </c>
      <c r="B419" s="286" t="s">
        <v>263</v>
      </c>
      <c r="C419" s="287">
        <v>0.0</v>
      </c>
      <c r="D419" s="287" t="s">
        <v>454</v>
      </c>
      <c r="E419" s="287">
        <v>0.0</v>
      </c>
      <c r="F419" s="287" t="s">
        <v>452</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904</v>
      </c>
      <c r="B420" s="286" t="s">
        <v>263</v>
      </c>
      <c r="C420" s="287">
        <v>0.0</v>
      </c>
      <c r="D420" s="287" t="s">
        <v>454</v>
      </c>
      <c r="E420" s="287">
        <v>0.0</v>
      </c>
      <c r="F420" s="287" t="s">
        <v>454</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905</v>
      </c>
      <c r="B421" s="286" t="s">
        <v>263</v>
      </c>
      <c r="C421" s="287">
        <v>0.0</v>
      </c>
      <c r="D421" s="287" t="s">
        <v>454</v>
      </c>
      <c r="E421" s="287">
        <v>0.0</v>
      </c>
      <c r="F421" s="287" t="s">
        <v>452</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906</v>
      </c>
      <c r="B422" s="286" t="s">
        <v>263</v>
      </c>
      <c r="C422" s="287">
        <v>0.0</v>
      </c>
      <c r="D422" s="287" t="s">
        <v>457</v>
      </c>
      <c r="E422" s="287">
        <v>0.0</v>
      </c>
      <c r="F422" s="287" t="s">
        <v>452</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907</v>
      </c>
      <c r="B423" s="286" t="s">
        <v>263</v>
      </c>
      <c r="C423" s="287" t="s">
        <v>452</v>
      </c>
      <c r="D423" s="287" t="s">
        <v>457</v>
      </c>
      <c r="E423" s="287">
        <v>0.0</v>
      </c>
      <c r="F423" s="287" t="s">
        <v>454</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908</v>
      </c>
      <c r="B424" s="286" t="s">
        <v>263</v>
      </c>
      <c r="C424" s="287" t="s">
        <v>452</v>
      </c>
      <c r="D424" s="287" t="s">
        <v>459</v>
      </c>
      <c r="E424" s="287">
        <v>0.0</v>
      </c>
      <c r="F424" s="287" t="s">
        <v>452</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909</v>
      </c>
      <c r="B425" s="286" t="s">
        <v>263</v>
      </c>
      <c r="C425" s="287">
        <v>0.0</v>
      </c>
      <c r="D425" s="287" t="s">
        <v>452</v>
      </c>
      <c r="E425" s="287">
        <v>0.0</v>
      </c>
      <c r="F425" s="287" t="s">
        <v>452</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910</v>
      </c>
      <c r="B426" s="286" t="s">
        <v>263</v>
      </c>
      <c r="C426" s="287">
        <v>0.0</v>
      </c>
      <c r="D426" s="287" t="s">
        <v>452</v>
      </c>
      <c r="E426" s="287">
        <v>0.0</v>
      </c>
      <c r="F426" s="287" t="s">
        <v>452</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911</v>
      </c>
      <c r="B427" s="286" t="s">
        <v>263</v>
      </c>
      <c r="C427" s="287">
        <v>0.0</v>
      </c>
      <c r="D427" s="287" t="s">
        <v>454</v>
      </c>
      <c r="E427" s="287">
        <v>0.0</v>
      </c>
      <c r="F427" s="287" t="s">
        <v>452</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912</v>
      </c>
      <c r="B428" s="286" t="s">
        <v>263</v>
      </c>
      <c r="C428" s="287" t="s">
        <v>452</v>
      </c>
      <c r="D428" s="287" t="s">
        <v>457</v>
      </c>
      <c r="E428" s="287">
        <v>0.0</v>
      </c>
      <c r="F428" s="287" t="s">
        <v>463</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913</v>
      </c>
      <c r="B429" s="286" t="s">
        <v>263</v>
      </c>
      <c r="C429" s="287">
        <v>0.0</v>
      </c>
      <c r="D429" s="287">
        <v>0.0</v>
      </c>
      <c r="E429" s="287">
        <v>0.0</v>
      </c>
      <c r="F429" s="287" t="s">
        <v>452</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914</v>
      </c>
      <c r="B430" s="286" t="s">
        <v>263</v>
      </c>
      <c r="C430" s="287">
        <v>0.0</v>
      </c>
      <c r="D430" s="287" t="s">
        <v>454</v>
      </c>
      <c r="E430" s="287">
        <v>0.0</v>
      </c>
      <c r="F430" s="287" t="s">
        <v>452</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915</v>
      </c>
      <c r="B431" s="286" t="s">
        <v>915</v>
      </c>
      <c r="C431" s="287">
        <v>0.0</v>
      </c>
      <c r="D431" s="287" t="s">
        <v>452</v>
      </c>
      <c r="E431" s="287">
        <v>0.0</v>
      </c>
      <c r="F431" s="287" t="s">
        <v>454</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916</v>
      </c>
      <c r="B432" s="286" t="s">
        <v>265</v>
      </c>
      <c r="C432" s="287" t="s">
        <v>452</v>
      </c>
      <c r="D432" s="287" t="s">
        <v>454</v>
      </c>
      <c r="E432" s="287">
        <v>0.0</v>
      </c>
      <c r="F432" s="287" t="s">
        <v>452</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917</v>
      </c>
      <c r="B433" s="286" t="s">
        <v>265</v>
      </c>
      <c r="C433" s="287" t="s">
        <v>454</v>
      </c>
      <c r="D433" s="287" t="s">
        <v>489</v>
      </c>
      <c r="E433" s="287">
        <v>0.0</v>
      </c>
      <c r="F433" s="287" t="s">
        <v>454</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918</v>
      </c>
      <c r="B434" s="286" t="s">
        <v>265</v>
      </c>
      <c r="C434" s="287" t="s">
        <v>452</v>
      </c>
      <c r="D434" s="287" t="s">
        <v>457</v>
      </c>
      <c r="E434" s="287">
        <v>0.0</v>
      </c>
      <c r="F434" s="287" t="s">
        <v>452</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919</v>
      </c>
      <c r="B435" s="286" t="s">
        <v>265</v>
      </c>
      <c r="C435" s="287">
        <v>0.0</v>
      </c>
      <c r="D435" s="287" t="s">
        <v>452</v>
      </c>
      <c r="E435" s="287">
        <v>0.0</v>
      </c>
      <c r="F435" s="287" t="s">
        <v>452</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920</v>
      </c>
      <c r="B436" s="286" t="s">
        <v>265</v>
      </c>
      <c r="C436" s="287" t="s">
        <v>452</v>
      </c>
      <c r="D436" s="287" t="s">
        <v>454</v>
      </c>
      <c r="E436" s="287">
        <v>0.0</v>
      </c>
      <c r="F436" s="287" t="s">
        <v>452</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921</v>
      </c>
      <c r="B437" s="286" t="s">
        <v>265</v>
      </c>
      <c r="C437" s="287" t="s">
        <v>452</v>
      </c>
      <c r="D437" s="287" t="s">
        <v>459</v>
      </c>
      <c r="E437" s="287">
        <v>0.0</v>
      </c>
      <c r="F437" s="287" t="s">
        <v>454</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922</v>
      </c>
      <c r="B438" s="286" t="s">
        <v>266</v>
      </c>
      <c r="C438" s="287" t="s">
        <v>452</v>
      </c>
      <c r="D438" s="287" t="s">
        <v>457</v>
      </c>
      <c r="E438" s="287">
        <v>0.0</v>
      </c>
      <c r="F438" s="287" t="s">
        <v>454</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923</v>
      </c>
      <c r="B439" s="286" t="s">
        <v>266</v>
      </c>
      <c r="C439" s="287">
        <v>0.0</v>
      </c>
      <c r="D439" s="287" t="s">
        <v>463</v>
      </c>
      <c r="E439" s="287">
        <v>0.0</v>
      </c>
      <c r="F439" s="287" t="s">
        <v>452</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924</v>
      </c>
      <c r="B440" s="286" t="s">
        <v>266</v>
      </c>
      <c r="C440" s="287">
        <v>0.0</v>
      </c>
      <c r="D440" s="287" t="s">
        <v>457</v>
      </c>
      <c r="E440" s="287">
        <v>0.0</v>
      </c>
      <c r="F440" s="287" t="s">
        <v>454</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925</v>
      </c>
      <c r="B441" s="286" t="s">
        <v>266</v>
      </c>
      <c r="C441" s="287" t="s">
        <v>454</v>
      </c>
      <c r="D441" s="287" t="s">
        <v>549</v>
      </c>
      <c r="E441" s="287">
        <v>0.0</v>
      </c>
      <c r="F441" s="287" t="s">
        <v>457</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926</v>
      </c>
      <c r="B442" s="286" t="s">
        <v>266</v>
      </c>
      <c r="C442" s="287">
        <v>0.0</v>
      </c>
      <c r="D442" s="287" t="s">
        <v>452</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927</v>
      </c>
      <c r="B443" s="286" t="s">
        <v>266</v>
      </c>
      <c r="C443" s="287" t="s">
        <v>452</v>
      </c>
      <c r="D443" s="287" t="s">
        <v>489</v>
      </c>
      <c r="E443" s="287">
        <v>0.0</v>
      </c>
      <c r="F443" s="287" t="s">
        <v>457</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928</v>
      </c>
      <c r="B444" s="286" t="s">
        <v>267</v>
      </c>
      <c r="C444" s="287">
        <v>0.0</v>
      </c>
      <c r="D444" s="287" t="s">
        <v>454</v>
      </c>
      <c r="E444" s="287">
        <v>0.0</v>
      </c>
      <c r="F444" s="287" t="s">
        <v>454</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929</v>
      </c>
      <c r="B445" s="286" t="s">
        <v>267</v>
      </c>
      <c r="C445" s="287">
        <v>0.0</v>
      </c>
      <c r="D445" s="287" t="s">
        <v>454</v>
      </c>
      <c r="E445" s="287">
        <v>0.0</v>
      </c>
      <c r="F445" s="287" t="s">
        <v>452</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930</v>
      </c>
      <c r="B446" s="286" t="s">
        <v>267</v>
      </c>
      <c r="C446" s="287" t="s">
        <v>452</v>
      </c>
      <c r="D446" s="287" t="s">
        <v>457</v>
      </c>
      <c r="E446" s="287">
        <v>0.0</v>
      </c>
      <c r="F446" s="287" t="s">
        <v>452</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931</v>
      </c>
      <c r="B447" s="286" t="s">
        <v>267</v>
      </c>
      <c r="C447" s="287">
        <v>0.0</v>
      </c>
      <c r="D447" s="287" t="s">
        <v>452</v>
      </c>
      <c r="E447" s="287">
        <v>0.0</v>
      </c>
      <c r="F447" s="287" t="s">
        <v>452</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932</v>
      </c>
      <c r="B448" s="286" t="s">
        <v>267</v>
      </c>
      <c r="C448" s="287" t="s">
        <v>452</v>
      </c>
      <c r="D448" s="287" t="s">
        <v>457</v>
      </c>
      <c r="E448" s="287">
        <v>0.0</v>
      </c>
      <c r="F448" s="287" t="s">
        <v>452</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933</v>
      </c>
      <c r="B449" s="286" t="s">
        <v>267</v>
      </c>
      <c r="C449" s="287">
        <v>0.0</v>
      </c>
      <c r="D449" s="287" t="s">
        <v>457</v>
      </c>
      <c r="E449" s="287">
        <v>0.0</v>
      </c>
      <c r="F449" s="287" t="s">
        <v>454</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934</v>
      </c>
      <c r="B450" s="286" t="s">
        <v>267</v>
      </c>
      <c r="C450" s="287">
        <v>0.0</v>
      </c>
      <c r="D450" s="287" t="s">
        <v>452</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935</v>
      </c>
      <c r="B451" s="286" t="s">
        <v>267</v>
      </c>
      <c r="C451" s="287">
        <v>0.0</v>
      </c>
      <c r="D451" s="287" t="s">
        <v>457</v>
      </c>
      <c r="E451" s="287">
        <v>0.0</v>
      </c>
      <c r="F451" s="287" t="s">
        <v>463</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936</v>
      </c>
      <c r="B452" s="286" t="s">
        <v>267</v>
      </c>
      <c r="C452" s="287">
        <v>0.0</v>
      </c>
      <c r="D452" s="287" t="s">
        <v>454</v>
      </c>
      <c r="E452" s="287">
        <v>0.0</v>
      </c>
      <c r="F452" s="287" t="s">
        <v>463</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937</v>
      </c>
      <c r="B453" s="286" t="s">
        <v>267</v>
      </c>
      <c r="C453" s="287">
        <v>0.0</v>
      </c>
      <c r="D453" s="287" t="s">
        <v>454</v>
      </c>
      <c r="E453" s="287">
        <v>0.0</v>
      </c>
      <c r="F453" s="287" t="s">
        <v>454</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938</v>
      </c>
      <c r="B454" s="286" t="s">
        <v>939</v>
      </c>
      <c r="C454" s="287" t="s">
        <v>452</v>
      </c>
      <c r="D454" s="287" t="s">
        <v>940</v>
      </c>
      <c r="E454" s="287" t="s">
        <v>454</v>
      </c>
      <c r="F454" s="287" t="s">
        <v>941</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942</v>
      </c>
      <c r="C455" s="291" t="s">
        <v>943</v>
      </c>
      <c r="D455" s="291" t="s">
        <v>944</v>
      </c>
      <c r="E455" s="291" t="s">
        <v>547</v>
      </c>
      <c r="F455" s="291" t="s">
        <v>945</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946</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947</v>
      </c>
      <c r="B457" s="286" t="s">
        <v>451</v>
      </c>
      <c r="C457" s="287">
        <v>0.0</v>
      </c>
      <c r="D457" s="287" t="s">
        <v>452</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453</v>
      </c>
      <c r="B458" s="286" t="s">
        <v>451</v>
      </c>
      <c r="C458" s="287">
        <v>0.0</v>
      </c>
      <c r="D458" s="287" t="s">
        <v>463</v>
      </c>
      <c r="E458" s="287">
        <v>0.0</v>
      </c>
      <c r="F458" s="287" t="s">
        <v>452</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455</v>
      </c>
      <c r="B459" s="286" t="s">
        <v>451</v>
      </c>
      <c r="C459" s="287">
        <v>0.0</v>
      </c>
      <c r="D459" s="287" t="s">
        <v>454</v>
      </c>
      <c r="E459" s="287">
        <v>0.0</v>
      </c>
      <c r="F459" s="287" t="s">
        <v>452</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456</v>
      </c>
      <c r="B460" s="286" t="s">
        <v>451</v>
      </c>
      <c r="C460" s="287" t="s">
        <v>452</v>
      </c>
      <c r="D460" s="287" t="s">
        <v>547</v>
      </c>
      <c r="E460" s="287">
        <v>0.0</v>
      </c>
      <c r="F460" s="287" t="s">
        <v>454</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458</v>
      </c>
      <c r="B461" s="286" t="s">
        <v>229</v>
      </c>
      <c r="C461" s="287">
        <v>0.0</v>
      </c>
      <c r="D461" s="287" t="s">
        <v>591</v>
      </c>
      <c r="E461" s="287">
        <v>0.0</v>
      </c>
      <c r="F461" s="287" t="s">
        <v>452</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460</v>
      </c>
      <c r="B462" s="286" t="s">
        <v>229</v>
      </c>
      <c r="C462" s="287">
        <v>0.0</v>
      </c>
      <c r="D462" s="287" t="s">
        <v>454</v>
      </c>
      <c r="E462" s="287">
        <v>0.0</v>
      </c>
      <c r="F462" s="287" t="s">
        <v>452</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462</v>
      </c>
      <c r="B463" s="286" t="s">
        <v>229</v>
      </c>
      <c r="C463" s="287">
        <v>0.0</v>
      </c>
      <c r="D463" s="287" t="s">
        <v>452</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464</v>
      </c>
      <c r="B464" s="286" t="s">
        <v>229</v>
      </c>
      <c r="C464" s="287">
        <v>0.0</v>
      </c>
      <c r="D464" s="287" t="s">
        <v>454</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465</v>
      </c>
      <c r="B465" s="286" t="s">
        <v>229</v>
      </c>
      <c r="C465" s="287">
        <v>0.0</v>
      </c>
      <c r="D465" s="287" t="s">
        <v>452</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466</v>
      </c>
      <c r="B466" s="286" t="s">
        <v>229</v>
      </c>
      <c r="C466" s="287">
        <v>0.0</v>
      </c>
      <c r="D466" s="287" t="s">
        <v>452</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467</v>
      </c>
      <c r="B467" s="286" t="s">
        <v>468</v>
      </c>
      <c r="C467" s="287" t="s">
        <v>452</v>
      </c>
      <c r="D467" s="287" t="s">
        <v>463</v>
      </c>
      <c r="E467" s="287">
        <v>0.0</v>
      </c>
      <c r="F467" s="287" t="s">
        <v>452</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469</v>
      </c>
      <c r="B468" s="286" t="s">
        <v>468</v>
      </c>
      <c r="C468" s="287">
        <v>0.0</v>
      </c>
      <c r="D468" s="287" t="s">
        <v>454</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470</v>
      </c>
      <c r="B469" s="286" t="s">
        <v>471</v>
      </c>
      <c r="C469" s="287">
        <v>0.0</v>
      </c>
      <c r="D469" s="287" t="s">
        <v>489</v>
      </c>
      <c r="E469" s="287">
        <v>0.0</v>
      </c>
      <c r="F469" s="287" t="s">
        <v>452</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472</v>
      </c>
      <c r="B470" s="286" t="s">
        <v>473</v>
      </c>
      <c r="C470" s="287">
        <v>0.0</v>
      </c>
      <c r="D470" s="287" t="s">
        <v>457</v>
      </c>
      <c r="E470" s="287">
        <v>0.0</v>
      </c>
      <c r="F470" s="287" t="s">
        <v>452</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474</v>
      </c>
      <c r="B471" s="286" t="s">
        <v>473</v>
      </c>
      <c r="C471" s="287">
        <v>0.0</v>
      </c>
      <c r="D471" s="287" t="s">
        <v>457</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475</v>
      </c>
      <c r="B472" s="286" t="s">
        <v>473</v>
      </c>
      <c r="C472" s="287">
        <v>0.0</v>
      </c>
      <c r="D472" s="287" t="s">
        <v>489</v>
      </c>
      <c r="E472" s="287">
        <v>0.0</v>
      </c>
      <c r="F472" s="287" t="s">
        <v>452</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476</v>
      </c>
      <c r="B473" s="286" t="s">
        <v>473</v>
      </c>
      <c r="C473" s="287">
        <v>0.0</v>
      </c>
      <c r="D473" s="287" t="s">
        <v>461</v>
      </c>
      <c r="E473" s="287">
        <v>0.0</v>
      </c>
      <c r="F473" s="287" t="s">
        <v>452</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477</v>
      </c>
      <c r="B474" s="286" t="s">
        <v>473</v>
      </c>
      <c r="C474" s="287" t="s">
        <v>452</v>
      </c>
      <c r="D474" s="287" t="s">
        <v>457</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478</v>
      </c>
      <c r="B475" s="286" t="s">
        <v>473</v>
      </c>
      <c r="C475" s="287">
        <v>0.0</v>
      </c>
      <c r="D475" s="287" t="s">
        <v>457</v>
      </c>
      <c r="E475" s="287">
        <v>0.0</v>
      </c>
      <c r="F475" s="287" t="s">
        <v>452</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479</v>
      </c>
      <c r="B476" s="286" t="s">
        <v>480</v>
      </c>
      <c r="C476" s="287">
        <v>0.0</v>
      </c>
      <c r="D476" s="287" t="s">
        <v>452</v>
      </c>
      <c r="E476" s="287">
        <v>0.0</v>
      </c>
      <c r="F476" s="287" t="s">
        <v>452</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481</v>
      </c>
      <c r="B477" s="286" t="s">
        <v>480</v>
      </c>
      <c r="C477" s="287">
        <v>0.0</v>
      </c>
      <c r="D477" s="287" t="s">
        <v>454</v>
      </c>
      <c r="E477" s="287">
        <v>0.0</v>
      </c>
      <c r="F477" s="287" t="s">
        <v>452</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482</v>
      </c>
      <c r="B478" s="286" t="s">
        <v>480</v>
      </c>
      <c r="C478" s="287">
        <v>0.0</v>
      </c>
      <c r="D478" s="287" t="s">
        <v>457</v>
      </c>
      <c r="E478" s="287">
        <v>0.0</v>
      </c>
      <c r="F478" s="287" t="s">
        <v>452</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484</v>
      </c>
      <c r="B479" s="286" t="s">
        <v>480</v>
      </c>
      <c r="C479" s="287">
        <v>0.0</v>
      </c>
      <c r="D479" s="287" t="s">
        <v>457</v>
      </c>
      <c r="E479" s="287">
        <v>0.0</v>
      </c>
      <c r="F479" s="287" t="s">
        <v>452</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485</v>
      </c>
      <c r="B480" s="286" t="s">
        <v>480</v>
      </c>
      <c r="C480" s="287" t="s">
        <v>452</v>
      </c>
      <c r="D480" s="287" t="s">
        <v>547</v>
      </c>
      <c r="E480" s="287">
        <v>0.0</v>
      </c>
      <c r="F480" s="287" t="s">
        <v>452</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486</v>
      </c>
      <c r="B481" s="286" t="s">
        <v>480</v>
      </c>
      <c r="C481" s="287" t="s">
        <v>452</v>
      </c>
      <c r="D481" s="287" t="s">
        <v>457</v>
      </c>
      <c r="E481" s="287">
        <v>0.0</v>
      </c>
      <c r="F481" s="287" t="s">
        <v>452</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487</v>
      </c>
      <c r="B482" s="286" t="s">
        <v>231</v>
      </c>
      <c r="C482" s="287">
        <v>0.0</v>
      </c>
      <c r="D482" s="287" t="s">
        <v>452</v>
      </c>
      <c r="E482" s="287">
        <v>0.0</v>
      </c>
      <c r="F482" s="287" t="s">
        <v>452</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488</v>
      </c>
      <c r="B483" s="286" t="s">
        <v>231</v>
      </c>
      <c r="C483" s="287">
        <v>0.0</v>
      </c>
      <c r="D483" s="287" t="s">
        <v>489</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490</v>
      </c>
      <c r="B484" s="286" t="s">
        <v>231</v>
      </c>
      <c r="C484" s="287">
        <v>0.0</v>
      </c>
      <c r="D484" s="287" t="s">
        <v>459</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491</v>
      </c>
      <c r="B485" s="286" t="s">
        <v>231</v>
      </c>
      <c r="C485" s="287">
        <v>0.0</v>
      </c>
      <c r="D485" s="287" t="s">
        <v>454</v>
      </c>
      <c r="E485" s="287">
        <v>0.0</v>
      </c>
      <c r="F485" s="287" t="s">
        <v>452</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492</v>
      </c>
      <c r="B486" s="286" t="s">
        <v>231</v>
      </c>
      <c r="C486" s="287">
        <v>0.0</v>
      </c>
      <c r="D486" s="287" t="s">
        <v>454</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496</v>
      </c>
      <c r="B487" s="286" t="s">
        <v>494</v>
      </c>
      <c r="C487" s="287">
        <v>0.0</v>
      </c>
      <c r="D487" s="287" t="s">
        <v>489</v>
      </c>
      <c r="E487" s="287">
        <v>0.0</v>
      </c>
      <c r="F487" s="287" t="s">
        <v>452</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498</v>
      </c>
      <c r="B488" s="286" t="s">
        <v>494</v>
      </c>
      <c r="C488" s="287">
        <v>0.0</v>
      </c>
      <c r="D488" s="287" t="s">
        <v>452</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499</v>
      </c>
      <c r="B489" s="286" t="s">
        <v>494</v>
      </c>
      <c r="C489" s="287">
        <v>0.0</v>
      </c>
      <c r="D489" s="287" t="s">
        <v>452</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500</v>
      </c>
      <c r="B490" s="286" t="s">
        <v>494</v>
      </c>
      <c r="C490" s="287">
        <v>0.0</v>
      </c>
      <c r="D490" s="287" t="s">
        <v>452</v>
      </c>
      <c r="E490" s="287">
        <v>0.0</v>
      </c>
      <c r="F490" s="287" t="s">
        <v>452</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501</v>
      </c>
      <c r="B491" s="286" t="s">
        <v>494</v>
      </c>
      <c r="C491" s="287">
        <v>0.0</v>
      </c>
      <c r="D491" s="287" t="s">
        <v>452</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503</v>
      </c>
      <c r="B492" s="286" t="s">
        <v>494</v>
      </c>
      <c r="C492" s="287">
        <v>0.0</v>
      </c>
      <c r="D492" s="287" t="s">
        <v>452</v>
      </c>
      <c r="E492" s="287">
        <v>0.0</v>
      </c>
      <c r="F492" s="287" t="s">
        <v>452</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504</v>
      </c>
      <c r="B493" s="286" t="s">
        <v>494</v>
      </c>
      <c r="C493" s="287" t="s">
        <v>452</v>
      </c>
      <c r="D493" s="287" t="s">
        <v>547</v>
      </c>
      <c r="E493" s="287">
        <v>0.0</v>
      </c>
      <c r="F493" s="287" t="s">
        <v>452</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507</v>
      </c>
      <c r="B494" s="286" t="s">
        <v>494</v>
      </c>
      <c r="C494" s="287">
        <v>0.0</v>
      </c>
      <c r="D494" s="287" t="s">
        <v>463</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509</v>
      </c>
      <c r="B495" s="286" t="s">
        <v>494</v>
      </c>
      <c r="C495" s="287">
        <v>0.0</v>
      </c>
      <c r="D495" s="287" t="s">
        <v>452</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511</v>
      </c>
      <c r="B496" s="286" t="s">
        <v>494</v>
      </c>
      <c r="C496" s="287">
        <v>0.0</v>
      </c>
      <c r="D496" s="287" t="s">
        <v>452</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512</v>
      </c>
      <c r="B497" s="286" t="s">
        <v>494</v>
      </c>
      <c r="C497" s="287">
        <v>0.0</v>
      </c>
      <c r="D497" s="287" t="s">
        <v>454</v>
      </c>
      <c r="E497" s="287">
        <v>0.0</v>
      </c>
      <c r="F497" s="287" t="s">
        <v>452</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516</v>
      </c>
      <c r="B498" s="286" t="s">
        <v>494</v>
      </c>
      <c r="C498" s="287">
        <v>0.0</v>
      </c>
      <c r="D498" s="287" t="s">
        <v>452</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517</v>
      </c>
      <c r="B499" s="286" t="s">
        <v>494</v>
      </c>
      <c r="C499" s="287">
        <v>0.0</v>
      </c>
      <c r="D499" s="287" t="s">
        <v>452</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518</v>
      </c>
      <c r="B500" s="286" t="s">
        <v>494</v>
      </c>
      <c r="C500" s="287">
        <v>0.0</v>
      </c>
      <c r="D500" s="287" t="s">
        <v>452</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519</v>
      </c>
      <c r="B501" s="286" t="s">
        <v>494</v>
      </c>
      <c r="C501" s="287">
        <v>0.0</v>
      </c>
      <c r="D501" s="287" t="s">
        <v>454</v>
      </c>
      <c r="E501" s="287">
        <v>0.0</v>
      </c>
      <c r="F501" s="287" t="s">
        <v>452</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520</v>
      </c>
      <c r="B502" s="286" t="s">
        <v>494</v>
      </c>
      <c r="C502" s="287">
        <v>0.0</v>
      </c>
      <c r="D502" s="287" t="s">
        <v>452</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521</v>
      </c>
      <c r="B503" s="286" t="s">
        <v>494</v>
      </c>
      <c r="C503" s="287">
        <v>0.0</v>
      </c>
      <c r="D503" s="287" t="s">
        <v>452</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522</v>
      </c>
      <c r="B504" s="286" t="s">
        <v>494</v>
      </c>
      <c r="C504" s="287">
        <v>0.0</v>
      </c>
      <c r="D504" s="287" t="s">
        <v>452</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523</v>
      </c>
      <c r="B505" s="286" t="s">
        <v>494</v>
      </c>
      <c r="C505" s="287">
        <v>0.0</v>
      </c>
      <c r="D505" s="287" t="s">
        <v>454</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524</v>
      </c>
      <c r="B506" s="286" t="s">
        <v>494</v>
      </c>
      <c r="C506" s="287">
        <v>0.0</v>
      </c>
      <c r="D506" s="287" t="s">
        <v>452</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525</v>
      </c>
      <c r="B507" s="286" t="s">
        <v>494</v>
      </c>
      <c r="C507" s="287">
        <v>0.0</v>
      </c>
      <c r="D507" s="287" t="s">
        <v>452</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526</v>
      </c>
      <c r="B508" s="286" t="s">
        <v>494</v>
      </c>
      <c r="C508" s="287">
        <v>0.0</v>
      </c>
      <c r="D508" s="287" t="s">
        <v>454</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527</v>
      </c>
      <c r="B509" s="286" t="s">
        <v>494</v>
      </c>
      <c r="C509" s="287">
        <v>0.0</v>
      </c>
      <c r="D509" s="287" t="s">
        <v>457</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528</v>
      </c>
      <c r="B510" s="286" t="s">
        <v>494</v>
      </c>
      <c r="C510" s="287">
        <v>0.0</v>
      </c>
      <c r="D510" s="287" t="s">
        <v>452</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529</v>
      </c>
      <c r="B511" s="286" t="s">
        <v>494</v>
      </c>
      <c r="C511" s="287">
        <v>0.0</v>
      </c>
      <c r="D511" s="287" t="s">
        <v>452</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530</v>
      </c>
      <c r="B512" s="286" t="s">
        <v>494</v>
      </c>
      <c r="C512" s="287">
        <v>0.0</v>
      </c>
      <c r="D512" s="287" t="s">
        <v>452</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531</v>
      </c>
      <c r="B513" s="286" t="s">
        <v>494</v>
      </c>
      <c r="C513" s="287">
        <v>0.0</v>
      </c>
      <c r="D513" s="287" t="s">
        <v>452</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532</v>
      </c>
      <c r="B514" s="286" t="s">
        <v>494</v>
      </c>
      <c r="C514" s="287">
        <v>0.0</v>
      </c>
      <c r="D514" s="287" t="s">
        <v>454</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533</v>
      </c>
      <c r="B515" s="286" t="s">
        <v>232</v>
      </c>
      <c r="C515" s="287">
        <v>0.0</v>
      </c>
      <c r="D515" s="287" t="s">
        <v>452</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534</v>
      </c>
      <c r="B516" s="286" t="s">
        <v>232</v>
      </c>
      <c r="C516" s="287">
        <v>0.0</v>
      </c>
      <c r="D516" s="287" t="s">
        <v>497</v>
      </c>
      <c r="E516" s="287">
        <v>0.0</v>
      </c>
      <c r="F516" s="287" t="s">
        <v>452</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535</v>
      </c>
      <c r="B517" s="286" t="s">
        <v>232</v>
      </c>
      <c r="C517" s="287" t="s">
        <v>452</v>
      </c>
      <c r="D517" s="287" t="s">
        <v>461</v>
      </c>
      <c r="E517" s="287">
        <v>0.0</v>
      </c>
      <c r="F517" s="287" t="s">
        <v>452</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536</v>
      </c>
      <c r="B518" s="286" t="s">
        <v>232</v>
      </c>
      <c r="C518" s="287">
        <v>0.0</v>
      </c>
      <c r="D518" s="287" t="s">
        <v>454</v>
      </c>
      <c r="E518" s="287">
        <v>0.0</v>
      </c>
      <c r="F518" s="287" t="s">
        <v>452</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8" t="s">
        <v>538</v>
      </c>
      <c r="B519" s="286" t="s">
        <v>232</v>
      </c>
      <c r="C519" s="287">
        <v>0.0</v>
      </c>
      <c r="D519" s="287" t="s">
        <v>457</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539</v>
      </c>
      <c r="B520" s="286" t="s">
        <v>232</v>
      </c>
      <c r="C520" s="287">
        <v>0.0</v>
      </c>
      <c r="D520" s="287" t="s">
        <v>454</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540</v>
      </c>
      <c r="B521" s="286" t="s">
        <v>541</v>
      </c>
      <c r="C521" s="287">
        <v>0.0</v>
      </c>
      <c r="D521" s="287" t="s">
        <v>463</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542</v>
      </c>
      <c r="B522" s="286" t="s">
        <v>543</v>
      </c>
      <c r="C522" s="287">
        <v>0.0</v>
      </c>
      <c r="D522" s="287" t="s">
        <v>452</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545</v>
      </c>
      <c r="B523" s="286" t="s">
        <v>543</v>
      </c>
      <c r="C523" s="287">
        <v>0.0</v>
      </c>
      <c r="D523" s="287" t="s">
        <v>452</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546</v>
      </c>
      <c r="B524" s="286" t="s">
        <v>543</v>
      </c>
      <c r="C524" s="287" t="s">
        <v>452</v>
      </c>
      <c r="D524" s="287" t="s">
        <v>489</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548</v>
      </c>
      <c r="B525" s="286" t="s">
        <v>543</v>
      </c>
      <c r="C525" s="287" t="s">
        <v>452</v>
      </c>
      <c r="D525" s="287" t="s">
        <v>454</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550</v>
      </c>
      <c r="B526" s="286" t="s">
        <v>543</v>
      </c>
      <c r="C526" s="287">
        <v>0.0</v>
      </c>
      <c r="D526" s="287" t="s">
        <v>454</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551</v>
      </c>
      <c r="B527" s="286" t="s">
        <v>543</v>
      </c>
      <c r="C527" s="287">
        <v>0.0</v>
      </c>
      <c r="D527" s="287" t="s">
        <v>452</v>
      </c>
      <c r="E527" s="287">
        <v>0.0</v>
      </c>
      <c r="F527" s="287" t="s">
        <v>452</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553</v>
      </c>
      <c r="B528" s="286" t="s">
        <v>543</v>
      </c>
      <c r="C528" s="287">
        <v>0.0</v>
      </c>
      <c r="D528" s="287" t="s">
        <v>452</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554</v>
      </c>
      <c r="B529" s="286" t="s">
        <v>234</v>
      </c>
      <c r="C529" s="287">
        <v>0.0</v>
      </c>
      <c r="D529" s="287" t="s">
        <v>459</v>
      </c>
      <c r="E529" s="287">
        <v>0.0</v>
      </c>
      <c r="F529" s="287" t="s">
        <v>454</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555</v>
      </c>
      <c r="B530" s="286" t="s">
        <v>234</v>
      </c>
      <c r="C530" s="287">
        <v>0.0</v>
      </c>
      <c r="D530" s="287" t="s">
        <v>454</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556</v>
      </c>
      <c r="B531" s="286" t="s">
        <v>234</v>
      </c>
      <c r="C531" s="287">
        <v>0.0</v>
      </c>
      <c r="D531" s="287" t="s">
        <v>591</v>
      </c>
      <c r="E531" s="287">
        <v>0.0</v>
      </c>
      <c r="F531" s="287" t="s">
        <v>454</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557</v>
      </c>
      <c r="B532" s="286" t="s">
        <v>234</v>
      </c>
      <c r="C532" s="287">
        <v>0.0</v>
      </c>
      <c r="D532" s="287" t="s">
        <v>454</v>
      </c>
      <c r="E532" s="287">
        <v>0.0</v>
      </c>
      <c r="F532" s="287" t="s">
        <v>452</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559</v>
      </c>
      <c r="B533" s="286" t="s">
        <v>234</v>
      </c>
      <c r="C533" s="287">
        <v>0.0</v>
      </c>
      <c r="D533" s="287" t="s">
        <v>454</v>
      </c>
      <c r="E533" s="287">
        <v>0.0</v>
      </c>
      <c r="F533" s="287" t="s">
        <v>452</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560</v>
      </c>
      <c r="B534" s="286" t="s">
        <v>234</v>
      </c>
      <c r="C534" s="287">
        <v>0.0</v>
      </c>
      <c r="D534" s="287" t="s">
        <v>457</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561</v>
      </c>
      <c r="B535" s="286" t="s">
        <v>234</v>
      </c>
      <c r="C535" s="287">
        <v>0.0</v>
      </c>
      <c r="D535" s="287" t="s">
        <v>454</v>
      </c>
      <c r="E535" s="287">
        <v>0.0</v>
      </c>
      <c r="F535" s="287" t="s">
        <v>452</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563</v>
      </c>
      <c r="B536" s="286" t="s">
        <v>235</v>
      </c>
      <c r="C536" s="287" t="s">
        <v>452</v>
      </c>
      <c r="D536" s="287" t="s">
        <v>454</v>
      </c>
      <c r="E536" s="287">
        <v>0.0</v>
      </c>
      <c r="F536" s="287" t="s">
        <v>452</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565</v>
      </c>
      <c r="B537" s="286" t="s">
        <v>235</v>
      </c>
      <c r="C537" s="287">
        <v>0.0</v>
      </c>
      <c r="D537" s="287">
        <v>113.0</v>
      </c>
      <c r="E537" s="287">
        <v>0.0</v>
      </c>
      <c r="F537" s="287" t="s">
        <v>454</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566</v>
      </c>
      <c r="B538" s="286" t="s">
        <v>235</v>
      </c>
      <c r="C538" s="287" t="s">
        <v>452</v>
      </c>
      <c r="D538" s="287">
        <v>110.0</v>
      </c>
      <c r="E538" s="287">
        <v>0.0</v>
      </c>
      <c r="F538" s="287" t="s">
        <v>452</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235</v>
      </c>
      <c r="C539" s="287">
        <v>0.0</v>
      </c>
      <c r="D539" s="287" t="s">
        <v>452</v>
      </c>
      <c r="E539" s="287">
        <v>0.0</v>
      </c>
      <c r="F539" s="287" t="s">
        <v>452</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567</v>
      </c>
      <c r="B540" s="286" t="s">
        <v>235</v>
      </c>
      <c r="C540" s="287">
        <v>0.0</v>
      </c>
      <c r="D540" s="287" t="s">
        <v>457</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568</v>
      </c>
      <c r="B541" s="286" t="s">
        <v>235</v>
      </c>
      <c r="C541" s="287">
        <v>0.0</v>
      </c>
      <c r="D541" s="287" t="s">
        <v>454</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569</v>
      </c>
      <c r="B542" s="286" t="s">
        <v>235</v>
      </c>
      <c r="C542" s="287">
        <v>0.0</v>
      </c>
      <c r="D542" s="287" t="s">
        <v>457</v>
      </c>
      <c r="E542" s="287">
        <v>0.0</v>
      </c>
      <c r="F542" s="287" t="s">
        <v>452</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570</v>
      </c>
      <c r="B543" s="286" t="s">
        <v>235</v>
      </c>
      <c r="C543" s="287">
        <v>0.0</v>
      </c>
      <c r="D543" s="287" t="s">
        <v>454</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571</v>
      </c>
      <c r="B544" s="286" t="s">
        <v>235</v>
      </c>
      <c r="C544" s="287">
        <v>0.0</v>
      </c>
      <c r="D544" s="287" t="s">
        <v>454</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572</v>
      </c>
      <c r="B545" s="286" t="s">
        <v>235</v>
      </c>
      <c r="C545" s="287">
        <v>0.0</v>
      </c>
      <c r="D545" s="287" t="s">
        <v>457</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573</v>
      </c>
      <c r="B546" s="286" t="s">
        <v>235</v>
      </c>
      <c r="C546" s="287">
        <v>0.0</v>
      </c>
      <c r="D546" s="287" t="s">
        <v>463</v>
      </c>
      <c r="E546" s="287">
        <v>0.0</v>
      </c>
      <c r="F546" s="287" t="s">
        <v>452</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574</v>
      </c>
      <c r="B547" s="286" t="s">
        <v>235</v>
      </c>
      <c r="C547" s="287">
        <v>0.0</v>
      </c>
      <c r="D547" s="287" t="s">
        <v>454</v>
      </c>
      <c r="E547" s="287">
        <v>0.0</v>
      </c>
      <c r="F547" s="287" t="s">
        <v>452</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575</v>
      </c>
      <c r="B548" s="286" t="s">
        <v>235</v>
      </c>
      <c r="C548" s="287">
        <v>0.0</v>
      </c>
      <c r="D548" s="287" t="s">
        <v>463</v>
      </c>
      <c r="E548" s="287">
        <v>0.0</v>
      </c>
      <c r="F548" s="287" t="s">
        <v>452</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576</v>
      </c>
      <c r="B549" s="286" t="s">
        <v>235</v>
      </c>
      <c r="C549" s="287">
        <v>0.0</v>
      </c>
      <c r="D549" s="287" t="s">
        <v>459</v>
      </c>
      <c r="E549" s="287">
        <v>0.0</v>
      </c>
      <c r="F549" s="287" t="s">
        <v>454</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577</v>
      </c>
      <c r="B550" s="286" t="s">
        <v>235</v>
      </c>
      <c r="C550" s="287">
        <v>0.0</v>
      </c>
      <c r="D550" s="287" t="s">
        <v>454</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578</v>
      </c>
      <c r="B551" s="286" t="s">
        <v>235</v>
      </c>
      <c r="C551" s="287">
        <v>0.0</v>
      </c>
      <c r="D551" s="287" t="s">
        <v>454</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579</v>
      </c>
      <c r="B552" s="286" t="s">
        <v>235</v>
      </c>
      <c r="C552" s="287">
        <v>0.0</v>
      </c>
      <c r="D552" s="287" t="s">
        <v>457</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580</v>
      </c>
      <c r="B553" s="286" t="s">
        <v>235</v>
      </c>
      <c r="C553" s="287">
        <v>0.0</v>
      </c>
      <c r="D553" s="287" t="s">
        <v>461</v>
      </c>
      <c r="E553" s="287">
        <v>0.0</v>
      </c>
      <c r="F553" s="287" t="s">
        <v>452</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582</v>
      </c>
      <c r="B554" s="286" t="s">
        <v>235</v>
      </c>
      <c r="C554" s="287">
        <v>0.0</v>
      </c>
      <c r="D554" s="287" t="s">
        <v>454</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583</v>
      </c>
      <c r="B555" s="286" t="s">
        <v>235</v>
      </c>
      <c r="C555" s="287">
        <v>0.0</v>
      </c>
      <c r="D555" s="287" t="s">
        <v>457</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584</v>
      </c>
      <c r="B556" s="286" t="s">
        <v>235</v>
      </c>
      <c r="C556" s="287" t="s">
        <v>452</v>
      </c>
      <c r="D556" s="287" t="s">
        <v>549</v>
      </c>
      <c r="E556" s="287">
        <v>0.0</v>
      </c>
      <c r="F556" s="287" t="s">
        <v>452</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585</v>
      </c>
      <c r="B557" s="286" t="s">
        <v>235</v>
      </c>
      <c r="C557" s="287">
        <v>0.0</v>
      </c>
      <c r="D557" s="287" t="s">
        <v>454</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586</v>
      </c>
      <c r="B558" s="286" t="s">
        <v>235</v>
      </c>
      <c r="C558" s="287">
        <v>0.0</v>
      </c>
      <c r="D558" s="287" t="s">
        <v>454</v>
      </c>
      <c r="E558" s="287">
        <v>0.0</v>
      </c>
      <c r="F558" s="287" t="s">
        <v>452</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587</v>
      </c>
      <c r="B559" s="286" t="s">
        <v>236</v>
      </c>
      <c r="C559" s="287" t="s">
        <v>452</v>
      </c>
      <c r="D559" s="287" t="s">
        <v>457</v>
      </c>
      <c r="E559" s="287">
        <v>0.0</v>
      </c>
      <c r="F559" s="287" t="s">
        <v>452</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588</v>
      </c>
      <c r="B560" s="286" t="s">
        <v>236</v>
      </c>
      <c r="C560" s="287">
        <v>0.0</v>
      </c>
      <c r="D560" s="287" t="s">
        <v>454</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589</v>
      </c>
      <c r="B561" s="286" t="s">
        <v>236</v>
      </c>
      <c r="C561" s="287">
        <v>0.0</v>
      </c>
      <c r="D561" s="287" t="s">
        <v>457</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590</v>
      </c>
      <c r="B562" s="286" t="s">
        <v>236</v>
      </c>
      <c r="C562" s="287" t="s">
        <v>452</v>
      </c>
      <c r="D562" s="287" t="s">
        <v>497</v>
      </c>
      <c r="E562" s="287">
        <v>0.0</v>
      </c>
      <c r="F562" s="287" t="s">
        <v>452</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593</v>
      </c>
      <c r="B563" s="286" t="s">
        <v>236</v>
      </c>
      <c r="C563" s="287" t="s">
        <v>452</v>
      </c>
      <c r="D563" s="287" t="s">
        <v>463</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594</v>
      </c>
      <c r="B564" s="286" t="s">
        <v>236</v>
      </c>
      <c r="C564" s="287">
        <v>0.0</v>
      </c>
      <c r="D564" s="287" t="s">
        <v>454</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595</v>
      </c>
      <c r="B565" s="286" t="s">
        <v>236</v>
      </c>
      <c r="C565" s="287">
        <v>0.0</v>
      </c>
      <c r="D565" s="287" t="s">
        <v>457</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596</v>
      </c>
      <c r="B566" s="286" t="s">
        <v>236</v>
      </c>
      <c r="C566" s="287" t="s">
        <v>452</v>
      </c>
      <c r="D566" s="287" t="s">
        <v>457</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600</v>
      </c>
      <c r="B567" s="286" t="s">
        <v>601</v>
      </c>
      <c r="C567" s="287">
        <v>0.0</v>
      </c>
      <c r="D567" s="287" t="s">
        <v>463</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604</v>
      </c>
      <c r="B568" s="286" t="s">
        <v>237</v>
      </c>
      <c r="C568" s="287">
        <v>0.0</v>
      </c>
      <c r="D568" s="287" t="s">
        <v>454</v>
      </c>
      <c r="E568" s="287">
        <v>0.0</v>
      </c>
      <c r="F568" s="287" t="s">
        <v>452</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605</v>
      </c>
      <c r="B569" s="286" t="s">
        <v>237</v>
      </c>
      <c r="C569" s="287">
        <v>0.0</v>
      </c>
      <c r="D569" s="287" t="s">
        <v>463</v>
      </c>
      <c r="E569" s="287">
        <v>0.0</v>
      </c>
      <c r="F569" s="287" t="s">
        <v>452</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606</v>
      </c>
      <c r="B570" s="286" t="s">
        <v>237</v>
      </c>
      <c r="C570" s="287">
        <v>0.0</v>
      </c>
      <c r="D570" s="287" t="s">
        <v>452</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607</v>
      </c>
      <c r="B571" s="286" t="s">
        <v>237</v>
      </c>
      <c r="C571" s="287">
        <v>0.0</v>
      </c>
      <c r="D571" s="287" t="s">
        <v>452</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609</v>
      </c>
      <c r="B572" s="286" t="s">
        <v>237</v>
      </c>
      <c r="C572" s="287">
        <v>0.0</v>
      </c>
      <c r="D572" s="287" t="s">
        <v>452</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610</v>
      </c>
      <c r="B573" s="286" t="s">
        <v>238</v>
      </c>
      <c r="C573" s="287">
        <v>0.0</v>
      </c>
      <c r="D573" s="287" t="s">
        <v>457</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611</v>
      </c>
      <c r="B574" s="286" t="s">
        <v>238</v>
      </c>
      <c r="C574" s="287">
        <v>0.0</v>
      </c>
      <c r="D574" s="287" t="s">
        <v>454</v>
      </c>
      <c r="E574" s="287">
        <v>0.0</v>
      </c>
      <c r="F574" s="287" t="s">
        <v>452</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612</v>
      </c>
      <c r="B575" s="286" t="s">
        <v>238</v>
      </c>
      <c r="C575" s="287" t="s">
        <v>452</v>
      </c>
      <c r="D575" s="287" t="s">
        <v>602</v>
      </c>
      <c r="E575" s="287">
        <v>0.0</v>
      </c>
      <c r="F575" s="287" t="s">
        <v>454</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613</v>
      </c>
      <c r="B576" s="286" t="s">
        <v>238</v>
      </c>
      <c r="C576" s="287" t="s">
        <v>452</v>
      </c>
      <c r="D576" s="287" t="s">
        <v>463</v>
      </c>
      <c r="E576" s="287">
        <v>0.0</v>
      </c>
      <c r="F576" s="287" t="s">
        <v>452</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614</v>
      </c>
      <c r="B577" s="286" t="s">
        <v>238</v>
      </c>
      <c r="C577" s="287">
        <v>0.0</v>
      </c>
      <c r="D577" s="287" t="s">
        <v>452</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615</v>
      </c>
      <c r="B578" s="286" t="s">
        <v>238</v>
      </c>
      <c r="C578" s="287">
        <v>0.0</v>
      </c>
      <c r="D578" s="287" t="s">
        <v>454</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617</v>
      </c>
      <c r="B579" s="286" t="s">
        <v>238</v>
      </c>
      <c r="C579" s="287">
        <v>0.0</v>
      </c>
      <c r="D579" s="287" t="s">
        <v>454</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618</v>
      </c>
      <c r="B580" s="286" t="s">
        <v>238</v>
      </c>
      <c r="C580" s="287">
        <v>0.0</v>
      </c>
      <c r="D580" s="287" t="s">
        <v>454</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619</v>
      </c>
      <c r="B581" s="286" t="s">
        <v>238</v>
      </c>
      <c r="C581" s="287">
        <v>0.0</v>
      </c>
      <c r="D581" s="287" t="s">
        <v>457</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620</v>
      </c>
      <c r="B582" s="286" t="s">
        <v>238</v>
      </c>
      <c r="C582" s="287">
        <v>0.0</v>
      </c>
      <c r="D582" s="287" t="s">
        <v>483</v>
      </c>
      <c r="E582" s="287">
        <v>0.0</v>
      </c>
      <c r="F582" s="287" t="s">
        <v>452</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621</v>
      </c>
      <c r="B583" s="286" t="s">
        <v>238</v>
      </c>
      <c r="C583" s="287">
        <v>0.0</v>
      </c>
      <c r="D583" s="287" t="s">
        <v>454</v>
      </c>
      <c r="E583" s="287">
        <v>0.0</v>
      </c>
      <c r="F583" s="287" t="s">
        <v>452</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623</v>
      </c>
      <c r="B584" s="286" t="s">
        <v>624</v>
      </c>
      <c r="C584" s="287">
        <v>0.0</v>
      </c>
      <c r="D584" s="287" t="s">
        <v>454</v>
      </c>
      <c r="E584" s="287">
        <v>0.0</v>
      </c>
      <c r="F584" s="287" t="s">
        <v>452</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625</v>
      </c>
      <c r="B585" s="286" t="s">
        <v>624</v>
      </c>
      <c r="C585" s="287">
        <v>0.0</v>
      </c>
      <c r="D585" s="287" t="s">
        <v>454</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626</v>
      </c>
      <c r="B586" s="286" t="s">
        <v>624</v>
      </c>
      <c r="C586" s="287">
        <v>0.0</v>
      </c>
      <c r="D586" s="287" t="s">
        <v>454</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628</v>
      </c>
      <c r="B587" s="286" t="s">
        <v>624</v>
      </c>
      <c r="C587" s="287">
        <v>0.0</v>
      </c>
      <c r="D587" s="287" t="s">
        <v>452</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629</v>
      </c>
      <c r="B588" s="286" t="s">
        <v>240</v>
      </c>
      <c r="C588" s="287">
        <v>0.0</v>
      </c>
      <c r="D588" s="287" t="s">
        <v>452</v>
      </c>
      <c r="E588" s="287">
        <v>0.0</v>
      </c>
      <c r="F588" s="287" t="s">
        <v>452</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630</v>
      </c>
      <c r="B589" s="286" t="s">
        <v>631</v>
      </c>
      <c r="C589" s="287" t="s">
        <v>452</v>
      </c>
      <c r="D589" s="287" t="s">
        <v>489</v>
      </c>
      <c r="E589" s="287">
        <v>0.0</v>
      </c>
      <c r="F589" s="287" t="s">
        <v>452</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632</v>
      </c>
      <c r="B590" s="286" t="s">
        <v>631</v>
      </c>
      <c r="C590" s="287">
        <v>0.0</v>
      </c>
      <c r="D590" s="287" t="s">
        <v>454</v>
      </c>
      <c r="E590" s="287">
        <v>0.0</v>
      </c>
      <c r="F590" s="287" t="s">
        <v>452</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633</v>
      </c>
      <c r="B591" s="286" t="s">
        <v>241</v>
      </c>
      <c r="C591" s="287">
        <v>0.0</v>
      </c>
      <c r="D591" s="287" t="s">
        <v>454</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634</v>
      </c>
      <c r="B592" s="286" t="s">
        <v>241</v>
      </c>
      <c r="C592" s="287">
        <v>0.0</v>
      </c>
      <c r="D592" s="287" t="s">
        <v>452</v>
      </c>
      <c r="E592" s="287">
        <v>0.0</v>
      </c>
      <c r="F592" s="287" t="s">
        <v>452</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635</v>
      </c>
      <c r="B593" s="286" t="s">
        <v>636</v>
      </c>
      <c r="C593" s="287">
        <v>0.0</v>
      </c>
      <c r="D593" s="287" t="s">
        <v>463</v>
      </c>
      <c r="E593" s="287">
        <v>0.0</v>
      </c>
      <c r="F593" s="287" t="s">
        <v>452</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637</v>
      </c>
      <c r="B594" s="286" t="s">
        <v>636</v>
      </c>
      <c r="C594" s="287">
        <v>0.0</v>
      </c>
      <c r="D594" s="287" t="s">
        <v>459</v>
      </c>
      <c r="E594" s="287">
        <v>0.0</v>
      </c>
      <c r="F594" s="287" t="s">
        <v>452</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638</v>
      </c>
      <c r="B595" s="286" t="s">
        <v>639</v>
      </c>
      <c r="C595" s="287">
        <v>0.0</v>
      </c>
      <c r="D595" s="287" t="s">
        <v>457</v>
      </c>
      <c r="E595" s="287">
        <v>0.0</v>
      </c>
      <c r="F595" s="287" t="s">
        <v>452</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640</v>
      </c>
      <c r="B596" s="286" t="s">
        <v>243</v>
      </c>
      <c r="C596" s="287">
        <v>0.0</v>
      </c>
      <c r="D596" s="287" t="s">
        <v>452</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641</v>
      </c>
      <c r="B597" s="286" t="s">
        <v>243</v>
      </c>
      <c r="C597" s="287">
        <v>0.0</v>
      </c>
      <c r="D597" s="287" t="s">
        <v>452</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642</v>
      </c>
      <c r="B598" s="286" t="s">
        <v>244</v>
      </c>
      <c r="C598" s="287">
        <v>0.0</v>
      </c>
      <c r="D598" s="287" t="s">
        <v>454</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643</v>
      </c>
      <c r="B599" s="286" t="s">
        <v>244</v>
      </c>
      <c r="C599" s="287">
        <v>0.0</v>
      </c>
      <c r="D599" s="287" t="s">
        <v>452</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644</v>
      </c>
      <c r="B600" s="286" t="s">
        <v>244</v>
      </c>
      <c r="C600" s="287">
        <v>0.0</v>
      </c>
      <c r="D600" s="287">
        <v>0.0</v>
      </c>
      <c r="E600" s="287">
        <v>0.0</v>
      </c>
      <c r="F600" s="287" t="s">
        <v>452</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645</v>
      </c>
      <c r="B601" s="286" t="s">
        <v>244</v>
      </c>
      <c r="C601" s="287" t="s">
        <v>452</v>
      </c>
      <c r="D601" s="287" t="s">
        <v>547</v>
      </c>
      <c r="E601" s="287">
        <v>0.0</v>
      </c>
      <c r="F601" s="287" t="s">
        <v>452</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646</v>
      </c>
      <c r="B602" s="286" t="s">
        <v>244</v>
      </c>
      <c r="C602" s="287">
        <v>0.0</v>
      </c>
      <c r="D602" s="287" t="s">
        <v>483</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647</v>
      </c>
      <c r="B603" s="286" t="s">
        <v>244</v>
      </c>
      <c r="C603" s="287">
        <v>0.0</v>
      </c>
      <c r="D603" s="287" t="s">
        <v>452</v>
      </c>
      <c r="E603" s="287">
        <v>0.0</v>
      </c>
      <c r="F603" s="287" t="s">
        <v>452</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648</v>
      </c>
      <c r="B604" s="286" t="s">
        <v>244</v>
      </c>
      <c r="C604" s="287">
        <v>0.0</v>
      </c>
      <c r="D604" s="287" t="s">
        <v>454</v>
      </c>
      <c r="E604" s="287">
        <v>0.0</v>
      </c>
      <c r="F604" s="287" t="s">
        <v>452</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649</v>
      </c>
      <c r="B605" s="286" t="s">
        <v>244</v>
      </c>
      <c r="C605" s="287">
        <v>0.0</v>
      </c>
      <c r="D605" s="287" t="s">
        <v>454</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651</v>
      </c>
      <c r="B606" s="286" t="s">
        <v>652</v>
      </c>
      <c r="C606" s="287">
        <v>0.0</v>
      </c>
      <c r="D606" s="287" t="s">
        <v>549</v>
      </c>
      <c r="E606" s="287">
        <v>0.0</v>
      </c>
      <c r="F606" s="287" t="s">
        <v>454</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653</v>
      </c>
      <c r="B607" s="286" t="s">
        <v>245</v>
      </c>
      <c r="C607" s="287">
        <v>0.0</v>
      </c>
      <c r="D607" s="287" t="s">
        <v>452</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654</v>
      </c>
      <c r="B608" s="286" t="s">
        <v>245</v>
      </c>
      <c r="C608" s="287" t="s">
        <v>452</v>
      </c>
      <c r="D608" s="287" t="s">
        <v>483</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655</v>
      </c>
      <c r="B609" s="286" t="s">
        <v>245</v>
      </c>
      <c r="C609" s="287" t="s">
        <v>452</v>
      </c>
      <c r="D609" s="287" t="s">
        <v>549</v>
      </c>
      <c r="E609" s="287">
        <v>0.0</v>
      </c>
      <c r="F609" s="287" t="s">
        <v>452</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656</v>
      </c>
      <c r="B610" s="286" t="s">
        <v>245</v>
      </c>
      <c r="C610" s="287">
        <v>0.0</v>
      </c>
      <c r="D610" s="287" t="s">
        <v>452</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657</v>
      </c>
      <c r="B611" s="286" t="s">
        <v>245</v>
      </c>
      <c r="C611" s="287" t="s">
        <v>452</v>
      </c>
      <c r="D611" s="287" t="s">
        <v>457</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658</v>
      </c>
      <c r="B612" s="286" t="s">
        <v>245</v>
      </c>
      <c r="C612" s="287">
        <v>0.0</v>
      </c>
      <c r="D612" s="287" t="s">
        <v>457</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660</v>
      </c>
      <c r="B613" s="286" t="s">
        <v>661</v>
      </c>
      <c r="C613" s="287">
        <v>0.0</v>
      </c>
      <c r="D613" s="287" t="s">
        <v>549</v>
      </c>
      <c r="E613" s="287">
        <v>0.0</v>
      </c>
      <c r="F613" s="287" t="s">
        <v>452</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662</v>
      </c>
      <c r="B614" s="286" t="s">
        <v>247</v>
      </c>
      <c r="C614" s="287">
        <v>0.0</v>
      </c>
      <c r="D614" s="287" t="s">
        <v>452</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663</v>
      </c>
      <c r="B615" s="286" t="s">
        <v>247</v>
      </c>
      <c r="C615" s="287">
        <v>0.0</v>
      </c>
      <c r="D615" s="287" t="s">
        <v>452</v>
      </c>
      <c r="E615" s="287">
        <v>0.0</v>
      </c>
      <c r="F615" s="287" t="s">
        <v>452</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665</v>
      </c>
      <c r="B616" s="286" t="s">
        <v>247</v>
      </c>
      <c r="C616" s="287" t="s">
        <v>452</v>
      </c>
      <c r="D616" s="287" t="s">
        <v>457</v>
      </c>
      <c r="E616" s="287">
        <v>0.0</v>
      </c>
      <c r="F616" s="287" t="s">
        <v>452</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666</v>
      </c>
      <c r="B617" s="286" t="s">
        <v>247</v>
      </c>
      <c r="C617" s="287">
        <v>0.0</v>
      </c>
      <c r="D617" s="287" t="s">
        <v>483</v>
      </c>
      <c r="E617" s="287">
        <v>0.0</v>
      </c>
      <c r="F617" s="287" t="s">
        <v>452</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667</v>
      </c>
      <c r="B618" s="286" t="s">
        <v>248</v>
      </c>
      <c r="C618" s="287">
        <v>0.0</v>
      </c>
      <c r="D618" s="287" t="s">
        <v>454</v>
      </c>
      <c r="E618" s="287">
        <v>0.0</v>
      </c>
      <c r="F618" s="287" t="s">
        <v>452</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668</v>
      </c>
      <c r="B619" s="286" t="s">
        <v>248</v>
      </c>
      <c r="C619" s="287" t="s">
        <v>452</v>
      </c>
      <c r="D619" s="287" t="s">
        <v>454</v>
      </c>
      <c r="E619" s="287">
        <v>0.0</v>
      </c>
      <c r="F619" s="287" t="s">
        <v>452</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669</v>
      </c>
      <c r="B620" s="286" t="s">
        <v>248</v>
      </c>
      <c r="C620" s="287">
        <v>0.0</v>
      </c>
      <c r="D620" s="287" t="s">
        <v>452</v>
      </c>
      <c r="E620" s="287">
        <v>0.0</v>
      </c>
      <c r="F620" s="287" t="s">
        <v>452</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670</v>
      </c>
      <c r="B621" s="286" t="s">
        <v>249</v>
      </c>
      <c r="C621" s="287">
        <v>0.0</v>
      </c>
      <c r="D621" s="287" t="s">
        <v>452</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671</v>
      </c>
      <c r="B622" s="286" t="s">
        <v>250</v>
      </c>
      <c r="C622" s="287" t="s">
        <v>452</v>
      </c>
      <c r="D622" s="287" t="s">
        <v>457</v>
      </c>
      <c r="E622" s="287">
        <v>0.0</v>
      </c>
      <c r="F622" s="287" t="s">
        <v>452</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672</v>
      </c>
      <c r="B623" s="286" t="s">
        <v>250</v>
      </c>
      <c r="C623" s="287" t="s">
        <v>452</v>
      </c>
      <c r="D623" s="287" t="s">
        <v>463</v>
      </c>
      <c r="E623" s="287">
        <v>0.0</v>
      </c>
      <c r="F623" s="287" t="s">
        <v>452</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673</v>
      </c>
      <c r="B624" s="286" t="s">
        <v>250</v>
      </c>
      <c r="C624" s="287" t="s">
        <v>452</v>
      </c>
      <c r="D624" s="287" t="s">
        <v>459</v>
      </c>
      <c r="E624" s="287">
        <v>0.0</v>
      </c>
      <c r="F624" s="287" t="s">
        <v>452</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675</v>
      </c>
      <c r="B625" s="286" t="s">
        <v>251</v>
      </c>
      <c r="C625" s="287">
        <v>0.0</v>
      </c>
      <c r="D625" s="287" t="s">
        <v>452</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676</v>
      </c>
      <c r="B626" s="286" t="s">
        <v>251</v>
      </c>
      <c r="C626" s="287">
        <v>0.0</v>
      </c>
      <c r="D626" s="287">
        <v>0.0</v>
      </c>
      <c r="E626" s="287">
        <v>0.0</v>
      </c>
      <c r="F626" s="287" t="s">
        <v>452</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677</v>
      </c>
      <c r="B627" s="286" t="s">
        <v>251</v>
      </c>
      <c r="C627" s="287">
        <v>0.0</v>
      </c>
      <c r="D627" s="287" t="s">
        <v>454</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678</v>
      </c>
      <c r="B628" s="286" t="s">
        <v>251</v>
      </c>
      <c r="C628" s="287">
        <v>0.0</v>
      </c>
      <c r="D628" s="287" t="s">
        <v>452</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679</v>
      </c>
      <c r="B629" s="286" t="s">
        <v>251</v>
      </c>
      <c r="C629" s="287" t="s">
        <v>452</v>
      </c>
      <c r="D629" s="287" t="s">
        <v>452</v>
      </c>
      <c r="E629" s="287">
        <v>0.0</v>
      </c>
      <c r="F629" s="287" t="s">
        <v>452</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680</v>
      </c>
      <c r="B630" s="286" t="s">
        <v>251</v>
      </c>
      <c r="C630" s="287">
        <v>0.0</v>
      </c>
      <c r="D630" s="287" t="s">
        <v>489</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681</v>
      </c>
      <c r="B631" s="286" t="s">
        <v>251</v>
      </c>
      <c r="C631" s="287">
        <v>0.0</v>
      </c>
      <c r="D631" s="287" t="s">
        <v>452</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683</v>
      </c>
      <c r="B632" s="286" t="s">
        <v>251</v>
      </c>
      <c r="C632" s="287">
        <v>0.0</v>
      </c>
      <c r="D632" s="287" t="s">
        <v>452</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684</v>
      </c>
      <c r="B633" s="286" t="s">
        <v>252</v>
      </c>
      <c r="C633" s="287">
        <v>0.0</v>
      </c>
      <c r="D633" s="287" t="s">
        <v>457</v>
      </c>
      <c r="E633" s="287">
        <v>0.0</v>
      </c>
      <c r="F633" s="287" t="s">
        <v>452</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685</v>
      </c>
      <c r="B634" s="286" t="s">
        <v>252</v>
      </c>
      <c r="C634" s="287">
        <v>0.0</v>
      </c>
      <c r="D634" s="287" t="s">
        <v>454</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686</v>
      </c>
      <c r="B635" s="286" t="s">
        <v>252</v>
      </c>
      <c r="C635" s="287">
        <v>0.0</v>
      </c>
      <c r="D635" s="287" t="s">
        <v>457</v>
      </c>
      <c r="E635" s="287">
        <v>0.0</v>
      </c>
      <c r="F635" s="287" t="s">
        <v>452</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687</v>
      </c>
      <c r="B636" s="286" t="s">
        <v>252</v>
      </c>
      <c r="C636" s="287">
        <v>0.0</v>
      </c>
      <c r="D636" s="287" t="s">
        <v>454</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688</v>
      </c>
      <c r="B637" s="286" t="s">
        <v>252</v>
      </c>
      <c r="C637" s="287">
        <v>0.0</v>
      </c>
      <c r="D637" s="287" t="s">
        <v>452</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689</v>
      </c>
      <c r="B638" s="286" t="s">
        <v>252</v>
      </c>
      <c r="C638" s="287">
        <v>0.0</v>
      </c>
      <c r="D638" s="287" t="s">
        <v>454</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690</v>
      </c>
      <c r="B639" s="286" t="s">
        <v>252</v>
      </c>
      <c r="C639" s="287" t="s">
        <v>452</v>
      </c>
      <c r="D639" s="287" t="s">
        <v>591</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691</v>
      </c>
      <c r="B640" s="286" t="s">
        <v>252</v>
      </c>
      <c r="C640" s="287">
        <v>0.0</v>
      </c>
      <c r="D640" s="287" t="s">
        <v>457</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692</v>
      </c>
      <c r="B641" s="286" t="s">
        <v>253</v>
      </c>
      <c r="C641" s="287">
        <v>0.0</v>
      </c>
      <c r="D641" s="287" t="s">
        <v>454</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693</v>
      </c>
      <c r="B642" s="286" t="s">
        <v>253</v>
      </c>
      <c r="C642" s="287">
        <v>0.0</v>
      </c>
      <c r="D642" s="287" t="s">
        <v>463</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694</v>
      </c>
      <c r="B643" s="286" t="s">
        <v>253</v>
      </c>
      <c r="C643" s="287" t="s">
        <v>452</v>
      </c>
      <c r="D643" s="287" t="s">
        <v>457</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695</v>
      </c>
      <c r="B644" s="286" t="s">
        <v>695</v>
      </c>
      <c r="C644" s="287">
        <v>0.0</v>
      </c>
      <c r="D644" s="287">
        <v>0.0</v>
      </c>
      <c r="E644" s="287">
        <v>0.0</v>
      </c>
      <c r="F644" s="287" t="s">
        <v>452</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696</v>
      </c>
      <c r="B645" s="286" t="s">
        <v>697</v>
      </c>
      <c r="C645" s="287">
        <v>0.0</v>
      </c>
      <c r="D645" s="287" t="s">
        <v>457</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698</v>
      </c>
      <c r="B646" s="286" t="s">
        <v>697</v>
      </c>
      <c r="C646" s="287">
        <v>0.0</v>
      </c>
      <c r="D646" s="287" t="s">
        <v>454</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699</v>
      </c>
      <c r="B647" s="286" t="s">
        <v>697</v>
      </c>
      <c r="C647" s="287">
        <v>0.0</v>
      </c>
      <c r="D647" s="287" t="s">
        <v>463</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700</v>
      </c>
      <c r="B648" s="286" t="s">
        <v>254</v>
      </c>
      <c r="C648" s="287">
        <v>0.0</v>
      </c>
      <c r="D648" s="287" t="s">
        <v>457</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701</v>
      </c>
      <c r="B649" s="286" t="s">
        <v>254</v>
      </c>
      <c r="C649" s="287">
        <v>0.0</v>
      </c>
      <c r="D649" s="287" t="s">
        <v>949</v>
      </c>
      <c r="E649" s="287">
        <v>0.0</v>
      </c>
      <c r="F649" s="287" t="s">
        <v>454</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702</v>
      </c>
      <c r="B650" s="286" t="s">
        <v>254</v>
      </c>
      <c r="C650" s="287">
        <v>0.0</v>
      </c>
      <c r="D650" s="287" t="s">
        <v>463</v>
      </c>
      <c r="E650" s="287">
        <v>0.0</v>
      </c>
      <c r="F650" s="287" t="s">
        <v>452</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703</v>
      </c>
      <c r="B651" s="286" t="s">
        <v>254</v>
      </c>
      <c r="C651" s="287">
        <v>0.0</v>
      </c>
      <c r="D651" s="287" t="s">
        <v>483</v>
      </c>
      <c r="E651" s="287">
        <v>0.0</v>
      </c>
      <c r="F651" s="287" t="s">
        <v>452</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704</v>
      </c>
      <c r="B652" s="286" t="s">
        <v>254</v>
      </c>
      <c r="C652" s="287" t="s">
        <v>452</v>
      </c>
      <c r="D652" s="287" t="s">
        <v>459</v>
      </c>
      <c r="E652" s="287">
        <v>0.0</v>
      </c>
      <c r="F652" s="287" t="s">
        <v>452</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705</v>
      </c>
      <c r="B653" s="286" t="s">
        <v>254</v>
      </c>
      <c r="C653" s="287">
        <v>0.0</v>
      </c>
      <c r="D653" s="287" t="s">
        <v>454</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706</v>
      </c>
      <c r="B654" s="286" t="s">
        <v>254</v>
      </c>
      <c r="C654" s="287">
        <v>0.0</v>
      </c>
      <c r="D654" s="287" t="s">
        <v>457</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707</v>
      </c>
      <c r="B655" s="286" t="s">
        <v>254</v>
      </c>
      <c r="C655" s="287">
        <v>0.0</v>
      </c>
      <c r="D655" s="287" t="s">
        <v>463</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708</v>
      </c>
      <c r="B656" s="286" t="s">
        <v>254</v>
      </c>
      <c r="C656" s="287" t="s">
        <v>452</v>
      </c>
      <c r="D656" s="287" t="s">
        <v>463</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709</v>
      </c>
      <c r="B657" s="286" t="s">
        <v>254</v>
      </c>
      <c r="C657" s="287" t="s">
        <v>452</v>
      </c>
      <c r="D657" s="287" t="s">
        <v>549</v>
      </c>
      <c r="E657" s="287">
        <v>0.0</v>
      </c>
      <c r="F657" s="287" t="s">
        <v>454</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710</v>
      </c>
      <c r="B658" s="286" t="s">
        <v>254</v>
      </c>
      <c r="C658" s="287" t="s">
        <v>452</v>
      </c>
      <c r="D658" s="287" t="s">
        <v>461</v>
      </c>
      <c r="E658" s="287">
        <v>0.0</v>
      </c>
      <c r="F658" s="287" t="s">
        <v>452</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711</v>
      </c>
      <c r="B659" s="286" t="s">
        <v>254</v>
      </c>
      <c r="C659" s="287">
        <v>0.0</v>
      </c>
      <c r="D659" s="287" t="s">
        <v>457</v>
      </c>
      <c r="E659" s="287">
        <v>0.0</v>
      </c>
      <c r="F659" s="287" t="s">
        <v>452</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712</v>
      </c>
      <c r="B660" s="286" t="s">
        <v>254</v>
      </c>
      <c r="C660" s="287">
        <v>0.0</v>
      </c>
      <c r="D660" s="287" t="s">
        <v>483</v>
      </c>
      <c r="E660" s="287">
        <v>0.0</v>
      </c>
      <c r="F660" s="287" t="s">
        <v>452</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713</v>
      </c>
      <c r="B661" s="286" t="s">
        <v>254</v>
      </c>
      <c r="C661" s="287">
        <v>0.0</v>
      </c>
      <c r="D661" s="287" t="s">
        <v>463</v>
      </c>
      <c r="E661" s="287">
        <v>0.0</v>
      </c>
      <c r="F661" s="287" t="s">
        <v>452</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715</v>
      </c>
      <c r="B662" s="286" t="s">
        <v>254</v>
      </c>
      <c r="C662" s="287">
        <v>0.0</v>
      </c>
      <c r="D662" s="287" t="s">
        <v>452</v>
      </c>
      <c r="E662" s="287">
        <v>0.0</v>
      </c>
      <c r="F662" s="287" t="s">
        <v>452</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716</v>
      </c>
      <c r="B663" s="286" t="s">
        <v>254</v>
      </c>
      <c r="C663" s="287" t="s">
        <v>452</v>
      </c>
      <c r="D663" s="287" t="s">
        <v>549</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717</v>
      </c>
      <c r="B664" s="286" t="s">
        <v>254</v>
      </c>
      <c r="C664" s="287" t="s">
        <v>452</v>
      </c>
      <c r="D664" s="287" t="s">
        <v>508</v>
      </c>
      <c r="E664" s="287">
        <v>0.0</v>
      </c>
      <c r="F664" s="287" t="s">
        <v>452</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718</v>
      </c>
      <c r="B665" s="286" t="s">
        <v>255</v>
      </c>
      <c r="C665" s="287">
        <v>0.0</v>
      </c>
      <c r="D665" s="287" t="s">
        <v>454</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719</v>
      </c>
      <c r="B666" s="286" t="s">
        <v>255</v>
      </c>
      <c r="C666" s="287">
        <v>0.0</v>
      </c>
      <c r="D666" s="287" t="s">
        <v>452</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720</v>
      </c>
      <c r="B667" s="286" t="s">
        <v>255</v>
      </c>
      <c r="C667" s="287" t="s">
        <v>452</v>
      </c>
      <c r="D667" s="287" t="s">
        <v>489</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721</v>
      </c>
      <c r="B668" s="286" t="s">
        <v>255</v>
      </c>
      <c r="C668" s="287">
        <v>0.0</v>
      </c>
      <c r="D668" s="287" t="s">
        <v>454</v>
      </c>
      <c r="E668" s="287">
        <v>0.0</v>
      </c>
      <c r="F668" s="287" t="s">
        <v>452</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725</v>
      </c>
      <c r="B669" s="286" t="s">
        <v>723</v>
      </c>
      <c r="C669" s="287">
        <v>0.0</v>
      </c>
      <c r="D669" s="287" t="s">
        <v>452</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950</v>
      </c>
      <c r="B670" s="286" t="s">
        <v>723</v>
      </c>
      <c r="C670" s="287">
        <v>0.0</v>
      </c>
      <c r="D670" s="287">
        <v>0.0</v>
      </c>
      <c r="E670" s="287">
        <v>0.0</v>
      </c>
      <c r="F670" s="287" t="s">
        <v>452</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738</v>
      </c>
      <c r="B671" s="286" t="s">
        <v>723</v>
      </c>
      <c r="C671" s="287">
        <v>0.0</v>
      </c>
      <c r="D671" s="287" t="s">
        <v>452</v>
      </c>
      <c r="E671" s="287">
        <v>0.0</v>
      </c>
      <c r="F671" s="287" t="s">
        <v>452</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739</v>
      </c>
      <c r="B672" s="286" t="s">
        <v>723</v>
      </c>
      <c r="C672" s="287">
        <v>0.0</v>
      </c>
      <c r="D672" s="287" t="s">
        <v>452</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951</v>
      </c>
      <c r="B673" s="286" t="s">
        <v>723</v>
      </c>
      <c r="C673" s="287">
        <v>0.0</v>
      </c>
      <c r="D673" s="287">
        <v>0.0</v>
      </c>
      <c r="E673" s="287">
        <v>0.0</v>
      </c>
      <c r="F673" s="287" t="s">
        <v>452</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952</v>
      </c>
      <c r="B674" s="286" t="s">
        <v>723</v>
      </c>
      <c r="C674" s="287">
        <v>0.0</v>
      </c>
      <c r="D674" s="287">
        <v>0.0</v>
      </c>
      <c r="E674" s="287">
        <v>0.0</v>
      </c>
      <c r="F674" s="287" t="s">
        <v>452</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742</v>
      </c>
      <c r="B675" s="286" t="s">
        <v>723</v>
      </c>
      <c r="C675" s="287">
        <v>0.0</v>
      </c>
      <c r="D675" s="287">
        <v>0.0</v>
      </c>
      <c r="E675" s="287">
        <v>0.0</v>
      </c>
      <c r="F675" s="287" t="s">
        <v>452</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953</v>
      </c>
      <c r="B676" s="286" t="s">
        <v>723</v>
      </c>
      <c r="C676" s="287">
        <v>0.0</v>
      </c>
      <c r="D676" s="287" t="s">
        <v>452</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745</v>
      </c>
      <c r="B677" s="286" t="s">
        <v>723</v>
      </c>
      <c r="C677" s="287">
        <v>0.0</v>
      </c>
      <c r="D677" s="287" t="s">
        <v>452</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746</v>
      </c>
      <c r="B678" s="286" t="s">
        <v>723</v>
      </c>
      <c r="C678" s="287">
        <v>0.0</v>
      </c>
      <c r="D678" s="287" t="s">
        <v>452</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747</v>
      </c>
      <c r="B679" s="286" t="s">
        <v>723</v>
      </c>
      <c r="C679" s="287">
        <v>0.0</v>
      </c>
      <c r="D679" s="287" t="s">
        <v>452</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954</v>
      </c>
      <c r="B680" s="286" t="s">
        <v>723</v>
      </c>
      <c r="C680" s="287">
        <v>0.0</v>
      </c>
      <c r="D680" s="287">
        <v>0.0</v>
      </c>
      <c r="E680" s="287">
        <v>0.0</v>
      </c>
      <c r="F680" s="287" t="s">
        <v>452</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955</v>
      </c>
      <c r="B681" s="286" t="s">
        <v>723</v>
      </c>
      <c r="C681" s="287">
        <v>0.0</v>
      </c>
      <c r="D681" s="287" t="s">
        <v>452</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751</v>
      </c>
      <c r="B682" s="286" t="s">
        <v>723</v>
      </c>
      <c r="C682" s="287">
        <v>0.0</v>
      </c>
      <c r="D682" s="287" t="s">
        <v>457</v>
      </c>
      <c r="E682" s="287">
        <v>0.0</v>
      </c>
      <c r="F682" s="287" t="s">
        <v>452</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754</v>
      </c>
      <c r="B683" s="286" t="s">
        <v>723</v>
      </c>
      <c r="C683" s="287">
        <v>0.0</v>
      </c>
      <c r="D683" s="287" t="s">
        <v>452</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755</v>
      </c>
      <c r="B684" s="286" t="s">
        <v>723</v>
      </c>
      <c r="C684" s="287">
        <v>0.0</v>
      </c>
      <c r="D684" s="287">
        <v>0.0</v>
      </c>
      <c r="E684" s="287">
        <v>0.0</v>
      </c>
      <c r="F684" s="287" t="s">
        <v>452</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756</v>
      </c>
      <c r="B685" s="286" t="s">
        <v>723</v>
      </c>
      <c r="C685" s="287">
        <v>0.0</v>
      </c>
      <c r="D685" s="287" t="s">
        <v>452</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758</v>
      </c>
      <c r="B686" s="286" t="s">
        <v>723</v>
      </c>
      <c r="C686" s="287" t="s">
        <v>452</v>
      </c>
      <c r="D686" s="287" t="s">
        <v>457</v>
      </c>
      <c r="E686" s="287">
        <v>0.0</v>
      </c>
      <c r="F686" s="287" t="s">
        <v>452</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759</v>
      </c>
      <c r="B687" s="286" t="s">
        <v>723</v>
      </c>
      <c r="C687" s="287">
        <v>0.0</v>
      </c>
      <c r="D687" s="287" t="s">
        <v>452</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760</v>
      </c>
      <c r="B688" s="286" t="s">
        <v>723</v>
      </c>
      <c r="C688" s="287">
        <v>0.0</v>
      </c>
      <c r="D688" s="287" t="s">
        <v>452</v>
      </c>
      <c r="E688" s="287">
        <v>0.0</v>
      </c>
      <c r="F688" s="287" t="s">
        <v>452</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761</v>
      </c>
      <c r="B689" s="286" t="s">
        <v>723</v>
      </c>
      <c r="C689" s="287">
        <v>0.0</v>
      </c>
      <c r="D689" s="287" t="s">
        <v>452</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763</v>
      </c>
      <c r="B690" s="286" t="s">
        <v>723</v>
      </c>
      <c r="C690" s="287">
        <v>0.0</v>
      </c>
      <c r="D690" s="287">
        <v>0.0</v>
      </c>
      <c r="E690" s="287">
        <v>0.0</v>
      </c>
      <c r="F690" s="287" t="s">
        <v>452</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764</v>
      </c>
      <c r="B691" s="286" t="s">
        <v>723</v>
      </c>
      <c r="C691" s="287">
        <v>0.0</v>
      </c>
      <c r="D691" s="287">
        <v>0.0</v>
      </c>
      <c r="E691" s="287">
        <v>0.0</v>
      </c>
      <c r="F691" s="287" t="s">
        <v>452</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765</v>
      </c>
      <c r="B692" s="286" t="s">
        <v>723</v>
      </c>
      <c r="C692" s="287">
        <v>0.0</v>
      </c>
      <c r="D692" s="287" t="s">
        <v>452</v>
      </c>
      <c r="E692" s="287">
        <v>0.0</v>
      </c>
      <c r="F692" s="287" t="s">
        <v>452</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766</v>
      </c>
      <c r="B693" s="286" t="s">
        <v>723</v>
      </c>
      <c r="C693" s="287">
        <v>0.0</v>
      </c>
      <c r="D693" s="287" t="s">
        <v>452</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770</v>
      </c>
      <c r="B694" s="286" t="s">
        <v>723</v>
      </c>
      <c r="C694" s="287">
        <v>0.0</v>
      </c>
      <c r="D694" s="287" t="s">
        <v>452</v>
      </c>
      <c r="E694" s="287">
        <v>0.0</v>
      </c>
      <c r="F694" s="287" t="s">
        <v>452</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723</v>
      </c>
      <c r="C695" s="287">
        <v>0.0</v>
      </c>
      <c r="D695" s="287" t="s">
        <v>454</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723</v>
      </c>
      <c r="C696" s="287">
        <v>0.0</v>
      </c>
      <c r="D696" s="287" t="s">
        <v>452</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723</v>
      </c>
      <c r="C697" s="287">
        <v>0.0</v>
      </c>
      <c r="D697" s="287" t="s">
        <v>452</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723</v>
      </c>
      <c r="C698" s="287">
        <v>0.0</v>
      </c>
      <c r="D698" s="287" t="s">
        <v>454</v>
      </c>
      <c r="E698" s="287">
        <v>0.0</v>
      </c>
      <c r="F698" s="287" t="s">
        <v>452</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723</v>
      </c>
      <c r="C699" s="287">
        <v>0.0</v>
      </c>
      <c r="D699" s="287" t="s">
        <v>452</v>
      </c>
      <c r="E699" s="287">
        <v>0.0</v>
      </c>
      <c r="F699" s="287" t="s">
        <v>452</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723</v>
      </c>
      <c r="C700" s="287">
        <v>0.0</v>
      </c>
      <c r="D700" s="287" t="s">
        <v>452</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723</v>
      </c>
      <c r="C701" s="287">
        <v>0.0</v>
      </c>
      <c r="D701" s="287" t="s">
        <v>452</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723</v>
      </c>
      <c r="C702" s="287">
        <v>0.0</v>
      </c>
      <c r="D702" s="287" t="s">
        <v>452</v>
      </c>
      <c r="E702" s="287">
        <v>0.0</v>
      </c>
      <c r="F702" s="287" t="s">
        <v>452</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723</v>
      </c>
      <c r="C703" s="287">
        <v>0.0</v>
      </c>
      <c r="D703" s="287" t="s">
        <v>452</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785</v>
      </c>
      <c r="B704" s="286" t="s">
        <v>723</v>
      </c>
      <c r="C704" s="287">
        <v>0.0</v>
      </c>
      <c r="D704" s="287" t="s">
        <v>452</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786</v>
      </c>
      <c r="B705" s="286" t="s">
        <v>723</v>
      </c>
      <c r="C705" s="287">
        <v>0.0</v>
      </c>
      <c r="D705" s="287" t="s">
        <v>452</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787</v>
      </c>
      <c r="B706" s="286" t="s">
        <v>723</v>
      </c>
      <c r="C706" s="287">
        <v>0.0</v>
      </c>
      <c r="D706" s="287">
        <v>0.0</v>
      </c>
      <c r="E706" s="287">
        <v>0.0</v>
      </c>
      <c r="F706" s="287" t="s">
        <v>452</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956</v>
      </c>
      <c r="B707" s="286" t="s">
        <v>723</v>
      </c>
      <c r="C707" s="287">
        <v>0.0</v>
      </c>
      <c r="D707" s="287" t="s">
        <v>452</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788</v>
      </c>
      <c r="B708" s="286" t="s">
        <v>723</v>
      </c>
      <c r="C708" s="287">
        <v>0.0</v>
      </c>
      <c r="D708" s="287" t="s">
        <v>452</v>
      </c>
      <c r="E708" s="287">
        <v>0.0</v>
      </c>
      <c r="F708" s="287" t="s">
        <v>452</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790</v>
      </c>
      <c r="B709" s="286" t="s">
        <v>723</v>
      </c>
      <c r="C709" s="287">
        <v>0.0</v>
      </c>
      <c r="D709" s="287" t="s">
        <v>452</v>
      </c>
      <c r="E709" s="287">
        <v>0.0</v>
      </c>
      <c r="F709" s="287" t="s">
        <v>452</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792</v>
      </c>
      <c r="B710" s="286" t="s">
        <v>723</v>
      </c>
      <c r="C710" s="287">
        <v>0.0</v>
      </c>
      <c r="D710" s="287" t="s">
        <v>452</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793</v>
      </c>
      <c r="B711" s="286" t="s">
        <v>723</v>
      </c>
      <c r="C711" s="287">
        <v>0.0</v>
      </c>
      <c r="D711" s="287" t="s">
        <v>452</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797</v>
      </c>
      <c r="B712" s="286" t="s">
        <v>723</v>
      </c>
      <c r="C712" s="287">
        <v>0.0</v>
      </c>
      <c r="D712" s="287" t="s">
        <v>452</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798</v>
      </c>
      <c r="B713" s="286" t="s">
        <v>723</v>
      </c>
      <c r="C713" s="287">
        <v>0.0</v>
      </c>
      <c r="D713" s="287" t="s">
        <v>457</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799</v>
      </c>
      <c r="B714" s="286" t="s">
        <v>723</v>
      </c>
      <c r="C714" s="287">
        <v>0.0</v>
      </c>
      <c r="D714" s="287">
        <v>0.0</v>
      </c>
      <c r="E714" s="287">
        <v>0.0</v>
      </c>
      <c r="F714" s="287" t="s">
        <v>452</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800</v>
      </c>
      <c r="B715" s="286" t="s">
        <v>723</v>
      </c>
      <c r="C715" s="287">
        <v>0.0</v>
      </c>
      <c r="D715" s="287" t="s">
        <v>454</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805</v>
      </c>
      <c r="B716" s="286" t="s">
        <v>256</v>
      </c>
      <c r="C716" s="287">
        <v>0.0</v>
      </c>
      <c r="D716" s="287" t="s">
        <v>454</v>
      </c>
      <c r="E716" s="287">
        <v>0.0</v>
      </c>
      <c r="F716" s="287" t="s">
        <v>452</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807</v>
      </c>
      <c r="B717" s="286" t="s">
        <v>256</v>
      </c>
      <c r="C717" s="287">
        <v>0.0</v>
      </c>
      <c r="D717" s="287" t="s">
        <v>463</v>
      </c>
      <c r="E717" s="287">
        <v>0.0</v>
      </c>
      <c r="F717" s="287" t="s">
        <v>452</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808</v>
      </c>
      <c r="B718" s="286" t="s">
        <v>256</v>
      </c>
      <c r="C718" s="287">
        <v>0.0</v>
      </c>
      <c r="D718" s="287" t="s">
        <v>454</v>
      </c>
      <c r="E718" s="287">
        <v>0.0</v>
      </c>
      <c r="F718" s="287" t="s">
        <v>452</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809</v>
      </c>
      <c r="B719" s="286" t="s">
        <v>256</v>
      </c>
      <c r="C719" s="287">
        <v>0.0</v>
      </c>
      <c r="D719" s="287" t="s">
        <v>457</v>
      </c>
      <c r="E719" s="287">
        <v>0.0</v>
      </c>
      <c r="F719" s="287" t="s">
        <v>452</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810</v>
      </c>
      <c r="B720" s="286" t="s">
        <v>256</v>
      </c>
      <c r="C720" s="287">
        <v>0.0</v>
      </c>
      <c r="D720" s="287" t="s">
        <v>457</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811</v>
      </c>
      <c r="B721" s="286" t="s">
        <v>256</v>
      </c>
      <c r="C721" s="287">
        <v>0.0</v>
      </c>
      <c r="D721" s="287" t="s">
        <v>454</v>
      </c>
      <c r="E721" s="287">
        <v>0.0</v>
      </c>
      <c r="F721" s="287" t="s">
        <v>452</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812</v>
      </c>
      <c r="B722" s="286" t="s">
        <v>256</v>
      </c>
      <c r="C722" s="287">
        <v>0.0</v>
      </c>
      <c r="D722" s="287" t="s">
        <v>591</v>
      </c>
      <c r="E722" s="287">
        <v>0.0</v>
      </c>
      <c r="F722" s="287" t="s">
        <v>452</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813</v>
      </c>
      <c r="B723" s="286" t="s">
        <v>256</v>
      </c>
      <c r="C723" s="287" t="s">
        <v>452</v>
      </c>
      <c r="D723" s="287" t="s">
        <v>454</v>
      </c>
      <c r="E723" s="287">
        <v>0.0</v>
      </c>
      <c r="F723" s="287" t="s">
        <v>452</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814</v>
      </c>
      <c r="B724" s="286" t="s">
        <v>256</v>
      </c>
      <c r="C724" s="287" t="s">
        <v>452</v>
      </c>
      <c r="D724" s="287" t="s">
        <v>461</v>
      </c>
      <c r="E724" s="287">
        <v>0.0</v>
      </c>
      <c r="F724" s="287" t="s">
        <v>452</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815</v>
      </c>
      <c r="B725" s="286" t="s">
        <v>256</v>
      </c>
      <c r="C725" s="287">
        <v>0.0</v>
      </c>
      <c r="D725" s="287" t="s">
        <v>459</v>
      </c>
      <c r="E725" s="287">
        <v>0.0</v>
      </c>
      <c r="F725" s="287" t="s">
        <v>452</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816</v>
      </c>
      <c r="B726" s="286" t="s">
        <v>256</v>
      </c>
      <c r="C726" s="287">
        <v>0.0</v>
      </c>
      <c r="D726" s="287" t="s">
        <v>454</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817</v>
      </c>
      <c r="B727" s="286" t="s">
        <v>256</v>
      </c>
      <c r="C727" s="287">
        <v>0.0</v>
      </c>
      <c r="D727" s="287" t="s">
        <v>457</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818</v>
      </c>
      <c r="B728" s="286" t="s">
        <v>256</v>
      </c>
      <c r="C728" s="287" t="s">
        <v>452</v>
      </c>
      <c r="D728" s="287" t="s">
        <v>463</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819</v>
      </c>
      <c r="B729" s="286" t="s">
        <v>256</v>
      </c>
      <c r="C729" s="287">
        <v>0.0</v>
      </c>
      <c r="D729" s="287" t="s">
        <v>454</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820</v>
      </c>
      <c r="B730" s="286" t="s">
        <v>256</v>
      </c>
      <c r="C730" s="287">
        <v>0.0</v>
      </c>
      <c r="D730" s="287" t="s">
        <v>452</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821</v>
      </c>
      <c r="B731" s="286" t="s">
        <v>256</v>
      </c>
      <c r="C731" s="287">
        <v>0.0</v>
      </c>
      <c r="D731" s="287" t="s">
        <v>463</v>
      </c>
      <c r="E731" s="287">
        <v>0.0</v>
      </c>
      <c r="F731" s="287" t="s">
        <v>452</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822</v>
      </c>
      <c r="B732" s="286" t="s">
        <v>256</v>
      </c>
      <c r="C732" s="287">
        <v>0.0</v>
      </c>
      <c r="D732" s="287" t="s">
        <v>483</v>
      </c>
      <c r="E732" s="287">
        <v>0.0</v>
      </c>
      <c r="F732" s="287" t="s">
        <v>452</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823</v>
      </c>
      <c r="B733" s="286" t="s">
        <v>256</v>
      </c>
      <c r="C733" s="287" t="s">
        <v>452</v>
      </c>
      <c r="D733" s="287" t="s">
        <v>489</v>
      </c>
      <c r="E733" s="287">
        <v>0.0</v>
      </c>
      <c r="F733" s="287" t="s">
        <v>452</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824</v>
      </c>
      <c r="B734" s="286" t="s">
        <v>256</v>
      </c>
      <c r="C734" s="287">
        <v>0.0</v>
      </c>
      <c r="D734" s="287" t="s">
        <v>457</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825</v>
      </c>
      <c r="B735" s="286" t="s">
        <v>256</v>
      </c>
      <c r="C735" s="287">
        <v>0.0</v>
      </c>
      <c r="D735" s="287" t="s">
        <v>452</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826</v>
      </c>
      <c r="B736" s="286" t="s">
        <v>256</v>
      </c>
      <c r="C736" s="287">
        <v>0.0</v>
      </c>
      <c r="D736" s="287" t="s">
        <v>549</v>
      </c>
      <c r="E736" s="287">
        <v>0.0</v>
      </c>
      <c r="F736" s="287" t="s">
        <v>452</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827</v>
      </c>
      <c r="B737" s="286" t="s">
        <v>256</v>
      </c>
      <c r="C737" s="287">
        <v>0.0</v>
      </c>
      <c r="D737" s="287" t="s">
        <v>454</v>
      </c>
      <c r="E737" s="287">
        <v>0.0</v>
      </c>
      <c r="F737" s="287" t="s">
        <v>452</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828</v>
      </c>
      <c r="B738" s="286" t="s">
        <v>256</v>
      </c>
      <c r="C738" s="287">
        <v>0.0</v>
      </c>
      <c r="D738" s="287" t="s">
        <v>457</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829</v>
      </c>
      <c r="B739" s="286" t="s">
        <v>256</v>
      </c>
      <c r="C739" s="287">
        <v>0.0</v>
      </c>
      <c r="D739" s="287">
        <v>0.0</v>
      </c>
      <c r="E739" s="287">
        <v>0.0</v>
      </c>
      <c r="F739" s="287" t="s">
        <v>452</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830</v>
      </c>
      <c r="B740" s="286" t="s">
        <v>256</v>
      </c>
      <c r="C740" s="287">
        <v>0.0</v>
      </c>
      <c r="D740" s="287" t="s">
        <v>454</v>
      </c>
      <c r="E740" s="287">
        <v>0.0</v>
      </c>
      <c r="F740" s="287" t="s">
        <v>452</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831</v>
      </c>
      <c r="B741" s="286" t="s">
        <v>256</v>
      </c>
      <c r="C741" s="287" t="s">
        <v>452</v>
      </c>
      <c r="D741" s="287" t="s">
        <v>549</v>
      </c>
      <c r="E741" s="287">
        <v>0.0</v>
      </c>
      <c r="F741" s="287" t="s">
        <v>452</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832</v>
      </c>
      <c r="B742" s="286" t="s">
        <v>256</v>
      </c>
      <c r="C742" s="287" t="s">
        <v>452</v>
      </c>
      <c r="D742" s="287" t="s">
        <v>457</v>
      </c>
      <c r="E742" s="287">
        <v>0.0</v>
      </c>
      <c r="F742" s="287" t="s">
        <v>452</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833</v>
      </c>
      <c r="B743" s="286" t="s">
        <v>256</v>
      </c>
      <c r="C743" s="287" t="s">
        <v>452</v>
      </c>
      <c r="D743" s="287" t="s">
        <v>549</v>
      </c>
      <c r="E743" s="287">
        <v>0.0</v>
      </c>
      <c r="F743" s="287" t="s">
        <v>452</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835</v>
      </c>
      <c r="B744" s="286" t="s">
        <v>256</v>
      </c>
      <c r="C744" s="287">
        <v>0.0</v>
      </c>
      <c r="D744" s="287" t="s">
        <v>457</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836</v>
      </c>
      <c r="B745" s="286" t="s">
        <v>256</v>
      </c>
      <c r="C745" s="287" t="s">
        <v>452</v>
      </c>
      <c r="D745" s="287" t="s">
        <v>459</v>
      </c>
      <c r="E745" s="287">
        <v>0.0</v>
      </c>
      <c r="F745" s="287" t="s">
        <v>452</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957</v>
      </c>
      <c r="B746" s="286" t="s">
        <v>256</v>
      </c>
      <c r="C746" s="287">
        <v>0.0</v>
      </c>
      <c r="D746" s="287" t="s">
        <v>452</v>
      </c>
      <c r="E746" s="287">
        <v>0.0</v>
      </c>
      <c r="F746" s="287" t="s">
        <v>452</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838</v>
      </c>
      <c r="B747" s="286" t="s">
        <v>256</v>
      </c>
      <c r="C747" s="287">
        <v>0.0</v>
      </c>
      <c r="D747" s="287" t="s">
        <v>454</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839</v>
      </c>
      <c r="B748" s="286" t="s">
        <v>256</v>
      </c>
      <c r="C748" s="287" t="s">
        <v>452</v>
      </c>
      <c r="D748" s="287" t="s">
        <v>454</v>
      </c>
      <c r="E748" s="287">
        <v>0.0</v>
      </c>
      <c r="F748" s="287" t="s">
        <v>452</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840</v>
      </c>
      <c r="B749" s="286" t="s">
        <v>256</v>
      </c>
      <c r="C749" s="287">
        <v>0.0</v>
      </c>
      <c r="D749" s="287" t="s">
        <v>452</v>
      </c>
      <c r="E749" s="287" t="s">
        <v>452</v>
      </c>
      <c r="F749" s="287" t="s">
        <v>452</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841</v>
      </c>
      <c r="B750" s="286" t="s">
        <v>256</v>
      </c>
      <c r="C750" s="287">
        <v>0.0</v>
      </c>
      <c r="D750" s="287" t="s">
        <v>459</v>
      </c>
      <c r="E750" s="287">
        <v>0.0</v>
      </c>
      <c r="F750" s="287" t="s">
        <v>452</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842</v>
      </c>
      <c r="B751" s="286" t="s">
        <v>256</v>
      </c>
      <c r="C751" s="287">
        <v>0.0</v>
      </c>
      <c r="D751" s="287" t="s">
        <v>457</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843</v>
      </c>
      <c r="B752" s="286" t="s">
        <v>256</v>
      </c>
      <c r="C752" s="287">
        <v>0.0</v>
      </c>
      <c r="D752" s="287" t="s">
        <v>457</v>
      </c>
      <c r="E752" s="287">
        <v>0.0</v>
      </c>
      <c r="F752" s="287" t="s">
        <v>452</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844</v>
      </c>
      <c r="B753" s="286" t="s">
        <v>256</v>
      </c>
      <c r="C753" s="287">
        <v>0.0</v>
      </c>
      <c r="D753" s="287" t="s">
        <v>483</v>
      </c>
      <c r="E753" s="287">
        <v>0.0</v>
      </c>
      <c r="F753" s="287" t="s">
        <v>452</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845</v>
      </c>
      <c r="B754" s="286" t="s">
        <v>256</v>
      </c>
      <c r="C754" s="287">
        <v>0.0</v>
      </c>
      <c r="D754" s="287" t="s">
        <v>454</v>
      </c>
      <c r="E754" s="287">
        <v>0.0</v>
      </c>
      <c r="F754" s="287" t="s">
        <v>452</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846</v>
      </c>
      <c r="B755" s="286" t="s">
        <v>256</v>
      </c>
      <c r="C755" s="287">
        <v>0.0</v>
      </c>
      <c r="D755" s="287" t="s">
        <v>463</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847</v>
      </c>
      <c r="B756" s="286" t="s">
        <v>256</v>
      </c>
      <c r="C756" s="287">
        <v>0.0</v>
      </c>
      <c r="D756" s="287" t="s">
        <v>454</v>
      </c>
      <c r="E756" s="287">
        <v>0.0</v>
      </c>
      <c r="F756" s="287" t="s">
        <v>452</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848</v>
      </c>
      <c r="B757" s="286" t="s">
        <v>256</v>
      </c>
      <c r="C757" s="287">
        <v>0.0</v>
      </c>
      <c r="D757" s="287" t="s">
        <v>459</v>
      </c>
      <c r="E757" s="287">
        <v>0.0</v>
      </c>
      <c r="F757" s="287" t="s">
        <v>452</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849</v>
      </c>
      <c r="B758" s="286" t="s">
        <v>256</v>
      </c>
      <c r="C758" s="287">
        <v>0.0</v>
      </c>
      <c r="D758" s="287" t="s">
        <v>463</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850</v>
      </c>
      <c r="B759" s="286" t="s">
        <v>256</v>
      </c>
      <c r="C759" s="287">
        <v>0.0</v>
      </c>
      <c r="D759" s="287" t="s">
        <v>452</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851</v>
      </c>
      <c r="B760" s="286" t="s">
        <v>852</v>
      </c>
      <c r="C760" s="287">
        <v>0.0</v>
      </c>
      <c r="D760" s="287" t="s">
        <v>452</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853</v>
      </c>
      <c r="B761" s="286" t="s">
        <v>854</v>
      </c>
      <c r="C761" s="287">
        <v>0.0</v>
      </c>
      <c r="D761" s="287" t="s">
        <v>454</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856</v>
      </c>
      <c r="B762" s="286" t="s">
        <v>857</v>
      </c>
      <c r="C762" s="287">
        <v>0.0</v>
      </c>
      <c r="D762" s="287" t="s">
        <v>463</v>
      </c>
      <c r="E762" s="287">
        <v>0.0</v>
      </c>
      <c r="F762" s="287" t="s">
        <v>452</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858</v>
      </c>
      <c r="B763" s="286" t="s">
        <v>258</v>
      </c>
      <c r="C763" s="287" t="s">
        <v>452</v>
      </c>
      <c r="D763" s="287" t="s">
        <v>454</v>
      </c>
      <c r="E763" s="287">
        <v>0.0</v>
      </c>
      <c r="F763" s="287" t="s">
        <v>452</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859</v>
      </c>
      <c r="B764" s="286" t="s">
        <v>258</v>
      </c>
      <c r="C764" s="287">
        <v>0.0</v>
      </c>
      <c r="D764" s="287" t="s">
        <v>452</v>
      </c>
      <c r="E764" s="287">
        <v>0.0</v>
      </c>
      <c r="F764" s="287" t="s">
        <v>452</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860</v>
      </c>
      <c r="B765" s="286" t="s">
        <v>258</v>
      </c>
      <c r="C765" s="287">
        <v>0.0</v>
      </c>
      <c r="D765" s="287">
        <v>0.0</v>
      </c>
      <c r="E765" s="287">
        <v>0.0</v>
      </c>
      <c r="F765" s="287" t="s">
        <v>452</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861</v>
      </c>
      <c r="B766" s="286" t="s">
        <v>258</v>
      </c>
      <c r="C766" s="287" t="s">
        <v>452</v>
      </c>
      <c r="D766" s="287" t="s">
        <v>463</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862</v>
      </c>
      <c r="B767" s="286" t="s">
        <v>258</v>
      </c>
      <c r="C767" s="287">
        <v>0.0</v>
      </c>
      <c r="D767" s="287" t="s">
        <v>454</v>
      </c>
      <c r="E767" s="287">
        <v>0.0</v>
      </c>
      <c r="F767" s="287" t="s">
        <v>452</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863</v>
      </c>
      <c r="B768" s="286" t="s">
        <v>863</v>
      </c>
      <c r="C768" s="287">
        <v>0.0</v>
      </c>
      <c r="D768" s="287" t="s">
        <v>452</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864</v>
      </c>
      <c r="B769" s="286" t="s">
        <v>865</v>
      </c>
      <c r="C769" s="287">
        <v>0.0</v>
      </c>
      <c r="D769" s="287" t="s">
        <v>452</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958</v>
      </c>
      <c r="B770" s="286" t="s">
        <v>865</v>
      </c>
      <c r="C770" s="287">
        <v>0.0</v>
      </c>
      <c r="D770" s="287" t="s">
        <v>452</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866</v>
      </c>
      <c r="B771" s="286" t="s">
        <v>259</v>
      </c>
      <c r="C771" s="287">
        <v>0.0</v>
      </c>
      <c r="D771" s="287" t="s">
        <v>452</v>
      </c>
      <c r="E771" s="287">
        <v>0.0</v>
      </c>
      <c r="F771" s="287" t="s">
        <v>452</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868</v>
      </c>
      <c r="B772" s="286" t="s">
        <v>259</v>
      </c>
      <c r="C772" s="287">
        <v>0.0</v>
      </c>
      <c r="D772" s="287" t="s">
        <v>452</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869</v>
      </c>
      <c r="B773" s="286" t="s">
        <v>259</v>
      </c>
      <c r="C773" s="287">
        <v>0.0</v>
      </c>
      <c r="D773" s="287" t="s">
        <v>454</v>
      </c>
      <c r="E773" s="287">
        <v>0.0</v>
      </c>
      <c r="F773" s="287" t="s">
        <v>452</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870</v>
      </c>
      <c r="B774" s="286" t="s">
        <v>259</v>
      </c>
      <c r="C774" s="287" t="s">
        <v>452</v>
      </c>
      <c r="D774" s="287" t="s">
        <v>483</v>
      </c>
      <c r="E774" s="287">
        <v>0.0</v>
      </c>
      <c r="F774" s="287" t="s">
        <v>452</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871</v>
      </c>
      <c r="B775" s="286" t="s">
        <v>259</v>
      </c>
      <c r="C775" s="287" t="s">
        <v>452</v>
      </c>
      <c r="D775" s="287" t="s">
        <v>459</v>
      </c>
      <c r="E775" s="287">
        <v>0.0</v>
      </c>
      <c r="F775" s="287" t="s">
        <v>452</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872</v>
      </c>
      <c r="B776" s="286" t="s">
        <v>259</v>
      </c>
      <c r="C776" s="287">
        <v>0.0</v>
      </c>
      <c r="D776" s="287" t="s">
        <v>452</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873</v>
      </c>
      <c r="B777" s="286" t="s">
        <v>260</v>
      </c>
      <c r="C777" s="287">
        <v>0.0</v>
      </c>
      <c r="D777" s="287" t="s">
        <v>454</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874</v>
      </c>
      <c r="B778" s="286" t="s">
        <v>260</v>
      </c>
      <c r="C778" s="287">
        <v>0.0</v>
      </c>
      <c r="D778" s="287" t="s">
        <v>463</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875</v>
      </c>
      <c r="B779" s="286" t="s">
        <v>260</v>
      </c>
      <c r="C779" s="287">
        <v>0.0</v>
      </c>
      <c r="D779" s="287" t="s">
        <v>452</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876</v>
      </c>
      <c r="B780" s="286" t="s">
        <v>260</v>
      </c>
      <c r="C780" s="287" t="s">
        <v>452</v>
      </c>
      <c r="D780" s="287" t="s">
        <v>454</v>
      </c>
      <c r="E780" s="287">
        <v>0.0</v>
      </c>
      <c r="F780" s="287" t="s">
        <v>452</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877</v>
      </c>
      <c r="B781" s="286" t="s">
        <v>260</v>
      </c>
      <c r="C781" s="287" t="s">
        <v>452</v>
      </c>
      <c r="D781" s="287" t="s">
        <v>459</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878</v>
      </c>
      <c r="B782" s="286" t="s">
        <v>260</v>
      </c>
      <c r="C782" s="287">
        <v>0.0</v>
      </c>
      <c r="D782" s="287" t="s">
        <v>452</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879</v>
      </c>
      <c r="B783" s="286" t="s">
        <v>260</v>
      </c>
      <c r="C783" s="287">
        <v>0.0</v>
      </c>
      <c r="D783" s="287">
        <v>0.0</v>
      </c>
      <c r="E783" s="287">
        <v>0.0</v>
      </c>
      <c r="F783" s="287" t="s">
        <v>452</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880</v>
      </c>
      <c r="B784" s="286" t="s">
        <v>881</v>
      </c>
      <c r="C784" s="287">
        <v>0.0</v>
      </c>
      <c r="D784" s="287" t="s">
        <v>454</v>
      </c>
      <c r="E784" s="287">
        <v>0.0</v>
      </c>
      <c r="F784" s="287" t="s">
        <v>452</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883</v>
      </c>
      <c r="B785" s="286" t="s">
        <v>883</v>
      </c>
      <c r="C785" s="287">
        <v>0.0</v>
      </c>
      <c r="D785" s="287" t="s">
        <v>452</v>
      </c>
      <c r="E785" s="287">
        <v>0.0</v>
      </c>
      <c r="F785" s="287" t="s">
        <v>452</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884</v>
      </c>
      <c r="B786" s="286" t="s">
        <v>884</v>
      </c>
      <c r="C786" s="287">
        <v>0.0</v>
      </c>
      <c r="D786" s="287" t="s">
        <v>457</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885</v>
      </c>
      <c r="B787" s="286" t="s">
        <v>261</v>
      </c>
      <c r="C787" s="287" t="s">
        <v>452</v>
      </c>
      <c r="D787" s="287" t="s">
        <v>454</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886</v>
      </c>
      <c r="B788" s="286" t="s">
        <v>261</v>
      </c>
      <c r="C788" s="287">
        <v>0.0</v>
      </c>
      <c r="D788" s="287" t="s">
        <v>452</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887</v>
      </c>
      <c r="B789" s="286" t="s">
        <v>261</v>
      </c>
      <c r="C789" s="287" t="s">
        <v>452</v>
      </c>
      <c r="D789" s="287" t="s">
        <v>457</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888</v>
      </c>
      <c r="B790" s="286" t="s">
        <v>261</v>
      </c>
      <c r="C790" s="287" t="s">
        <v>452</v>
      </c>
      <c r="D790" s="287" t="s">
        <v>454</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889</v>
      </c>
      <c r="B791" s="286" t="s">
        <v>261</v>
      </c>
      <c r="C791" s="287">
        <v>0.0</v>
      </c>
      <c r="D791" s="287">
        <v>0.0</v>
      </c>
      <c r="E791" s="287">
        <v>0.0</v>
      </c>
      <c r="F791" s="287" t="s">
        <v>452</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890</v>
      </c>
      <c r="B792" s="286" t="s">
        <v>890</v>
      </c>
      <c r="C792" s="287">
        <v>0.0</v>
      </c>
      <c r="D792" s="287" t="s">
        <v>483</v>
      </c>
      <c r="E792" s="287">
        <v>0.0</v>
      </c>
      <c r="F792" s="287" t="s">
        <v>452</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891</v>
      </c>
      <c r="B793" s="286" t="s">
        <v>892</v>
      </c>
      <c r="C793" s="287">
        <v>0.0</v>
      </c>
      <c r="D793" s="287" t="s">
        <v>454</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893</v>
      </c>
      <c r="B794" s="286" t="s">
        <v>894</v>
      </c>
      <c r="C794" s="287">
        <v>0.0</v>
      </c>
      <c r="D794" s="287" t="s">
        <v>483</v>
      </c>
      <c r="E794" s="287">
        <v>0.0</v>
      </c>
      <c r="F794" s="287" t="s">
        <v>452</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895</v>
      </c>
      <c r="B795" s="286" t="s">
        <v>263</v>
      </c>
      <c r="C795" s="287">
        <v>0.0</v>
      </c>
      <c r="D795" s="287" t="s">
        <v>454</v>
      </c>
      <c r="E795" s="287">
        <v>0.0</v>
      </c>
      <c r="F795" s="287" t="s">
        <v>452</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896</v>
      </c>
      <c r="B796" s="286" t="s">
        <v>263</v>
      </c>
      <c r="C796" s="287">
        <v>0.0</v>
      </c>
      <c r="D796" s="287" t="s">
        <v>452</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897</v>
      </c>
      <c r="B797" s="286" t="s">
        <v>263</v>
      </c>
      <c r="C797" s="287">
        <v>0.0</v>
      </c>
      <c r="D797" s="287" t="s">
        <v>452</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898</v>
      </c>
      <c r="B798" s="286" t="s">
        <v>263</v>
      </c>
      <c r="C798" s="287">
        <v>0.0</v>
      </c>
      <c r="D798" s="287" t="s">
        <v>454</v>
      </c>
      <c r="E798" s="287">
        <v>0.0</v>
      </c>
      <c r="F798" s="287" t="s">
        <v>452</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899</v>
      </c>
      <c r="B799" s="286" t="s">
        <v>263</v>
      </c>
      <c r="C799" s="287">
        <v>0.0</v>
      </c>
      <c r="D799" s="287" t="s">
        <v>454</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900</v>
      </c>
      <c r="B800" s="286" t="s">
        <v>263</v>
      </c>
      <c r="C800" s="287">
        <v>0.0</v>
      </c>
      <c r="D800" s="287" t="s">
        <v>454</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901</v>
      </c>
      <c r="B801" s="286" t="s">
        <v>263</v>
      </c>
      <c r="C801" s="287">
        <v>0.0</v>
      </c>
      <c r="D801" s="287" t="s">
        <v>454</v>
      </c>
      <c r="E801" s="287">
        <v>0.0</v>
      </c>
      <c r="F801" s="287" t="s">
        <v>452</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902</v>
      </c>
      <c r="B802" s="286" t="s">
        <v>263</v>
      </c>
      <c r="C802" s="287">
        <v>0.0</v>
      </c>
      <c r="D802" s="287" t="s">
        <v>454</v>
      </c>
      <c r="E802" s="287">
        <v>0.0</v>
      </c>
      <c r="F802" s="287" t="s">
        <v>452</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903</v>
      </c>
      <c r="B803" s="286" t="s">
        <v>263</v>
      </c>
      <c r="C803" s="287">
        <v>0.0</v>
      </c>
      <c r="D803" s="287" t="s">
        <v>452</v>
      </c>
      <c r="E803" s="287">
        <v>0.0</v>
      </c>
      <c r="F803" s="287" t="s">
        <v>452</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904</v>
      </c>
      <c r="B804" s="286" t="s">
        <v>263</v>
      </c>
      <c r="C804" s="287">
        <v>0.0</v>
      </c>
      <c r="D804" s="287" t="s">
        <v>454</v>
      </c>
      <c r="E804" s="287">
        <v>0.0</v>
      </c>
      <c r="F804" s="287" t="s">
        <v>452</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905</v>
      </c>
      <c r="B805" s="286" t="s">
        <v>263</v>
      </c>
      <c r="C805" s="287">
        <v>0.0</v>
      </c>
      <c r="D805" s="287" t="s">
        <v>452</v>
      </c>
      <c r="E805" s="287">
        <v>0.0</v>
      </c>
      <c r="F805" s="287" t="s">
        <v>452</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906</v>
      </c>
      <c r="B806" s="286" t="s">
        <v>263</v>
      </c>
      <c r="C806" s="287">
        <v>0.0</v>
      </c>
      <c r="D806" s="287" t="s">
        <v>949</v>
      </c>
      <c r="E806" s="287">
        <v>0.0</v>
      </c>
      <c r="F806" s="287" t="s">
        <v>452</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907</v>
      </c>
      <c r="B807" s="286" t="s">
        <v>263</v>
      </c>
      <c r="C807" s="287">
        <v>0.0</v>
      </c>
      <c r="D807" s="287" t="s">
        <v>454</v>
      </c>
      <c r="E807" s="287">
        <v>0.0</v>
      </c>
      <c r="F807" s="287" t="s">
        <v>452</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908</v>
      </c>
      <c r="B808" s="286" t="s">
        <v>263</v>
      </c>
      <c r="C808" s="287">
        <v>0.0</v>
      </c>
      <c r="D808" s="287" t="s">
        <v>508</v>
      </c>
      <c r="E808" s="287">
        <v>0.0</v>
      </c>
      <c r="F808" s="287" t="s">
        <v>452</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909</v>
      </c>
      <c r="B809" s="286" t="s">
        <v>263</v>
      </c>
      <c r="C809" s="287">
        <v>0.0</v>
      </c>
      <c r="D809" s="287">
        <v>0.0</v>
      </c>
      <c r="E809" s="287">
        <v>0.0</v>
      </c>
      <c r="F809" s="287" t="s">
        <v>452</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910</v>
      </c>
      <c r="B810" s="286" t="s">
        <v>263</v>
      </c>
      <c r="C810" s="287">
        <v>0.0</v>
      </c>
      <c r="D810" s="287" t="s">
        <v>452</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911</v>
      </c>
      <c r="B811" s="286" t="s">
        <v>263</v>
      </c>
      <c r="C811" s="287">
        <v>0.0</v>
      </c>
      <c r="D811" s="287" t="s">
        <v>454</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912</v>
      </c>
      <c r="B812" s="286" t="s">
        <v>263</v>
      </c>
      <c r="C812" s="287">
        <v>0.0</v>
      </c>
      <c r="D812" s="287" t="s">
        <v>461</v>
      </c>
      <c r="E812" s="287">
        <v>0.0</v>
      </c>
      <c r="F812" s="287" t="s">
        <v>452</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914</v>
      </c>
      <c r="B813" s="286" t="s">
        <v>263</v>
      </c>
      <c r="C813" s="287">
        <v>0.0</v>
      </c>
      <c r="D813" s="287" t="s">
        <v>489</v>
      </c>
      <c r="E813" s="287" t="s">
        <v>452</v>
      </c>
      <c r="F813" s="287" t="s">
        <v>452</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915</v>
      </c>
      <c r="B814" s="286" t="s">
        <v>915</v>
      </c>
      <c r="C814" s="287">
        <v>0.0</v>
      </c>
      <c r="D814" s="287" t="s">
        <v>452</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916</v>
      </c>
      <c r="B815" s="286" t="s">
        <v>265</v>
      </c>
      <c r="C815" s="287">
        <v>0.0</v>
      </c>
      <c r="D815" s="287" t="s">
        <v>457</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917</v>
      </c>
      <c r="B816" s="286" t="s">
        <v>265</v>
      </c>
      <c r="C816" s="287">
        <v>0.0</v>
      </c>
      <c r="D816" s="287" t="s">
        <v>459</v>
      </c>
      <c r="E816" s="287">
        <v>0.0</v>
      </c>
      <c r="F816" s="287" t="s">
        <v>454</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918</v>
      </c>
      <c r="B817" s="286" t="s">
        <v>265</v>
      </c>
      <c r="C817" s="287" t="s">
        <v>452</v>
      </c>
      <c r="D817" s="287" t="s">
        <v>459</v>
      </c>
      <c r="E817" s="287">
        <v>0.0</v>
      </c>
      <c r="F817" s="287" t="s">
        <v>452</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919</v>
      </c>
      <c r="B818" s="286" t="s">
        <v>265</v>
      </c>
      <c r="C818" s="287">
        <v>0.0</v>
      </c>
      <c r="D818" s="287" t="s">
        <v>452</v>
      </c>
      <c r="E818" s="287">
        <v>0.0</v>
      </c>
      <c r="F818" s="287" t="s">
        <v>452</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920</v>
      </c>
      <c r="B819" s="286" t="s">
        <v>265</v>
      </c>
      <c r="C819" s="287" t="s">
        <v>452</v>
      </c>
      <c r="D819" s="287" t="s">
        <v>457</v>
      </c>
      <c r="E819" s="287">
        <v>0.0</v>
      </c>
      <c r="F819" s="287" t="s">
        <v>452</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921</v>
      </c>
      <c r="B820" s="286" t="s">
        <v>265</v>
      </c>
      <c r="C820" s="287">
        <v>0.0</v>
      </c>
      <c r="D820" s="287" t="s">
        <v>549</v>
      </c>
      <c r="E820" s="287">
        <v>0.0</v>
      </c>
      <c r="F820" s="287" t="s">
        <v>454</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922</v>
      </c>
      <c r="B821" s="286" t="s">
        <v>266</v>
      </c>
      <c r="C821" s="287">
        <v>0.0</v>
      </c>
      <c r="D821" s="287" t="s">
        <v>452</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923</v>
      </c>
      <c r="B822" s="286" t="s">
        <v>266</v>
      </c>
      <c r="C822" s="287">
        <v>0.0</v>
      </c>
      <c r="D822" s="287" t="s">
        <v>452</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924</v>
      </c>
      <c r="B823" s="286" t="s">
        <v>266</v>
      </c>
      <c r="C823" s="287">
        <v>0.0</v>
      </c>
      <c r="D823" s="287" t="s">
        <v>452</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925</v>
      </c>
      <c r="B824" s="286" t="s">
        <v>266</v>
      </c>
      <c r="C824" s="287" t="s">
        <v>452</v>
      </c>
      <c r="D824" s="287" t="s">
        <v>463</v>
      </c>
      <c r="E824" s="287">
        <v>0.0</v>
      </c>
      <c r="F824" s="287" t="s">
        <v>452</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927</v>
      </c>
      <c r="B825" s="286" t="s">
        <v>266</v>
      </c>
      <c r="C825" s="287">
        <v>0.0</v>
      </c>
      <c r="D825" s="287" t="s">
        <v>463</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928</v>
      </c>
      <c r="B826" s="286" t="s">
        <v>267</v>
      </c>
      <c r="C826" s="287" t="s">
        <v>452</v>
      </c>
      <c r="D826" s="287" t="s">
        <v>457</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929</v>
      </c>
      <c r="B827" s="286" t="s">
        <v>267</v>
      </c>
      <c r="C827" s="287">
        <v>0.0</v>
      </c>
      <c r="D827" s="287" t="s">
        <v>457</v>
      </c>
      <c r="E827" s="287">
        <v>0.0</v>
      </c>
      <c r="F827" s="287" t="s">
        <v>452</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930</v>
      </c>
      <c r="B828" s="286" t="s">
        <v>267</v>
      </c>
      <c r="C828" s="287">
        <v>0.0</v>
      </c>
      <c r="D828" s="287" t="s">
        <v>457</v>
      </c>
      <c r="E828" s="287">
        <v>0.0</v>
      </c>
      <c r="F828" s="287" t="s">
        <v>452</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931</v>
      </c>
      <c r="B829" s="286" t="s">
        <v>267</v>
      </c>
      <c r="C829" s="287">
        <v>0.0</v>
      </c>
      <c r="D829" s="287" t="s">
        <v>457</v>
      </c>
      <c r="E829" s="287">
        <v>0.0</v>
      </c>
      <c r="F829" s="287" t="s">
        <v>452</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932</v>
      </c>
      <c r="B830" s="286" t="s">
        <v>267</v>
      </c>
      <c r="C830" s="287">
        <v>0.0</v>
      </c>
      <c r="D830" s="287" t="s">
        <v>457</v>
      </c>
      <c r="E830" s="287">
        <v>0.0</v>
      </c>
      <c r="F830" s="287" t="s">
        <v>452</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933</v>
      </c>
      <c r="B831" s="286" t="s">
        <v>267</v>
      </c>
      <c r="C831" s="287">
        <v>0.0</v>
      </c>
      <c r="D831" s="287" t="s">
        <v>459</v>
      </c>
      <c r="E831" s="287">
        <v>0.0</v>
      </c>
      <c r="F831" s="287" t="s">
        <v>454</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935</v>
      </c>
      <c r="B832" s="286" t="s">
        <v>267</v>
      </c>
      <c r="C832" s="287" t="s">
        <v>454</v>
      </c>
      <c r="D832" s="287" t="s">
        <v>940</v>
      </c>
      <c r="E832" s="287">
        <v>0.0</v>
      </c>
      <c r="F832" s="287" t="s">
        <v>454</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936</v>
      </c>
      <c r="B833" s="286" t="s">
        <v>267</v>
      </c>
      <c r="C833" s="287" t="s">
        <v>452</v>
      </c>
      <c r="D833" s="287" t="s">
        <v>489</v>
      </c>
      <c r="E833" s="287">
        <v>0.0</v>
      </c>
      <c r="F833" s="287" t="s">
        <v>452</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937</v>
      </c>
      <c r="B834" s="286" t="s">
        <v>267</v>
      </c>
      <c r="C834" s="287" t="s">
        <v>452</v>
      </c>
      <c r="D834" s="287" t="s">
        <v>483</v>
      </c>
      <c r="E834" s="287" t="s">
        <v>452</v>
      </c>
      <c r="F834" s="287" t="s">
        <v>452</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938</v>
      </c>
      <c r="B835" s="286" t="s">
        <v>939</v>
      </c>
      <c r="C835" s="287" t="s">
        <v>457</v>
      </c>
      <c r="D835" s="287" t="s">
        <v>959</v>
      </c>
      <c r="E835" s="287">
        <v>0.0</v>
      </c>
      <c r="F835" s="287" t="s">
        <v>591</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942</v>
      </c>
      <c r="C836" s="291" t="s">
        <v>960</v>
      </c>
      <c r="D836" s="291" t="s">
        <v>961</v>
      </c>
      <c r="E836" s="291" t="s">
        <v>452</v>
      </c>
      <c r="F836" s="291" t="s">
        <v>962</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963</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964</v>
      </c>
    </row>
    <row r="2">
      <c r="A2" s="295" t="s">
        <v>965</v>
      </c>
      <c r="B2" s="296"/>
      <c r="C2" s="296"/>
      <c r="D2" s="296"/>
    </row>
    <row r="3">
      <c r="A3" s="297" t="s">
        <v>966</v>
      </c>
      <c r="B3" s="298" t="s">
        <v>967</v>
      </c>
      <c r="C3" s="298" t="s">
        <v>968</v>
      </c>
      <c r="D3" s="299" t="s">
        <v>969</v>
      </c>
    </row>
    <row r="4">
      <c r="A4" s="300" t="s">
        <v>970</v>
      </c>
      <c r="B4" s="112"/>
      <c r="C4" s="112"/>
      <c r="D4" s="43"/>
    </row>
    <row r="5">
      <c r="A5" s="301" t="s">
        <v>971</v>
      </c>
      <c r="B5" s="302" t="s">
        <v>591</v>
      </c>
      <c r="C5" s="303" t="s">
        <v>452</v>
      </c>
      <c r="D5" s="304" t="s">
        <v>463</v>
      </c>
    </row>
    <row r="6">
      <c r="A6" s="305" t="s">
        <v>972</v>
      </c>
      <c r="B6" s="302" t="s">
        <v>489</v>
      </c>
      <c r="C6" s="303">
        <v>0.0</v>
      </c>
      <c r="D6" s="304" t="s">
        <v>457</v>
      </c>
    </row>
    <row r="7">
      <c r="A7" s="305" t="s">
        <v>973</v>
      </c>
      <c r="B7" s="302" t="s">
        <v>461</v>
      </c>
      <c r="C7" s="306">
        <v>0.0</v>
      </c>
      <c r="D7" s="304" t="s">
        <v>454</v>
      </c>
    </row>
    <row r="8">
      <c r="A8" s="305" t="s">
        <v>974</v>
      </c>
      <c r="B8" s="302" t="s">
        <v>459</v>
      </c>
      <c r="C8" s="306">
        <v>0.0</v>
      </c>
      <c r="D8" s="304" t="s">
        <v>454</v>
      </c>
    </row>
    <row r="9">
      <c r="A9" s="307" t="s">
        <v>975</v>
      </c>
      <c r="B9" s="308" t="s">
        <v>489</v>
      </c>
      <c r="C9" s="309">
        <v>0.0</v>
      </c>
      <c r="D9" s="310" t="s">
        <v>457</v>
      </c>
    </row>
    <row r="10">
      <c r="A10" s="307" t="s">
        <v>976</v>
      </c>
      <c r="B10" s="308" t="s">
        <v>977</v>
      </c>
      <c r="C10" s="309">
        <v>0.0</v>
      </c>
      <c r="D10" s="310" t="s">
        <v>463</v>
      </c>
    </row>
    <row r="11">
      <c r="A11" s="311" t="s">
        <v>978</v>
      </c>
      <c r="B11" s="312" t="s">
        <v>549</v>
      </c>
      <c r="C11" s="309">
        <v>0.0</v>
      </c>
      <c r="D11" s="310" t="s">
        <v>457</v>
      </c>
    </row>
    <row r="12">
      <c r="A12" s="307" t="s">
        <v>979</v>
      </c>
      <c r="B12" s="308" t="s">
        <v>980</v>
      </c>
      <c r="C12" s="309">
        <v>0.0</v>
      </c>
      <c r="D12" s="310" t="s">
        <v>549</v>
      </c>
    </row>
    <row r="13">
      <c r="A13" s="307" t="s">
        <v>981</v>
      </c>
      <c r="B13" s="308" t="s">
        <v>459</v>
      </c>
      <c r="C13" s="309">
        <v>0.0</v>
      </c>
      <c r="D13" s="310" t="s">
        <v>457</v>
      </c>
    </row>
    <row r="14">
      <c r="A14" s="311" t="s">
        <v>982</v>
      </c>
      <c r="B14" s="312" t="s">
        <v>505</v>
      </c>
      <c r="C14" s="309">
        <v>0.0</v>
      </c>
      <c r="D14" s="310" t="s">
        <v>483</v>
      </c>
    </row>
    <row r="15">
      <c r="A15" s="307" t="s">
        <v>983</v>
      </c>
      <c r="B15" s="308" t="s">
        <v>984</v>
      </c>
      <c r="C15" s="306">
        <v>0.0</v>
      </c>
      <c r="D15" s="310" t="s">
        <v>461</v>
      </c>
    </row>
    <row r="16">
      <c r="A16" s="307" t="s">
        <v>985</v>
      </c>
      <c r="B16" s="308" t="s">
        <v>459</v>
      </c>
      <c r="C16" s="309">
        <v>0.0</v>
      </c>
      <c r="D16" s="310" t="s">
        <v>452</v>
      </c>
    </row>
    <row r="17">
      <c r="A17" s="307" t="s">
        <v>986</v>
      </c>
      <c r="B17" s="308" t="s">
        <v>483</v>
      </c>
      <c r="C17" s="309">
        <v>0.0</v>
      </c>
      <c r="D17" s="310" t="s">
        <v>454</v>
      </c>
    </row>
    <row r="18">
      <c r="A18" s="307" t="s">
        <v>987</v>
      </c>
      <c r="B18" s="308" t="s">
        <v>988</v>
      </c>
      <c r="C18" s="306">
        <v>0.0</v>
      </c>
      <c r="D18" s="310" t="s">
        <v>489</v>
      </c>
    </row>
    <row r="19">
      <c r="A19" s="307" t="s">
        <v>989</v>
      </c>
      <c r="B19" s="308" t="s">
        <v>505</v>
      </c>
      <c r="C19" s="309">
        <v>0.0</v>
      </c>
      <c r="D19" s="310" t="s">
        <v>463</v>
      </c>
    </row>
    <row r="20">
      <c r="A20" s="307" t="s">
        <v>990</v>
      </c>
      <c r="B20" s="308" t="s">
        <v>988</v>
      </c>
      <c r="C20" s="309">
        <v>0.0</v>
      </c>
      <c r="D20" s="310" t="s">
        <v>547</v>
      </c>
    </row>
    <row r="21">
      <c r="A21" s="307" t="s">
        <v>991</v>
      </c>
      <c r="B21" s="308" t="s">
        <v>459</v>
      </c>
      <c r="C21" s="309">
        <v>0.0</v>
      </c>
      <c r="D21" s="310" t="s">
        <v>454</v>
      </c>
    </row>
    <row r="22">
      <c r="A22" s="307" t="s">
        <v>992</v>
      </c>
      <c r="B22" s="308" t="s">
        <v>547</v>
      </c>
      <c r="C22" s="309">
        <v>0.0</v>
      </c>
      <c r="D22" s="310" t="s">
        <v>463</v>
      </c>
    </row>
    <row r="23">
      <c r="A23" s="307" t="s">
        <v>993</v>
      </c>
      <c r="B23" s="308" t="s">
        <v>549</v>
      </c>
      <c r="C23" s="306">
        <v>0.0</v>
      </c>
      <c r="D23" s="310" t="s">
        <v>463</v>
      </c>
    </row>
    <row r="24">
      <c r="A24" s="307" t="s">
        <v>994</v>
      </c>
      <c r="B24" s="308" t="s">
        <v>508</v>
      </c>
      <c r="C24" s="309">
        <v>0.0</v>
      </c>
      <c r="D24" s="310" t="s">
        <v>457</v>
      </c>
    </row>
    <row r="25">
      <c r="A25" s="307" t="s">
        <v>995</v>
      </c>
      <c r="B25" s="308" t="s">
        <v>489</v>
      </c>
      <c r="C25" s="309">
        <v>0.0</v>
      </c>
      <c r="D25" s="310" t="s">
        <v>457</v>
      </c>
    </row>
    <row r="26">
      <c r="A26" s="311" t="s">
        <v>996</v>
      </c>
      <c r="B26" s="312" t="s">
        <v>457</v>
      </c>
      <c r="C26" s="309" t="s">
        <v>452</v>
      </c>
      <c r="D26" s="310" t="s">
        <v>452</v>
      </c>
    </row>
    <row r="27">
      <c r="A27" s="307" t="s">
        <v>997</v>
      </c>
      <c r="B27" s="308" t="s">
        <v>998</v>
      </c>
      <c r="C27" s="306">
        <v>0.0</v>
      </c>
      <c r="D27" s="310" t="s">
        <v>497</v>
      </c>
    </row>
    <row r="28">
      <c r="A28" s="307" t="s">
        <v>999</v>
      </c>
      <c r="B28" s="308" t="s">
        <v>591</v>
      </c>
      <c r="C28" s="309">
        <v>0.0</v>
      </c>
      <c r="D28" s="310" t="s">
        <v>454</v>
      </c>
    </row>
    <row r="29">
      <c r="A29" s="307" t="s">
        <v>1000</v>
      </c>
      <c r="B29" s="308" t="s">
        <v>1001</v>
      </c>
      <c r="C29" s="309" t="s">
        <v>452</v>
      </c>
      <c r="D29" s="310" t="s">
        <v>459</v>
      </c>
    </row>
    <row r="30">
      <c r="A30" s="307" t="s">
        <v>1002</v>
      </c>
      <c r="B30" s="308" t="s">
        <v>1003</v>
      </c>
      <c r="C30" s="309">
        <v>0.0</v>
      </c>
      <c r="D30" s="310" t="s">
        <v>489</v>
      </c>
    </row>
    <row r="31">
      <c r="A31" s="307" t="s">
        <v>1004</v>
      </c>
      <c r="B31" s="308" t="s">
        <v>1005</v>
      </c>
      <c r="C31" s="309">
        <v>0.0</v>
      </c>
      <c r="D31" s="310" t="s">
        <v>461</v>
      </c>
    </row>
    <row r="32">
      <c r="A32" s="307" t="s">
        <v>1006</v>
      </c>
      <c r="B32" s="308" t="s">
        <v>505</v>
      </c>
      <c r="C32" s="309">
        <v>0.0</v>
      </c>
      <c r="D32" s="310" t="s">
        <v>483</v>
      </c>
    </row>
    <row r="33">
      <c r="A33" s="307" t="s">
        <v>1007</v>
      </c>
      <c r="B33" s="308" t="s">
        <v>454</v>
      </c>
      <c r="C33" s="306">
        <v>0.0</v>
      </c>
      <c r="D33" s="310" t="s">
        <v>452</v>
      </c>
    </row>
    <row r="34">
      <c r="A34" s="307" t="s">
        <v>1008</v>
      </c>
      <c r="B34" s="308" t="s">
        <v>949</v>
      </c>
      <c r="C34" s="309">
        <v>0.0</v>
      </c>
      <c r="D34" s="313" t="s">
        <v>457</v>
      </c>
    </row>
    <row r="35">
      <c r="A35" s="311" t="s">
        <v>1009</v>
      </c>
      <c r="B35" s="308" t="s">
        <v>940</v>
      </c>
      <c r="C35" s="309">
        <v>0.0</v>
      </c>
      <c r="D35" s="310" t="s">
        <v>459</v>
      </c>
    </row>
    <row r="36">
      <c r="A36" s="307" t="s">
        <v>1010</v>
      </c>
      <c r="B36" s="308" t="s">
        <v>1003</v>
      </c>
      <c r="C36" s="306">
        <v>0.0</v>
      </c>
      <c r="D36" s="310" t="s">
        <v>463</v>
      </c>
    </row>
    <row r="37">
      <c r="A37" s="307" t="s">
        <v>1011</v>
      </c>
      <c r="B37" s="308" t="s">
        <v>459</v>
      </c>
      <c r="C37" s="309">
        <v>0.0</v>
      </c>
      <c r="D37" s="310" t="s">
        <v>457</v>
      </c>
    </row>
    <row r="38">
      <c r="A38" s="307" t="s">
        <v>1012</v>
      </c>
      <c r="B38" s="308" t="s">
        <v>483</v>
      </c>
      <c r="C38" s="309">
        <v>0.0</v>
      </c>
      <c r="D38" s="310" t="s">
        <v>452</v>
      </c>
    </row>
    <row r="39">
      <c r="A39" s="307" t="s">
        <v>1013</v>
      </c>
      <c r="B39" s="308" t="s">
        <v>459</v>
      </c>
      <c r="C39" s="309">
        <v>0.0</v>
      </c>
      <c r="D39" s="310" t="s">
        <v>454</v>
      </c>
    </row>
    <row r="40">
      <c r="A40" s="307" t="s">
        <v>1014</v>
      </c>
      <c r="B40" s="308" t="s">
        <v>483</v>
      </c>
      <c r="C40" s="309">
        <v>0.0</v>
      </c>
      <c r="D40" s="310" t="s">
        <v>452</v>
      </c>
    </row>
    <row r="41">
      <c r="A41" s="307" t="s">
        <v>1015</v>
      </c>
      <c r="B41" s="308" t="s">
        <v>463</v>
      </c>
      <c r="C41" s="309">
        <v>0.0</v>
      </c>
      <c r="D41" s="310" t="s">
        <v>452</v>
      </c>
    </row>
    <row r="42">
      <c r="A42" s="307" t="s">
        <v>1016</v>
      </c>
      <c r="B42" s="308" t="s">
        <v>977</v>
      </c>
      <c r="C42" s="309">
        <v>0.0</v>
      </c>
      <c r="D42" s="310" t="s">
        <v>459</v>
      </c>
    </row>
    <row r="43">
      <c r="A43" s="307" t="s">
        <v>1017</v>
      </c>
      <c r="B43" s="308" t="s">
        <v>602</v>
      </c>
      <c r="C43" s="306">
        <v>0.0</v>
      </c>
      <c r="D43" s="310" t="s">
        <v>483</v>
      </c>
    </row>
    <row r="44">
      <c r="A44" s="307" t="s">
        <v>1018</v>
      </c>
      <c r="B44" s="308" t="s">
        <v>1019</v>
      </c>
      <c r="C44" s="306">
        <v>0.0</v>
      </c>
      <c r="D44" s="310" t="s">
        <v>461</v>
      </c>
    </row>
    <row r="45">
      <c r="A45" s="307" t="s">
        <v>1020</v>
      </c>
      <c r="B45" s="308" t="s">
        <v>1019</v>
      </c>
      <c r="C45" s="309">
        <v>0.0</v>
      </c>
      <c r="D45" s="310" t="s">
        <v>459</v>
      </c>
    </row>
    <row r="46">
      <c r="A46" s="307" t="s">
        <v>1021</v>
      </c>
      <c r="B46" s="308" t="s">
        <v>463</v>
      </c>
      <c r="C46" s="306">
        <v>0.0</v>
      </c>
      <c r="D46" s="310" t="s">
        <v>452</v>
      </c>
    </row>
    <row r="47">
      <c r="A47" s="307" t="s">
        <v>1022</v>
      </c>
      <c r="B47" s="308" t="s">
        <v>1023</v>
      </c>
      <c r="C47" s="306">
        <v>0.0</v>
      </c>
      <c r="D47" s="310">
        <v>0.0</v>
      </c>
    </row>
    <row r="48">
      <c r="A48" s="307" t="s">
        <v>1024</v>
      </c>
      <c r="B48" s="308" t="s">
        <v>547</v>
      </c>
      <c r="C48" s="309">
        <v>0.0</v>
      </c>
      <c r="D48" s="310" t="s">
        <v>454</v>
      </c>
    </row>
    <row r="49">
      <c r="A49" s="311" t="s">
        <v>1025</v>
      </c>
      <c r="B49" s="308" t="s">
        <v>547</v>
      </c>
      <c r="C49" s="309">
        <v>0.0</v>
      </c>
      <c r="D49" s="310" t="s">
        <v>454</v>
      </c>
    </row>
    <row r="50">
      <c r="A50" s="307" t="s">
        <v>1026</v>
      </c>
      <c r="B50" s="308" t="s">
        <v>547</v>
      </c>
      <c r="C50" s="309" t="s">
        <v>452</v>
      </c>
      <c r="D50" s="310" t="s">
        <v>463</v>
      </c>
    </row>
    <row r="51">
      <c r="A51" s="307" t="s">
        <v>1027</v>
      </c>
      <c r="B51" s="308" t="s">
        <v>547</v>
      </c>
      <c r="C51" s="309">
        <v>0.0</v>
      </c>
      <c r="D51" s="310">
        <v>0.0</v>
      </c>
    </row>
    <row r="52">
      <c r="A52" s="307" t="s">
        <v>1028</v>
      </c>
      <c r="B52" s="308" t="s">
        <v>1029</v>
      </c>
      <c r="C52" s="306">
        <v>0.0</v>
      </c>
      <c r="D52" s="310" t="s">
        <v>459</v>
      </c>
    </row>
    <row r="53">
      <c r="A53" s="307" t="s">
        <v>1030</v>
      </c>
      <c r="B53" s="308" t="s">
        <v>1031</v>
      </c>
      <c r="C53" s="309">
        <v>0.0</v>
      </c>
      <c r="D53" s="310" t="s">
        <v>483</v>
      </c>
    </row>
    <row r="54">
      <c r="A54" s="307" t="s">
        <v>1032</v>
      </c>
      <c r="B54" s="308" t="s">
        <v>1033</v>
      </c>
      <c r="C54" s="309">
        <v>0.0</v>
      </c>
      <c r="D54" s="310" t="s">
        <v>489</v>
      </c>
    </row>
    <row r="55">
      <c r="A55" s="307" t="s">
        <v>1034</v>
      </c>
      <c r="B55" s="308" t="s">
        <v>988</v>
      </c>
      <c r="C55" s="309">
        <v>0.0</v>
      </c>
      <c r="D55" s="314" t="s">
        <v>489</v>
      </c>
    </row>
    <row r="56">
      <c r="A56" s="307" t="s">
        <v>1035</v>
      </c>
      <c r="B56" s="308" t="s">
        <v>1036</v>
      </c>
      <c r="C56" s="309">
        <v>0.0</v>
      </c>
      <c r="D56" s="310" t="s">
        <v>508</v>
      </c>
    </row>
    <row r="57">
      <c r="A57" s="311" t="s">
        <v>1037</v>
      </c>
      <c r="B57" s="312" t="s">
        <v>1031</v>
      </c>
      <c r="C57" s="309">
        <v>0.0</v>
      </c>
      <c r="D57" s="310" t="s">
        <v>459</v>
      </c>
    </row>
    <row r="58">
      <c r="A58" s="307" t="s">
        <v>1038</v>
      </c>
      <c r="B58" s="308" t="s">
        <v>591</v>
      </c>
      <c r="C58" s="309">
        <v>0.0</v>
      </c>
      <c r="D58" s="310" t="s">
        <v>454</v>
      </c>
    </row>
    <row r="59">
      <c r="A59" s="311" t="s">
        <v>1039</v>
      </c>
      <c r="B59" s="312" t="s">
        <v>1003</v>
      </c>
      <c r="C59" s="309">
        <v>0.0</v>
      </c>
      <c r="D59" s="310" t="s">
        <v>483</v>
      </c>
    </row>
    <row r="60">
      <c r="A60" s="307" t="s">
        <v>1040</v>
      </c>
      <c r="B60" s="308" t="s">
        <v>549</v>
      </c>
      <c r="C60" s="309">
        <v>0.0</v>
      </c>
      <c r="D60" s="310" t="s">
        <v>457</v>
      </c>
    </row>
    <row r="61">
      <c r="A61" s="307" t="s">
        <v>1041</v>
      </c>
      <c r="B61" s="308" t="s">
        <v>1019</v>
      </c>
      <c r="C61" s="309" t="s">
        <v>452</v>
      </c>
      <c r="D61" s="310" t="s">
        <v>459</v>
      </c>
    </row>
    <row r="62">
      <c r="A62" s="307" t="s">
        <v>1042</v>
      </c>
      <c r="B62" s="308" t="s">
        <v>508</v>
      </c>
      <c r="C62" s="309">
        <v>0.0</v>
      </c>
      <c r="D62" s="310" t="s">
        <v>457</v>
      </c>
    </row>
    <row r="63">
      <c r="A63" s="307" t="s">
        <v>1043</v>
      </c>
      <c r="B63" s="308" t="s">
        <v>457</v>
      </c>
      <c r="C63" s="309">
        <v>0.0</v>
      </c>
      <c r="D63" s="310">
        <v>0.0</v>
      </c>
    </row>
    <row r="64">
      <c r="A64" s="307" t="s">
        <v>1044</v>
      </c>
      <c r="B64" s="308" t="s">
        <v>457</v>
      </c>
      <c r="C64" s="309">
        <v>0.0</v>
      </c>
      <c r="D64" s="310" t="s">
        <v>452</v>
      </c>
    </row>
    <row r="65">
      <c r="A65" s="307" t="s">
        <v>1045</v>
      </c>
      <c r="B65" s="308" t="s">
        <v>1019</v>
      </c>
      <c r="C65" s="309">
        <v>0.0</v>
      </c>
      <c r="D65" s="310" t="s">
        <v>591</v>
      </c>
    </row>
    <row r="66">
      <c r="A66" s="307" t="s">
        <v>1046</v>
      </c>
      <c r="B66" s="308" t="s">
        <v>1023</v>
      </c>
      <c r="C66" s="309">
        <v>0.0</v>
      </c>
      <c r="D66" s="310">
        <v>0.0</v>
      </c>
    </row>
    <row r="67">
      <c r="A67" s="307" t="s">
        <v>1047</v>
      </c>
      <c r="B67" s="308" t="s">
        <v>497</v>
      </c>
      <c r="C67" s="306" t="s">
        <v>452</v>
      </c>
      <c r="D67" s="310" t="s">
        <v>463</v>
      </c>
    </row>
    <row r="68">
      <c r="A68" s="307" t="s">
        <v>1048</v>
      </c>
      <c r="B68" s="308" t="s">
        <v>960</v>
      </c>
      <c r="C68" s="309">
        <v>0.0</v>
      </c>
      <c r="D68" s="310" t="s">
        <v>483</v>
      </c>
    </row>
    <row r="69">
      <c r="A69" s="307" t="s">
        <v>1049</v>
      </c>
      <c r="B69" s="308" t="s">
        <v>602</v>
      </c>
      <c r="C69" s="306">
        <v>0.0</v>
      </c>
      <c r="D69" s="310" t="s">
        <v>459</v>
      </c>
    </row>
    <row r="70">
      <c r="A70" s="315" t="s">
        <v>1050</v>
      </c>
      <c r="B70" s="312" t="s">
        <v>547</v>
      </c>
      <c r="C70" s="312">
        <v>0.0</v>
      </c>
      <c r="D70" s="312" t="s">
        <v>457</v>
      </c>
    </row>
    <row r="71">
      <c r="A71" s="307" t="s">
        <v>1051</v>
      </c>
      <c r="B71" s="308" t="s">
        <v>960</v>
      </c>
      <c r="C71" s="306">
        <v>0.0</v>
      </c>
      <c r="D71" s="310" t="s">
        <v>459</v>
      </c>
    </row>
    <row r="72">
      <c r="A72" s="307" t="s">
        <v>1052</v>
      </c>
      <c r="B72" s="308" t="s">
        <v>1029</v>
      </c>
      <c r="C72" s="309">
        <v>0.0</v>
      </c>
      <c r="D72" s="310" t="s">
        <v>459</v>
      </c>
    </row>
    <row r="73">
      <c r="A73" s="307" t="s">
        <v>1053</v>
      </c>
      <c r="B73" s="308" t="s">
        <v>489</v>
      </c>
      <c r="C73" s="309">
        <v>0.0</v>
      </c>
      <c r="D73" s="310" t="s">
        <v>454</v>
      </c>
    </row>
    <row r="74">
      <c r="A74" s="307" t="s">
        <v>1054</v>
      </c>
      <c r="B74" s="308" t="s">
        <v>940</v>
      </c>
      <c r="C74" s="309">
        <v>0.0</v>
      </c>
      <c r="D74" s="310" t="s">
        <v>461</v>
      </c>
    </row>
    <row r="75">
      <c r="A75" s="307" t="s">
        <v>1055</v>
      </c>
      <c r="B75" s="308" t="s">
        <v>1029</v>
      </c>
      <c r="C75" s="309">
        <v>0.0</v>
      </c>
      <c r="D75" s="310" t="s">
        <v>459</v>
      </c>
    </row>
    <row r="76">
      <c r="A76" s="307" t="s">
        <v>1056</v>
      </c>
      <c r="B76" s="308" t="s">
        <v>1033</v>
      </c>
      <c r="C76" s="309">
        <v>0.0</v>
      </c>
      <c r="D76" s="310" t="s">
        <v>489</v>
      </c>
    </row>
    <row r="77">
      <c r="A77" s="307" t="s">
        <v>1057</v>
      </c>
      <c r="B77" s="308" t="s">
        <v>459</v>
      </c>
      <c r="C77" s="306">
        <v>0.0</v>
      </c>
      <c r="D77" s="310" t="s">
        <v>452</v>
      </c>
    </row>
    <row r="78">
      <c r="A78" s="311" t="s">
        <v>1058</v>
      </c>
      <c r="B78" s="312" t="s">
        <v>454</v>
      </c>
      <c r="C78" s="309">
        <v>0.0</v>
      </c>
      <c r="D78" s="310">
        <v>0.0</v>
      </c>
    </row>
    <row r="79">
      <c r="A79" s="316" t="s">
        <v>1059</v>
      </c>
      <c r="B79" s="312" t="s">
        <v>457</v>
      </c>
      <c r="C79" s="306">
        <v>0.0</v>
      </c>
      <c r="D79" s="310" t="s">
        <v>452</v>
      </c>
    </row>
    <row r="80">
      <c r="A80" s="307" t="s">
        <v>1060</v>
      </c>
      <c r="B80" s="308" t="s">
        <v>1001</v>
      </c>
      <c r="C80" s="306">
        <v>0.0</v>
      </c>
      <c r="D80" s="310" t="s">
        <v>483</v>
      </c>
    </row>
    <row r="81">
      <c r="A81" s="307" t="s">
        <v>1061</v>
      </c>
      <c r="B81" s="308" t="s">
        <v>463</v>
      </c>
      <c r="C81" s="306">
        <v>0.0</v>
      </c>
      <c r="D81" s="310" t="s">
        <v>452</v>
      </c>
    </row>
    <row r="82">
      <c r="A82" s="307" t="s">
        <v>1062</v>
      </c>
      <c r="B82" s="308" t="s">
        <v>463</v>
      </c>
      <c r="C82" s="309">
        <v>0.0</v>
      </c>
      <c r="D82" s="310" t="s">
        <v>452</v>
      </c>
    </row>
    <row r="83">
      <c r="A83" s="307" t="s">
        <v>1063</v>
      </c>
      <c r="B83" s="308" t="s">
        <v>505</v>
      </c>
      <c r="C83" s="309">
        <v>0.0</v>
      </c>
      <c r="D83" s="310" t="s">
        <v>457</v>
      </c>
    </row>
    <row r="84">
      <c r="A84" s="307" t="s">
        <v>1064</v>
      </c>
      <c r="B84" s="308" t="s">
        <v>1005</v>
      </c>
      <c r="C84" s="309">
        <v>0.0</v>
      </c>
      <c r="D84" s="310" t="s">
        <v>591</v>
      </c>
    </row>
    <row r="85">
      <c r="A85" s="307" t="s">
        <v>1065</v>
      </c>
      <c r="B85" s="308" t="s">
        <v>977</v>
      </c>
      <c r="C85" s="306">
        <v>0.0</v>
      </c>
      <c r="D85" s="310" t="s">
        <v>483</v>
      </c>
    </row>
    <row r="86">
      <c r="A86" s="311" t="s">
        <v>1066</v>
      </c>
      <c r="B86" s="312" t="s">
        <v>454</v>
      </c>
      <c r="C86" s="306" t="s">
        <v>452</v>
      </c>
      <c r="D86" s="310">
        <v>0.0</v>
      </c>
    </row>
    <row r="87">
      <c r="A87" s="311" t="s">
        <v>1067</v>
      </c>
      <c r="B87" s="312" t="s">
        <v>463</v>
      </c>
      <c r="C87" s="306">
        <v>0.0</v>
      </c>
      <c r="D87" s="310" t="s">
        <v>452</v>
      </c>
    </row>
    <row r="88">
      <c r="A88" s="307" t="s">
        <v>1068</v>
      </c>
      <c r="B88" s="308" t="s">
        <v>977</v>
      </c>
      <c r="C88" s="306">
        <v>0.0</v>
      </c>
      <c r="D88" s="310" t="s">
        <v>483</v>
      </c>
    </row>
    <row r="89">
      <c r="A89" s="317" t="s">
        <v>105</v>
      </c>
      <c r="B89" s="318" t="s">
        <v>1069</v>
      </c>
      <c r="C89" s="319" t="s">
        <v>454</v>
      </c>
      <c r="D89" s="320" t="s">
        <v>1070</v>
      </c>
    </row>
    <row r="90">
      <c r="A90" s="300" t="s">
        <v>1071</v>
      </c>
      <c r="B90" s="112"/>
      <c r="C90" s="112"/>
      <c r="D90" s="43"/>
    </row>
    <row r="91">
      <c r="A91" s="305" t="s">
        <v>1072</v>
      </c>
      <c r="B91" s="302" t="s">
        <v>1023</v>
      </c>
      <c r="C91" s="303">
        <v>0.0</v>
      </c>
      <c r="D91" s="304">
        <v>0.0</v>
      </c>
    </row>
    <row r="92">
      <c r="A92" s="305" t="s">
        <v>1073</v>
      </c>
      <c r="B92" s="302" t="s">
        <v>454</v>
      </c>
      <c r="C92" s="303">
        <v>0.0</v>
      </c>
      <c r="D92" s="304" t="s">
        <v>452</v>
      </c>
    </row>
    <row r="93">
      <c r="A93" s="301" t="s">
        <v>1074</v>
      </c>
      <c r="B93" s="321" t="s">
        <v>463</v>
      </c>
      <c r="C93" s="306" t="s">
        <v>452</v>
      </c>
      <c r="D93" s="322" t="s">
        <v>452</v>
      </c>
    </row>
    <row r="94">
      <c r="A94" s="305" t="s">
        <v>1075</v>
      </c>
      <c r="B94" s="321" t="s">
        <v>463</v>
      </c>
      <c r="C94" s="306">
        <v>0.0</v>
      </c>
      <c r="D94" s="322" t="s">
        <v>452</v>
      </c>
    </row>
    <row r="95">
      <c r="A95" s="305" t="s">
        <v>1076</v>
      </c>
      <c r="B95" s="321" t="s">
        <v>454</v>
      </c>
      <c r="C95" s="306">
        <v>0.0</v>
      </c>
      <c r="D95" s="322" t="s">
        <v>452</v>
      </c>
    </row>
    <row r="96">
      <c r="A96" s="305" t="s">
        <v>1077</v>
      </c>
      <c r="B96" s="302" t="s">
        <v>454</v>
      </c>
      <c r="C96" s="309">
        <v>0.0</v>
      </c>
      <c r="D96" s="304">
        <v>0.0</v>
      </c>
    </row>
    <row r="97">
      <c r="A97" s="305" t="s">
        <v>1078</v>
      </c>
      <c r="B97" s="302" t="s">
        <v>547</v>
      </c>
      <c r="C97" s="303">
        <v>0.0</v>
      </c>
      <c r="D97" s="304" t="s">
        <v>457</v>
      </c>
    </row>
    <row r="98">
      <c r="A98" s="305" t="s">
        <v>1079</v>
      </c>
      <c r="B98" s="302" t="s">
        <v>463</v>
      </c>
      <c r="C98" s="309">
        <v>0.0</v>
      </c>
      <c r="D98" s="304" t="s">
        <v>452</v>
      </c>
    </row>
    <row r="99">
      <c r="A99" s="301" t="s">
        <v>1080</v>
      </c>
      <c r="B99" s="321" t="s">
        <v>497</v>
      </c>
      <c r="C99" s="306">
        <v>0.0</v>
      </c>
      <c r="D99" s="322" t="s">
        <v>457</v>
      </c>
    </row>
    <row r="100">
      <c r="A100" s="301" t="s">
        <v>1081</v>
      </c>
      <c r="B100" s="321" t="s">
        <v>1023</v>
      </c>
      <c r="C100" s="306">
        <v>0.0</v>
      </c>
      <c r="D100" s="322">
        <v>0.0</v>
      </c>
    </row>
    <row r="101">
      <c r="A101" s="301" t="s">
        <v>1082</v>
      </c>
      <c r="B101" s="321" t="s">
        <v>463</v>
      </c>
      <c r="C101" s="306">
        <v>0.0</v>
      </c>
      <c r="D101" s="322" t="s">
        <v>452</v>
      </c>
    </row>
    <row r="102">
      <c r="A102" s="301" t="s">
        <v>1083</v>
      </c>
      <c r="B102" s="321" t="s">
        <v>459</v>
      </c>
      <c r="C102" s="306">
        <v>0.0</v>
      </c>
      <c r="D102" s="322" t="s">
        <v>452</v>
      </c>
    </row>
    <row r="103">
      <c r="A103" s="307" t="s">
        <v>1084</v>
      </c>
      <c r="B103" s="308" t="s">
        <v>454</v>
      </c>
      <c r="C103" s="309">
        <v>0.0</v>
      </c>
      <c r="D103" s="310">
        <v>0.0</v>
      </c>
    </row>
    <row r="104">
      <c r="A104" s="311" t="s">
        <v>1085</v>
      </c>
      <c r="B104" s="312" t="s">
        <v>461</v>
      </c>
      <c r="C104" s="306">
        <v>0.0</v>
      </c>
      <c r="D104" s="310" t="s">
        <v>457</v>
      </c>
    </row>
    <row r="105">
      <c r="A105" s="311" t="s">
        <v>1086</v>
      </c>
      <c r="B105" s="312" t="s">
        <v>489</v>
      </c>
      <c r="C105" s="306">
        <v>0.0</v>
      </c>
      <c r="D105" s="314" t="s">
        <v>454</v>
      </c>
    </row>
    <row r="106">
      <c r="A106" s="307" t="s">
        <v>1087</v>
      </c>
      <c r="B106" s="308" t="s">
        <v>463</v>
      </c>
      <c r="C106" s="323">
        <v>0.0</v>
      </c>
      <c r="D106" s="310" t="s">
        <v>452</v>
      </c>
    </row>
    <row r="107">
      <c r="A107" s="307" t="s">
        <v>1088</v>
      </c>
      <c r="B107" s="308" t="s">
        <v>454</v>
      </c>
      <c r="C107" s="323">
        <v>0.0</v>
      </c>
      <c r="D107" s="310" t="s">
        <v>452</v>
      </c>
    </row>
    <row r="108">
      <c r="A108" s="307" t="s">
        <v>1089</v>
      </c>
      <c r="B108" s="308" t="s">
        <v>463</v>
      </c>
      <c r="C108" s="306">
        <v>0.0</v>
      </c>
      <c r="D108" s="310" t="s">
        <v>452</v>
      </c>
    </row>
    <row r="109">
      <c r="A109" s="307" t="s">
        <v>1090</v>
      </c>
      <c r="B109" s="308" t="s">
        <v>483</v>
      </c>
      <c r="C109" s="323">
        <v>0.0</v>
      </c>
      <c r="D109" s="310" t="s">
        <v>454</v>
      </c>
    </row>
    <row r="110">
      <c r="A110" s="307" t="s">
        <v>1091</v>
      </c>
      <c r="B110" s="308" t="s">
        <v>549</v>
      </c>
      <c r="C110" s="309">
        <v>0.0</v>
      </c>
      <c r="D110" s="324" t="s">
        <v>457</v>
      </c>
    </row>
    <row r="111">
      <c r="A111" s="307" t="s">
        <v>1092</v>
      </c>
      <c r="B111" s="308" t="s">
        <v>1023</v>
      </c>
      <c r="C111" s="309">
        <v>0.0</v>
      </c>
      <c r="D111" s="324">
        <v>0.0</v>
      </c>
    </row>
    <row r="112">
      <c r="A112" s="307" t="s">
        <v>1093</v>
      </c>
      <c r="B112" s="308" t="s">
        <v>949</v>
      </c>
      <c r="C112" s="306" t="s">
        <v>452</v>
      </c>
      <c r="D112" s="324" t="s">
        <v>454</v>
      </c>
    </row>
    <row r="113">
      <c r="A113" s="311" t="s">
        <v>1094</v>
      </c>
      <c r="B113" s="312" t="s">
        <v>454</v>
      </c>
      <c r="C113" s="309">
        <v>0.0</v>
      </c>
      <c r="D113" s="310">
        <v>0.0</v>
      </c>
    </row>
    <row r="114">
      <c r="A114" s="311" t="s">
        <v>1095</v>
      </c>
      <c r="B114" s="312" t="s">
        <v>454</v>
      </c>
      <c r="C114" s="309">
        <v>0.0</v>
      </c>
      <c r="D114" s="310" t="s">
        <v>452</v>
      </c>
    </row>
    <row r="115">
      <c r="A115" s="316" t="s">
        <v>1096</v>
      </c>
      <c r="B115" s="312" t="s">
        <v>1023</v>
      </c>
      <c r="C115" s="309">
        <v>0.0</v>
      </c>
      <c r="D115" s="310">
        <v>0.0</v>
      </c>
    </row>
    <row r="116">
      <c r="A116" s="316" t="s">
        <v>1097</v>
      </c>
      <c r="B116" s="308" t="s">
        <v>1031</v>
      </c>
      <c r="C116" s="323">
        <v>0.0</v>
      </c>
      <c r="D116" s="310" t="s">
        <v>463</v>
      </c>
    </row>
    <row r="117">
      <c r="A117" s="311" t="s">
        <v>1098</v>
      </c>
      <c r="B117" s="312" t="s">
        <v>459</v>
      </c>
      <c r="C117" s="309" t="s">
        <v>452</v>
      </c>
      <c r="D117" s="310" t="s">
        <v>452</v>
      </c>
    </row>
    <row r="118">
      <c r="A118" s="307" t="s">
        <v>1099</v>
      </c>
      <c r="B118" s="308" t="s">
        <v>457</v>
      </c>
      <c r="C118" s="323">
        <v>0.0</v>
      </c>
      <c r="D118" s="310">
        <v>0.0</v>
      </c>
    </row>
    <row r="119">
      <c r="A119" s="307" t="s">
        <v>1100</v>
      </c>
      <c r="B119" s="308" t="s">
        <v>461</v>
      </c>
      <c r="C119" s="306">
        <v>0.0</v>
      </c>
      <c r="D119" s="310" t="s">
        <v>454</v>
      </c>
    </row>
    <row r="120">
      <c r="A120" s="311" t="s">
        <v>1101</v>
      </c>
      <c r="B120" s="308" t="s">
        <v>454</v>
      </c>
      <c r="C120" s="306">
        <v>0.0</v>
      </c>
      <c r="D120" s="310">
        <v>0.0</v>
      </c>
    </row>
    <row r="121">
      <c r="A121" s="307" t="s">
        <v>1102</v>
      </c>
      <c r="B121" s="308" t="s">
        <v>483</v>
      </c>
      <c r="C121" s="306">
        <v>0.0</v>
      </c>
      <c r="D121" s="310" t="s">
        <v>452</v>
      </c>
    </row>
    <row r="122">
      <c r="A122" s="307" t="s">
        <v>1103</v>
      </c>
      <c r="B122" s="308" t="s">
        <v>457</v>
      </c>
      <c r="C122" s="323">
        <v>0.0</v>
      </c>
      <c r="D122" s="310" t="s">
        <v>452</v>
      </c>
    </row>
    <row r="123">
      <c r="A123" s="307" t="s">
        <v>1104</v>
      </c>
      <c r="B123" s="308" t="s">
        <v>1023</v>
      </c>
      <c r="C123" s="306">
        <v>0.0</v>
      </c>
      <c r="D123" s="310">
        <v>0.0</v>
      </c>
    </row>
    <row r="124">
      <c r="A124" s="307" t="s">
        <v>1105</v>
      </c>
      <c r="B124" s="308" t="s">
        <v>457</v>
      </c>
      <c r="C124" s="306">
        <v>0.0</v>
      </c>
      <c r="D124" s="310" t="s">
        <v>452</v>
      </c>
    </row>
    <row r="125">
      <c r="A125" s="311" t="s">
        <v>1106</v>
      </c>
      <c r="B125" s="312" t="s">
        <v>547</v>
      </c>
      <c r="C125" s="306">
        <v>0.0</v>
      </c>
      <c r="D125" s="310" t="s">
        <v>454</v>
      </c>
    </row>
    <row r="126">
      <c r="A126" s="307" t="s">
        <v>1107</v>
      </c>
      <c r="B126" s="308" t="s">
        <v>547</v>
      </c>
      <c r="C126" s="306">
        <v>0.0</v>
      </c>
      <c r="D126" s="310" t="s">
        <v>452</v>
      </c>
    </row>
    <row r="127">
      <c r="A127" s="311" t="s">
        <v>1108</v>
      </c>
      <c r="B127" s="312" t="s">
        <v>454</v>
      </c>
      <c r="C127" s="309">
        <v>0.0</v>
      </c>
      <c r="D127" s="310" t="s">
        <v>452</v>
      </c>
    </row>
    <row r="128">
      <c r="A128" s="311" t="s">
        <v>1109</v>
      </c>
      <c r="B128" s="312" t="s">
        <v>549</v>
      </c>
      <c r="C128" s="309">
        <v>0.0</v>
      </c>
      <c r="D128" s="310" t="s">
        <v>457</v>
      </c>
    </row>
    <row r="129">
      <c r="A129" s="311" t="s">
        <v>1110</v>
      </c>
      <c r="B129" s="312" t="s">
        <v>547</v>
      </c>
      <c r="C129" s="309">
        <v>0.0</v>
      </c>
      <c r="D129" s="310" t="s">
        <v>452</v>
      </c>
    </row>
    <row r="130">
      <c r="A130" s="307" t="s">
        <v>1111</v>
      </c>
      <c r="B130" s="308" t="s">
        <v>1023</v>
      </c>
      <c r="C130" s="323">
        <v>0.0</v>
      </c>
      <c r="D130" s="310">
        <v>0.0</v>
      </c>
    </row>
    <row r="131">
      <c r="A131" s="311" t="s">
        <v>1112</v>
      </c>
      <c r="B131" s="312" t="s">
        <v>1023</v>
      </c>
      <c r="C131" s="309">
        <v>0.0</v>
      </c>
      <c r="D131" s="310">
        <v>0.0</v>
      </c>
    </row>
    <row r="132">
      <c r="A132" s="307" t="s">
        <v>1113</v>
      </c>
      <c r="B132" s="312" t="s">
        <v>1023</v>
      </c>
      <c r="C132" s="309">
        <v>0.0</v>
      </c>
      <c r="D132" s="310">
        <v>0.0</v>
      </c>
    </row>
    <row r="133">
      <c r="A133" s="307" t="s">
        <v>1114</v>
      </c>
      <c r="B133" s="308" t="s">
        <v>457</v>
      </c>
      <c r="C133" s="323">
        <v>0.0</v>
      </c>
      <c r="D133" s="310" t="s">
        <v>452</v>
      </c>
    </row>
    <row r="134">
      <c r="A134" s="311" t="s">
        <v>1115</v>
      </c>
      <c r="B134" s="312" t="s">
        <v>547</v>
      </c>
      <c r="C134" s="309">
        <v>0.0</v>
      </c>
      <c r="D134" s="310" t="s">
        <v>457</v>
      </c>
    </row>
    <row r="135">
      <c r="A135" s="316" t="s">
        <v>1116</v>
      </c>
      <c r="B135" s="312" t="s">
        <v>463</v>
      </c>
      <c r="C135" s="306">
        <v>0.0</v>
      </c>
      <c r="D135" s="310" t="s">
        <v>452</v>
      </c>
    </row>
    <row r="136">
      <c r="A136" s="316" t="s">
        <v>1117</v>
      </c>
      <c r="B136" s="308" t="s">
        <v>483</v>
      </c>
      <c r="C136" s="323">
        <v>0.0</v>
      </c>
      <c r="D136" s="310" t="s">
        <v>457</v>
      </c>
    </row>
    <row r="137">
      <c r="A137" s="316" t="s">
        <v>1118</v>
      </c>
      <c r="B137" s="308" t="s">
        <v>459</v>
      </c>
      <c r="C137" s="323">
        <v>0.0</v>
      </c>
      <c r="D137" s="310" t="s">
        <v>454</v>
      </c>
    </row>
    <row r="138">
      <c r="A138" s="307" t="s">
        <v>1119</v>
      </c>
      <c r="B138" s="308" t="s">
        <v>457</v>
      </c>
      <c r="C138" s="309" t="s">
        <v>452</v>
      </c>
      <c r="D138" s="310">
        <v>0.0</v>
      </c>
    </row>
    <row r="139">
      <c r="A139" s="325" t="s">
        <v>1120</v>
      </c>
      <c r="B139" s="308" t="s">
        <v>459</v>
      </c>
      <c r="C139" s="306">
        <v>0.0</v>
      </c>
      <c r="D139" s="310" t="s">
        <v>452</v>
      </c>
    </row>
    <row r="140">
      <c r="A140" s="317" t="s">
        <v>105</v>
      </c>
      <c r="B140" s="318" t="s">
        <v>1121</v>
      </c>
      <c r="C140" s="319" t="s">
        <v>454</v>
      </c>
      <c r="D140" s="320" t="s">
        <v>959</v>
      </c>
    </row>
    <row r="141">
      <c r="A141" s="326" t="s">
        <v>1122</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- 199 )"),44085.0)</f>
        <v>44085</v>
      </c>
      <c r="B1" s="329">
        <f>IFERROR(__xludf.DUMMYFUNCTION("""COMPUTED_VALUE"""),120.0)</f>
        <v>120</v>
      </c>
      <c r="C1" s="329">
        <f>IFERROR(__xludf.DUMMYFUNCTION("""COMPUTED_VALUE"""),134.0)</f>
        <v>134</v>
      </c>
      <c r="D1" s="329">
        <f>IFERROR(__xludf.DUMMYFUNCTION("""COMPUTED_VALUE"""),32573.0)</f>
        <v>32573</v>
      </c>
      <c r="E1" s="329">
        <f>IFERROR(__xludf.DUMMYFUNCTION("""COMPUTED_VALUE"""),9455.0)</f>
        <v>9455</v>
      </c>
      <c r="F1" s="258">
        <f>IFERROR(__xludf.DUMMYFUNCTION("""COMPUTED_VALUE"""),592134.0)</f>
        <v>592134</v>
      </c>
      <c r="G1" s="258">
        <f>IFERROR(__xludf.DUMMYFUNCTION("""COMPUTED_VALUE"""),9575.0)</f>
        <v>9575</v>
      </c>
      <c r="H1" s="258">
        <f>IFERROR(__xludf.DUMMYFUNCTION("""COMPUTED_VALUE"""),624707.0)</f>
        <v>624707</v>
      </c>
      <c r="I1" s="329">
        <f>IFERROR(__xludf.DUMMYFUNCTION("""COMPUTED_VALUE"""),103.0)</f>
        <v>103</v>
      </c>
      <c r="J1" s="329">
        <f>IFERROR(__xludf.DUMMYFUNCTION("""COMPUTED_VALUE"""),107.0)</f>
        <v>107</v>
      </c>
      <c r="K1" s="329">
        <f>IFERROR(__xludf.DUMMYFUNCTION("""COMPUTED_VALUE"""),22752.0)</f>
        <v>22752</v>
      </c>
      <c r="L1" s="329">
        <f>IFERROR(__xludf.DUMMYFUNCTION("""COMPUTED_VALUE"""),1791.0)</f>
        <v>1791</v>
      </c>
      <c r="M1" s="329">
        <f>IFERROR(__xludf.DUMMYFUNCTION("""COMPUTED_VALUE"""),251209.0)</f>
        <v>251209</v>
      </c>
      <c r="N1" s="329">
        <f>IFERROR(__xludf.DUMMYFUNCTION("""COMPUTED_VALUE"""),273961.0)</f>
        <v>273961</v>
      </c>
      <c r="O1" s="329">
        <f>IFERROR(__xludf.DUMMYFUNCTION("""COMPUTED_VALUE"""),9.0)</f>
        <v>9</v>
      </c>
      <c r="P1" s="329">
        <f>IFERROR(__xludf.DUMMYFUNCTION("""COMPUTED_VALUE"""),2577.0)</f>
        <v>2577</v>
      </c>
      <c r="Q1" s="329">
        <f>IFERROR(__xludf.DUMMYFUNCTION("""COMPUTED_VALUE"""),10.0)</f>
        <v>10</v>
      </c>
      <c r="R1" s="329">
        <f>IFERROR(__xludf.DUMMYFUNCTION("""COMPUTED_VALUE"""),2162.0)</f>
        <v>2162</v>
      </c>
      <c r="S1" s="329">
        <f>IFERROR(__xludf.DUMMYFUNCTION("""COMPUTED_VALUE"""),0.0)</f>
        <v>0</v>
      </c>
      <c r="T1" s="329">
        <f>IFERROR(__xludf.DUMMYFUNCTION("""COMPUTED_VALUE"""),341.0)</f>
        <v>341</v>
      </c>
      <c r="U1" s="329">
        <f>IFERROR(__xludf.DUMMYFUNCTION("""COMPUTED_VALUE"""),74.0)</f>
        <v>74</v>
      </c>
      <c r="V1" s="329">
        <f>IFERROR(__xludf.DUMMYFUNCTION("""COMPUTED_VALUE"""),74.0)</f>
        <v>74</v>
      </c>
      <c r="W1" s="329">
        <f>IFERROR(__xludf.DUMMYFUNCTION("""COMPUTED_VALUE"""),10.0)</f>
        <v>10</v>
      </c>
      <c r="X1" s="329">
        <f>IFERROR(__xludf.DUMMYFUNCTION("""COMPUTED_VALUE"""),5.0)</f>
        <v>5</v>
      </c>
      <c r="Y1" s="329">
        <f>IFERROR(__xludf.DUMMYFUNCTION("""COMPUTED_VALUE"""),0.0)</f>
        <v>0</v>
      </c>
      <c r="Z1" s="329">
        <f>IFERROR(__xludf.DUMMYFUNCTION("""COMPUTED_VALUE"""),1093.0)</f>
        <v>1093</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IFERROR(__xludf.DUMMYFUNCTION("""COMPUTED_VALUE"""),44086.0)</f>
        <v>44086</v>
      </c>
      <c r="B2" s="329">
        <f>IFERROR(__xludf.DUMMYFUNCTION("""COMPUTED_VALUE"""),110.0)</f>
        <v>110</v>
      </c>
      <c r="C2" s="329">
        <f>IFERROR(__xludf.DUMMYFUNCTION("""COMPUTED_VALUE"""),131.0)</f>
        <v>131</v>
      </c>
      <c r="D2" s="329">
        <f>IFERROR(__xludf.DUMMYFUNCTION("""COMPUTED_VALUE"""),32683.0)</f>
        <v>32683</v>
      </c>
      <c r="E2" s="329">
        <f>IFERROR(__xludf.DUMMYFUNCTION("""COMPUTED_VALUE"""),6158.0)</f>
        <v>6158</v>
      </c>
      <c r="F2" s="258">
        <f>IFERROR(__xludf.DUMMYFUNCTION("""COMPUTED_VALUE"""),598292.0)</f>
        <v>598292</v>
      </c>
      <c r="G2" s="258">
        <f>IFERROR(__xludf.DUMMYFUNCTION("""COMPUTED_VALUE"""),6268.0)</f>
        <v>6268</v>
      </c>
      <c r="H2" s="258">
        <f>IFERROR(__xludf.DUMMYFUNCTION("""COMPUTED_VALUE"""),630975.0)</f>
        <v>630975</v>
      </c>
      <c r="I2" s="329">
        <f>IFERROR(__xludf.DUMMYFUNCTION("""COMPUTED_VALUE"""),99.0)</f>
        <v>99</v>
      </c>
      <c r="J2" s="329">
        <f>IFERROR(__xludf.DUMMYFUNCTION("""COMPUTED_VALUE"""),105.0)</f>
        <v>105</v>
      </c>
      <c r="K2" s="329">
        <f>IFERROR(__xludf.DUMMYFUNCTION("""COMPUTED_VALUE"""),22851.0)</f>
        <v>22851</v>
      </c>
      <c r="L2" s="329">
        <f>IFERROR(__xludf.DUMMYFUNCTION("""COMPUTED_VALUE"""),1361.0)</f>
        <v>1361</v>
      </c>
      <c r="M2" s="329">
        <f>IFERROR(__xludf.DUMMYFUNCTION("""COMPUTED_VALUE"""),252570.0)</f>
        <v>252570</v>
      </c>
      <c r="N2" s="329">
        <f>IFERROR(__xludf.DUMMYFUNCTION("""COMPUTED_VALUE"""),275421.0)</f>
        <v>275421</v>
      </c>
      <c r="O2" s="329">
        <f>IFERROR(__xludf.DUMMYFUNCTION("""COMPUTED_VALUE"""),8.0)</f>
        <v>8</v>
      </c>
      <c r="P2" s="329">
        <f>IFERROR(__xludf.DUMMYFUNCTION("""COMPUTED_VALUE"""),2585.0)</f>
        <v>2585</v>
      </c>
      <c r="Q2" s="329">
        <f>IFERROR(__xludf.DUMMYFUNCTION("""COMPUTED_VALUE"""),5.0)</f>
        <v>5</v>
      </c>
      <c r="R2" s="329">
        <f>IFERROR(__xludf.DUMMYFUNCTION("""COMPUTED_VALUE"""),2167.0)</f>
        <v>2167</v>
      </c>
      <c r="S2" s="329">
        <f>IFERROR(__xludf.DUMMYFUNCTION("""COMPUTED_VALUE"""),2.0)</f>
        <v>2</v>
      </c>
      <c r="T2" s="329">
        <f>IFERROR(__xludf.DUMMYFUNCTION("""COMPUTED_VALUE"""),343.0)</f>
        <v>343</v>
      </c>
      <c r="U2" s="329">
        <f>IFERROR(__xludf.DUMMYFUNCTION("""COMPUTED_VALUE"""),75.0)</f>
        <v>75</v>
      </c>
      <c r="V2" s="329">
        <f>IFERROR(__xludf.DUMMYFUNCTION("""COMPUTED_VALUE"""),75.0)</f>
        <v>75</v>
      </c>
      <c r="W2" s="329">
        <f>IFERROR(__xludf.DUMMYFUNCTION("""COMPUTED_VALUE"""),9.0)</f>
        <v>9</v>
      </c>
      <c r="X2" s="329">
        <f>IFERROR(__xludf.DUMMYFUNCTION("""COMPUTED_VALUE"""),5.0)</f>
        <v>5</v>
      </c>
      <c r="Y2" s="329">
        <f>IFERROR(__xludf.DUMMYFUNCTION("""COMPUTED_VALUE"""),3.0)</f>
        <v>3</v>
      </c>
      <c r="Z2" s="329">
        <f>IFERROR(__xludf.DUMMYFUNCTION("""COMPUTED_VALUE"""),1096.0)</f>
        <v>1096</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IFERROR(__xludf.DUMMYFUNCTION("""COMPUTED_VALUE"""),44087.0)</f>
        <v>44087</v>
      </c>
      <c r="B3" s="329">
        <f>IFERROR(__xludf.DUMMYFUNCTION("""COMPUTED_VALUE"""),58.0)</f>
        <v>58</v>
      </c>
      <c r="C3" s="329">
        <f>IFERROR(__xludf.DUMMYFUNCTION("""COMPUTED_VALUE"""),96.0)</f>
        <v>96</v>
      </c>
      <c r="D3" s="329">
        <f>IFERROR(__xludf.DUMMYFUNCTION("""COMPUTED_VALUE"""),32741.0)</f>
        <v>32741</v>
      </c>
      <c r="E3" s="329">
        <f>IFERROR(__xludf.DUMMYFUNCTION("""COMPUTED_VALUE"""),2717.0)</f>
        <v>2717</v>
      </c>
      <c r="F3" s="258">
        <f>IFERROR(__xludf.DUMMYFUNCTION("""COMPUTED_VALUE"""),601009.0)</f>
        <v>601009</v>
      </c>
      <c r="G3" s="258">
        <f>IFERROR(__xludf.DUMMYFUNCTION("""COMPUTED_VALUE"""),2775.0)</f>
        <v>2775</v>
      </c>
      <c r="H3" s="258">
        <f>IFERROR(__xludf.DUMMYFUNCTION("""COMPUTED_VALUE"""),633750.0)</f>
        <v>633750</v>
      </c>
      <c r="I3" s="329">
        <f>IFERROR(__xludf.DUMMYFUNCTION("""COMPUTED_VALUE"""),56.0)</f>
        <v>56</v>
      </c>
      <c r="J3" s="329">
        <f>IFERROR(__xludf.DUMMYFUNCTION("""COMPUTED_VALUE"""),86.0)</f>
        <v>86</v>
      </c>
      <c r="K3" s="329">
        <f>IFERROR(__xludf.DUMMYFUNCTION("""COMPUTED_VALUE"""),22907.0)</f>
        <v>22907</v>
      </c>
      <c r="L3" s="329">
        <f>IFERROR(__xludf.DUMMYFUNCTION("""COMPUTED_VALUE"""),799.0)</f>
        <v>799</v>
      </c>
      <c r="M3" s="329">
        <f>IFERROR(__xludf.DUMMYFUNCTION("""COMPUTED_VALUE"""),253369.0)</f>
        <v>253369</v>
      </c>
      <c r="N3" s="329">
        <f>IFERROR(__xludf.DUMMYFUNCTION("""COMPUTED_VALUE"""),276276.0)</f>
        <v>276276</v>
      </c>
      <c r="O3" s="329">
        <f>IFERROR(__xludf.DUMMYFUNCTION("""COMPUTED_VALUE"""),4.0)</f>
        <v>4</v>
      </c>
      <c r="P3" s="329">
        <f>IFERROR(__xludf.DUMMYFUNCTION("""COMPUTED_VALUE"""),2589.0)</f>
        <v>2589</v>
      </c>
      <c r="Q3" s="329">
        <f>IFERROR(__xludf.DUMMYFUNCTION("""COMPUTED_VALUE"""),3.0)</f>
        <v>3</v>
      </c>
      <c r="R3" s="329">
        <f>IFERROR(__xludf.DUMMYFUNCTION("""COMPUTED_VALUE"""),2170.0)</f>
        <v>2170</v>
      </c>
      <c r="S3" s="329">
        <f>IFERROR(__xludf.DUMMYFUNCTION("""COMPUTED_VALUE"""),0.0)</f>
        <v>0</v>
      </c>
      <c r="T3" s="329">
        <f>IFERROR(__xludf.DUMMYFUNCTION("""COMPUTED_VALUE"""),343.0)</f>
        <v>343</v>
      </c>
      <c r="U3" s="329">
        <f>IFERROR(__xludf.DUMMYFUNCTION("""COMPUTED_VALUE"""),76.0)</f>
        <v>76</v>
      </c>
      <c r="V3" s="329">
        <f>IFERROR(__xludf.DUMMYFUNCTION("""COMPUTED_VALUE"""),75.0)</f>
        <v>75</v>
      </c>
      <c r="W3" s="329">
        <f>IFERROR(__xludf.DUMMYFUNCTION("""COMPUTED_VALUE"""),10.0)</f>
        <v>10</v>
      </c>
      <c r="X3" s="329">
        <f>IFERROR(__xludf.DUMMYFUNCTION("""COMPUTED_VALUE"""),5.0)</f>
        <v>5</v>
      </c>
      <c r="Y3" s="329">
        <f>IFERROR(__xludf.DUMMYFUNCTION("""COMPUTED_VALUE"""),0.0)</f>
        <v>0</v>
      </c>
      <c r="Z3" s="329">
        <f>IFERROR(__xludf.DUMMYFUNCTION("""COMPUTED_VALUE"""),1096.0)</f>
        <v>1096</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IFERROR(__xludf.DUMMYFUNCTION("""COMPUTED_VALUE"""),44088.0)</f>
        <v>44088</v>
      </c>
      <c r="B4" s="329">
        <f>IFERROR(__xludf.DUMMYFUNCTION("""COMPUTED_VALUE"""),104.0)</f>
        <v>104</v>
      </c>
      <c r="C4" s="329">
        <f>IFERROR(__xludf.DUMMYFUNCTION("""COMPUTED_VALUE"""),91.0)</f>
        <v>91</v>
      </c>
      <c r="D4" s="329">
        <f>IFERROR(__xludf.DUMMYFUNCTION("""COMPUTED_VALUE"""),32845.0)</f>
        <v>32845</v>
      </c>
      <c r="E4" s="329">
        <f>IFERROR(__xludf.DUMMYFUNCTION("""COMPUTED_VALUE"""),6434.0)</f>
        <v>6434</v>
      </c>
      <c r="F4" s="258">
        <f>IFERROR(__xludf.DUMMYFUNCTION("""COMPUTED_VALUE"""),607443.0)</f>
        <v>607443</v>
      </c>
      <c r="G4" s="258">
        <f>IFERROR(__xludf.DUMMYFUNCTION("""COMPUTED_VALUE"""),6538.0)</f>
        <v>6538</v>
      </c>
      <c r="H4" s="258">
        <f>IFERROR(__xludf.DUMMYFUNCTION("""COMPUTED_VALUE"""),640288.0)</f>
        <v>640288</v>
      </c>
      <c r="I4" s="329">
        <f>IFERROR(__xludf.DUMMYFUNCTION("""COMPUTED_VALUE"""),93.0)</f>
        <v>93</v>
      </c>
      <c r="J4" s="329">
        <f>IFERROR(__xludf.DUMMYFUNCTION("""COMPUTED_VALUE"""),83.0)</f>
        <v>83</v>
      </c>
      <c r="K4" s="329">
        <f>IFERROR(__xludf.DUMMYFUNCTION("""COMPUTED_VALUE"""),23000.0)</f>
        <v>23000</v>
      </c>
      <c r="L4" s="329">
        <f>IFERROR(__xludf.DUMMYFUNCTION("""COMPUTED_VALUE"""),1564.0)</f>
        <v>1564</v>
      </c>
      <c r="M4" s="329">
        <f>IFERROR(__xludf.DUMMYFUNCTION("""COMPUTED_VALUE"""),254933.0)</f>
        <v>254933</v>
      </c>
      <c r="N4" s="329">
        <f>IFERROR(__xludf.DUMMYFUNCTION("""COMPUTED_VALUE"""),277933.0)</f>
        <v>277933</v>
      </c>
      <c r="O4" s="329">
        <f>IFERROR(__xludf.DUMMYFUNCTION("""COMPUTED_VALUE"""),6.0)</f>
        <v>6</v>
      </c>
      <c r="P4" s="329">
        <f>IFERROR(__xludf.DUMMYFUNCTION("""COMPUTED_VALUE"""),2595.0)</f>
        <v>2595</v>
      </c>
      <c r="Q4" s="329">
        <f>IFERROR(__xludf.DUMMYFUNCTION("""COMPUTED_VALUE"""),3.0)</f>
        <v>3</v>
      </c>
      <c r="R4" s="329">
        <f>IFERROR(__xludf.DUMMYFUNCTION("""COMPUTED_VALUE"""),2173.0)</f>
        <v>2173</v>
      </c>
      <c r="S4" s="329">
        <f>IFERROR(__xludf.DUMMYFUNCTION("""COMPUTED_VALUE"""),2.0)</f>
        <v>2</v>
      </c>
      <c r="T4" s="329">
        <f>IFERROR(__xludf.DUMMYFUNCTION("""COMPUTED_VALUE"""),345.0)</f>
        <v>345</v>
      </c>
      <c r="U4" s="329">
        <f>IFERROR(__xludf.DUMMYFUNCTION("""COMPUTED_VALUE"""),77.0)</f>
        <v>77</v>
      </c>
      <c r="V4" s="329">
        <f>IFERROR(__xludf.DUMMYFUNCTION("""COMPUTED_VALUE"""),76.0)</f>
        <v>76</v>
      </c>
      <c r="W4" s="329">
        <f>IFERROR(__xludf.DUMMYFUNCTION("""COMPUTED_VALUE"""),10.0)</f>
        <v>10</v>
      </c>
      <c r="X4" s="329">
        <f>IFERROR(__xludf.DUMMYFUNCTION("""COMPUTED_VALUE"""),5.0)</f>
        <v>5</v>
      </c>
      <c r="Y4" s="329">
        <f>IFERROR(__xludf.DUMMYFUNCTION("""COMPUTED_VALUE"""),2.0)</f>
        <v>2</v>
      </c>
      <c r="Z4" s="329">
        <f>IFERROR(__xludf.DUMMYFUNCTION("""COMPUTED_VALUE"""),1098.0)</f>
        <v>1098</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IFERROR(__xludf.DUMMYFUNCTION("""COMPUTED_VALUE"""),44089.0)</f>
        <v>44089</v>
      </c>
      <c r="B5" s="329">
        <f>IFERROR(__xludf.DUMMYFUNCTION("""COMPUTED_VALUE"""),122.0)</f>
        <v>122</v>
      </c>
      <c r="C5" s="329">
        <f>IFERROR(__xludf.DUMMYFUNCTION("""COMPUTED_VALUE"""),95.0)</f>
        <v>95</v>
      </c>
      <c r="D5" s="329">
        <f>IFERROR(__xludf.DUMMYFUNCTION("""COMPUTED_VALUE"""),32967.0)</f>
        <v>32967</v>
      </c>
      <c r="E5" s="329">
        <f>IFERROR(__xludf.DUMMYFUNCTION("""COMPUTED_VALUE"""),8456.0)</f>
        <v>8456</v>
      </c>
      <c r="F5" s="258">
        <f>IFERROR(__xludf.DUMMYFUNCTION("""COMPUTED_VALUE"""),615899.0)</f>
        <v>615899</v>
      </c>
      <c r="G5" s="258">
        <f>IFERROR(__xludf.DUMMYFUNCTION("""COMPUTED_VALUE"""),8578.0)</f>
        <v>8578</v>
      </c>
      <c r="H5" s="258">
        <f>IFERROR(__xludf.DUMMYFUNCTION("""COMPUTED_VALUE"""),648866.0)</f>
        <v>648866</v>
      </c>
      <c r="I5" s="329">
        <f>IFERROR(__xludf.DUMMYFUNCTION("""COMPUTED_VALUE"""),124.0)</f>
        <v>124</v>
      </c>
      <c r="J5" s="329">
        <f>IFERROR(__xludf.DUMMYFUNCTION("""COMPUTED_VALUE"""),91.0)</f>
        <v>91</v>
      </c>
      <c r="K5" s="329">
        <f>IFERROR(__xludf.DUMMYFUNCTION("""COMPUTED_VALUE"""),23124.0)</f>
        <v>23124</v>
      </c>
      <c r="L5" s="329">
        <f>IFERROR(__xludf.DUMMYFUNCTION("""COMPUTED_VALUE"""),1995.0)</f>
        <v>1995</v>
      </c>
      <c r="M5" s="329">
        <f>IFERROR(__xludf.DUMMYFUNCTION("""COMPUTED_VALUE"""),256928.0)</f>
        <v>256928</v>
      </c>
      <c r="N5" s="329">
        <f>IFERROR(__xludf.DUMMYFUNCTION("""COMPUTED_VALUE"""),280052.0)</f>
        <v>280052</v>
      </c>
      <c r="O5" s="329">
        <f>IFERROR(__xludf.DUMMYFUNCTION("""COMPUTED_VALUE"""),7.0)</f>
        <v>7</v>
      </c>
      <c r="P5" s="329">
        <f>IFERROR(__xludf.DUMMYFUNCTION("""COMPUTED_VALUE"""),2602.0)</f>
        <v>2602</v>
      </c>
      <c r="Q5" s="329">
        <f>IFERROR(__xludf.DUMMYFUNCTION("""COMPUTED_VALUE"""),2.0)</f>
        <v>2</v>
      </c>
      <c r="R5" s="329">
        <f>IFERROR(__xludf.DUMMYFUNCTION("""COMPUTED_VALUE"""),2175.0)</f>
        <v>2175</v>
      </c>
      <c r="S5" s="329">
        <f>IFERROR(__xludf.DUMMYFUNCTION("""COMPUTED_VALUE"""),1.0)</f>
        <v>1</v>
      </c>
      <c r="T5" s="329">
        <f>IFERROR(__xludf.DUMMYFUNCTION("""COMPUTED_VALUE"""),346.0)</f>
        <v>346</v>
      </c>
      <c r="U5" s="329">
        <f>IFERROR(__xludf.DUMMYFUNCTION("""COMPUTED_VALUE"""),81.0)</f>
        <v>81</v>
      </c>
      <c r="V5" s="329">
        <f>IFERROR(__xludf.DUMMYFUNCTION("""COMPUTED_VALUE"""),78.0)</f>
        <v>78</v>
      </c>
      <c r="W5" s="329">
        <f>IFERROR(__xludf.DUMMYFUNCTION("""COMPUTED_VALUE"""),10.0)</f>
        <v>10</v>
      </c>
      <c r="X5" s="329">
        <f>IFERROR(__xludf.DUMMYFUNCTION("""COMPUTED_VALUE"""),5.0)</f>
        <v>5</v>
      </c>
      <c r="Y5" s="329">
        <f>IFERROR(__xludf.DUMMYFUNCTION("""COMPUTED_VALUE"""),2.0)</f>
        <v>2</v>
      </c>
      <c r="Z5" s="329">
        <f>IFERROR(__xludf.DUMMYFUNCTION("""COMPUTED_VALUE"""),1100.0)</f>
        <v>1100</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IFERROR(__xludf.DUMMYFUNCTION("""COMPUTED_VALUE"""),44090.0)</f>
        <v>44090</v>
      </c>
      <c r="B6" s="329">
        <f>IFERROR(__xludf.DUMMYFUNCTION("""COMPUTED_VALUE"""),137.0)</f>
        <v>137</v>
      </c>
      <c r="C6" s="329">
        <f>IFERROR(__xludf.DUMMYFUNCTION("""COMPUTED_VALUE"""),121.0)</f>
        <v>121</v>
      </c>
      <c r="D6" s="329">
        <f>IFERROR(__xludf.DUMMYFUNCTION("""COMPUTED_VALUE"""),33104.0)</f>
        <v>33104</v>
      </c>
      <c r="E6" s="329">
        <f>IFERROR(__xludf.DUMMYFUNCTION("""COMPUTED_VALUE"""),9707.0)</f>
        <v>9707</v>
      </c>
      <c r="F6" s="258">
        <f>IFERROR(__xludf.DUMMYFUNCTION("""COMPUTED_VALUE"""),625606.0)</f>
        <v>625606</v>
      </c>
      <c r="G6" s="258">
        <f>IFERROR(__xludf.DUMMYFUNCTION("""COMPUTED_VALUE"""),9844.0)</f>
        <v>9844</v>
      </c>
      <c r="H6" s="258">
        <f>IFERROR(__xludf.DUMMYFUNCTION("""COMPUTED_VALUE"""),658710.0)</f>
        <v>658710</v>
      </c>
      <c r="I6" s="329">
        <f>IFERROR(__xludf.DUMMYFUNCTION("""COMPUTED_VALUE"""),120.0)</f>
        <v>120</v>
      </c>
      <c r="J6" s="329">
        <f>IFERROR(__xludf.DUMMYFUNCTION("""COMPUTED_VALUE"""),112.0)</f>
        <v>112</v>
      </c>
      <c r="K6" s="329">
        <f>IFERROR(__xludf.DUMMYFUNCTION("""COMPUTED_VALUE"""),23244.0)</f>
        <v>23244</v>
      </c>
      <c r="L6" s="329">
        <f>IFERROR(__xludf.DUMMYFUNCTION("""COMPUTED_VALUE"""),1797.0)</f>
        <v>1797</v>
      </c>
      <c r="M6" s="329">
        <f>IFERROR(__xludf.DUMMYFUNCTION("""COMPUTED_VALUE"""),258725.0)</f>
        <v>258725</v>
      </c>
      <c r="N6" s="329">
        <f>IFERROR(__xludf.DUMMYFUNCTION("""COMPUTED_VALUE"""),281969.0)</f>
        <v>281969</v>
      </c>
      <c r="O6" s="329">
        <f>IFERROR(__xludf.DUMMYFUNCTION("""COMPUTED_VALUE"""),7.0)</f>
        <v>7</v>
      </c>
      <c r="P6" s="329">
        <f>IFERROR(__xludf.DUMMYFUNCTION("""COMPUTED_VALUE"""),2609.0)</f>
        <v>2609</v>
      </c>
      <c r="Q6" s="329">
        <f>IFERROR(__xludf.DUMMYFUNCTION("""COMPUTED_VALUE"""),6.0)</f>
        <v>6</v>
      </c>
      <c r="R6" s="329">
        <f>IFERROR(__xludf.DUMMYFUNCTION("""COMPUTED_VALUE"""),2181.0)</f>
        <v>2181</v>
      </c>
      <c r="S6" s="329">
        <f>IFERROR(__xludf.DUMMYFUNCTION("""COMPUTED_VALUE"""),2.0)</f>
        <v>2</v>
      </c>
      <c r="T6" s="329">
        <f>IFERROR(__xludf.DUMMYFUNCTION("""COMPUTED_VALUE"""),348.0)</f>
        <v>348</v>
      </c>
      <c r="U6" s="329">
        <f>IFERROR(__xludf.DUMMYFUNCTION("""COMPUTED_VALUE"""),80.0)</f>
        <v>80</v>
      </c>
      <c r="V6" s="329">
        <f>IFERROR(__xludf.DUMMYFUNCTION("""COMPUTED_VALUE"""),79.0)</f>
        <v>79</v>
      </c>
      <c r="W6" s="329">
        <f>IFERROR(__xludf.DUMMYFUNCTION("""COMPUTED_VALUE"""),9.0)</f>
        <v>9</v>
      </c>
      <c r="X6" s="329">
        <f>IFERROR(__xludf.DUMMYFUNCTION("""COMPUTED_VALUE"""),6.0)</f>
        <v>6</v>
      </c>
      <c r="Y6" s="329">
        <f>IFERROR(__xludf.DUMMYFUNCTION("""COMPUTED_VALUE"""),5.0)</f>
        <v>5</v>
      </c>
      <c r="Z6" s="329">
        <f>IFERROR(__xludf.DUMMYFUNCTION("""COMPUTED_VALUE"""),1105.0)</f>
        <v>1105</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IFERROR(__xludf.DUMMYFUNCTION("""COMPUTED_VALUE"""),44091.0)</f>
        <v>44091</v>
      </c>
      <c r="B7" s="329">
        <f>IFERROR(__xludf.DUMMYFUNCTION("""COMPUTED_VALUE"""),125.0)</f>
        <v>125</v>
      </c>
      <c r="C7" s="329">
        <f>IFERROR(__xludf.DUMMYFUNCTION("""COMPUTED_VALUE"""),128.0)</f>
        <v>128</v>
      </c>
      <c r="D7" s="329">
        <f>IFERROR(__xludf.DUMMYFUNCTION("""COMPUTED_VALUE"""),33229.0)</f>
        <v>33229</v>
      </c>
      <c r="E7" s="329">
        <f>IFERROR(__xludf.DUMMYFUNCTION("""COMPUTED_VALUE"""),9228.0)</f>
        <v>9228</v>
      </c>
      <c r="F7" s="258">
        <f>IFERROR(__xludf.DUMMYFUNCTION("""COMPUTED_VALUE"""),634834.0)</f>
        <v>634834</v>
      </c>
      <c r="G7" s="258">
        <f>IFERROR(__xludf.DUMMYFUNCTION("""COMPUTED_VALUE"""),9353.0)</f>
        <v>9353</v>
      </c>
      <c r="H7" s="258">
        <f>IFERROR(__xludf.DUMMYFUNCTION("""COMPUTED_VALUE"""),668063.0)</f>
        <v>668063</v>
      </c>
      <c r="I7" s="329">
        <f>IFERROR(__xludf.DUMMYFUNCTION("""COMPUTED_VALUE"""),145.0)</f>
        <v>145</v>
      </c>
      <c r="J7" s="329">
        <f>IFERROR(__xludf.DUMMYFUNCTION("""COMPUTED_VALUE"""),130.0)</f>
        <v>130</v>
      </c>
      <c r="K7" s="329">
        <f>IFERROR(__xludf.DUMMYFUNCTION("""COMPUTED_VALUE"""),23389.0)</f>
        <v>23389</v>
      </c>
      <c r="L7" s="329">
        <f>IFERROR(__xludf.DUMMYFUNCTION("""COMPUTED_VALUE"""),1762.0)</f>
        <v>1762</v>
      </c>
      <c r="M7" s="329">
        <f>IFERROR(__xludf.DUMMYFUNCTION("""COMPUTED_VALUE"""),260487.0)</f>
        <v>260487</v>
      </c>
      <c r="N7" s="329">
        <f>IFERROR(__xludf.DUMMYFUNCTION("""COMPUTED_VALUE"""),283876.0)</f>
        <v>283876</v>
      </c>
      <c r="O7" s="329">
        <f>IFERROR(__xludf.DUMMYFUNCTION("""COMPUTED_VALUE"""),7.0)</f>
        <v>7</v>
      </c>
      <c r="P7" s="329">
        <f>IFERROR(__xludf.DUMMYFUNCTION("""COMPUTED_VALUE"""),2616.0)</f>
        <v>2616</v>
      </c>
      <c r="Q7" s="329">
        <f>IFERROR(__xludf.DUMMYFUNCTION("""COMPUTED_VALUE"""),15.0)</f>
        <v>15</v>
      </c>
      <c r="R7" s="329">
        <f>IFERROR(__xludf.DUMMYFUNCTION("""COMPUTED_VALUE"""),2196.0)</f>
        <v>2196</v>
      </c>
      <c r="S7" s="329">
        <f>IFERROR(__xludf.DUMMYFUNCTION("""COMPUTED_VALUE"""),0.0)</f>
        <v>0</v>
      </c>
      <c r="T7" s="329">
        <f>IFERROR(__xludf.DUMMYFUNCTION("""COMPUTED_VALUE"""),348.0)</f>
        <v>348</v>
      </c>
      <c r="U7" s="329">
        <f>IFERROR(__xludf.DUMMYFUNCTION("""COMPUTED_VALUE"""),72.0)</f>
        <v>72</v>
      </c>
      <c r="V7" s="329">
        <f>IFERROR(__xludf.DUMMYFUNCTION("""COMPUTED_VALUE"""),78.0)</f>
        <v>78</v>
      </c>
      <c r="W7" s="329">
        <f>IFERROR(__xludf.DUMMYFUNCTION("""COMPUTED_VALUE"""),8.0)</f>
        <v>8</v>
      </c>
      <c r="X7" s="329">
        <f>IFERROR(__xludf.DUMMYFUNCTION("""COMPUTED_VALUE"""),4.0)</f>
        <v>4</v>
      </c>
      <c r="Y7" s="329">
        <f>IFERROR(__xludf.DUMMYFUNCTION("""COMPUTED_VALUE"""),0.0)</f>
        <v>0</v>
      </c>
      <c r="Z7" s="329">
        <f>IFERROR(__xludf.DUMMYFUNCTION("""COMPUTED_VALUE"""),1105.0)</f>
        <v>1105</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IFERROR(__xludf.DUMMYFUNCTION("""COMPUTED_VALUE"""),44092.0)</f>
        <v>44092</v>
      </c>
      <c r="B8" s="329">
        <f>IFERROR(__xludf.DUMMYFUNCTION("""COMPUTED_VALUE"""),132.0)</f>
        <v>132</v>
      </c>
      <c r="C8" s="329">
        <f>IFERROR(__xludf.DUMMYFUNCTION("""COMPUTED_VALUE"""),131.0)</f>
        <v>131</v>
      </c>
      <c r="D8" s="329">
        <f>IFERROR(__xludf.DUMMYFUNCTION("""COMPUTED_VALUE"""),33361.0)</f>
        <v>33361</v>
      </c>
      <c r="E8" s="329">
        <f>IFERROR(__xludf.DUMMYFUNCTION("""COMPUTED_VALUE"""),10027.0)</f>
        <v>10027</v>
      </c>
      <c r="F8" s="258">
        <f>IFERROR(__xludf.DUMMYFUNCTION("""COMPUTED_VALUE"""),644861.0)</f>
        <v>644861</v>
      </c>
      <c r="G8" s="258">
        <f>IFERROR(__xludf.DUMMYFUNCTION("""COMPUTED_VALUE"""),10159.0)</f>
        <v>10159</v>
      </c>
      <c r="H8" s="258">
        <f>IFERROR(__xludf.DUMMYFUNCTION("""COMPUTED_VALUE"""),678222.0)</f>
        <v>678222</v>
      </c>
      <c r="I8" s="329">
        <f>IFERROR(__xludf.DUMMYFUNCTION("""COMPUTED_VALUE"""),138.0)</f>
        <v>138</v>
      </c>
      <c r="J8" s="329">
        <f>IFERROR(__xludf.DUMMYFUNCTION("""COMPUTED_VALUE"""),134.0)</f>
        <v>134</v>
      </c>
      <c r="K8" s="329">
        <f>IFERROR(__xludf.DUMMYFUNCTION("""COMPUTED_VALUE"""),23527.0)</f>
        <v>23527</v>
      </c>
      <c r="L8" s="329">
        <f>IFERROR(__xludf.DUMMYFUNCTION("""COMPUTED_VALUE"""),1741.0)</f>
        <v>1741</v>
      </c>
      <c r="M8" s="329">
        <f>IFERROR(__xludf.DUMMYFUNCTION("""COMPUTED_VALUE"""),262228.0)</f>
        <v>262228</v>
      </c>
      <c r="N8" s="329">
        <f>IFERROR(__xludf.DUMMYFUNCTION("""COMPUTED_VALUE"""),285755.0)</f>
        <v>285755</v>
      </c>
      <c r="O8" s="329">
        <f>IFERROR(__xludf.DUMMYFUNCTION("""COMPUTED_VALUE"""),7.0)</f>
        <v>7</v>
      </c>
      <c r="P8" s="329">
        <f>IFERROR(__xludf.DUMMYFUNCTION("""COMPUTED_VALUE"""),2623.0)</f>
        <v>2623</v>
      </c>
      <c r="Q8" s="329">
        <f>IFERROR(__xludf.DUMMYFUNCTION("""COMPUTED_VALUE"""),7.0)</f>
        <v>7</v>
      </c>
      <c r="R8" s="329">
        <f>IFERROR(__xludf.DUMMYFUNCTION("""COMPUTED_VALUE"""),2203.0)</f>
        <v>2203</v>
      </c>
      <c r="S8" s="329">
        <f>IFERROR(__xludf.DUMMYFUNCTION("""COMPUTED_VALUE"""),1.0)</f>
        <v>1</v>
      </c>
      <c r="T8" s="329">
        <f>IFERROR(__xludf.DUMMYFUNCTION("""COMPUTED_VALUE"""),349.0)</f>
        <v>349</v>
      </c>
      <c r="U8" s="329">
        <f>IFERROR(__xludf.DUMMYFUNCTION("""COMPUTED_VALUE"""),71.0)</f>
        <v>71</v>
      </c>
      <c r="V8" s="329">
        <f>IFERROR(__xludf.DUMMYFUNCTION("""COMPUTED_VALUE"""),74.0)</f>
        <v>74</v>
      </c>
      <c r="W8" s="329">
        <f>IFERROR(__xludf.DUMMYFUNCTION("""COMPUTED_VALUE"""),11.0)</f>
        <v>11</v>
      </c>
      <c r="X8" s="329">
        <f>IFERROR(__xludf.DUMMYFUNCTION("""COMPUTED_VALUE"""),6.0)</f>
        <v>6</v>
      </c>
      <c r="Y8" s="329">
        <f>IFERROR(__xludf.DUMMYFUNCTION("""COMPUTED_VALUE"""),2.0)</f>
        <v>2</v>
      </c>
      <c r="Z8" s="329">
        <f>IFERROR(__xludf.DUMMYFUNCTION("""COMPUTED_VALUE"""),1107.0)</f>
        <v>1107</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IFERROR(__xludf.DUMMYFUNCTION("""COMPUTED_VALUE"""),44093.0)</f>
        <v>44093</v>
      </c>
      <c r="B9" s="329">
        <f>IFERROR(__xludf.DUMMYFUNCTION("""COMPUTED_VALUE"""),115.0)</f>
        <v>115</v>
      </c>
      <c r="C9" s="329">
        <f>IFERROR(__xludf.DUMMYFUNCTION("""COMPUTED_VALUE"""),124.0)</f>
        <v>124</v>
      </c>
      <c r="D9" s="329">
        <f>IFERROR(__xludf.DUMMYFUNCTION("""COMPUTED_VALUE"""),33476.0)</f>
        <v>33476</v>
      </c>
      <c r="E9" s="329">
        <f>IFERROR(__xludf.DUMMYFUNCTION("""COMPUTED_VALUE"""),8292.0)</f>
        <v>8292</v>
      </c>
      <c r="F9" s="258">
        <f>IFERROR(__xludf.DUMMYFUNCTION("""COMPUTED_VALUE"""),653153.0)</f>
        <v>653153</v>
      </c>
      <c r="G9" s="258">
        <f>IFERROR(__xludf.DUMMYFUNCTION("""COMPUTED_VALUE"""),8407.0)</f>
        <v>8407</v>
      </c>
      <c r="H9" s="258">
        <f>IFERROR(__xludf.DUMMYFUNCTION("""COMPUTED_VALUE"""),686629.0)</f>
        <v>686629</v>
      </c>
      <c r="I9" s="329">
        <f>IFERROR(__xludf.DUMMYFUNCTION("""COMPUTED_VALUE"""),113.0)</f>
        <v>113</v>
      </c>
      <c r="J9" s="329">
        <f>IFERROR(__xludf.DUMMYFUNCTION("""COMPUTED_VALUE"""),132.0)</f>
        <v>132</v>
      </c>
      <c r="K9" s="329">
        <f>IFERROR(__xludf.DUMMYFUNCTION("""COMPUTED_VALUE"""),23640.0)</f>
        <v>23640</v>
      </c>
      <c r="L9" s="329">
        <f>IFERROR(__xludf.DUMMYFUNCTION("""COMPUTED_VALUE"""),1557.0)</f>
        <v>1557</v>
      </c>
      <c r="M9" s="329">
        <f>IFERROR(__xludf.DUMMYFUNCTION("""COMPUTED_VALUE"""),263785.0)</f>
        <v>263785</v>
      </c>
      <c r="N9" s="329">
        <f>IFERROR(__xludf.DUMMYFUNCTION("""COMPUTED_VALUE"""),287425.0)</f>
        <v>287425</v>
      </c>
      <c r="O9" s="329">
        <f>IFERROR(__xludf.DUMMYFUNCTION("""COMPUTED_VALUE"""),7.0)</f>
        <v>7</v>
      </c>
      <c r="P9" s="329">
        <f>IFERROR(__xludf.DUMMYFUNCTION("""COMPUTED_VALUE"""),2630.0)</f>
        <v>2630</v>
      </c>
      <c r="Q9" s="329">
        <f>IFERROR(__xludf.DUMMYFUNCTION("""COMPUTED_VALUE"""),3.0)</f>
        <v>3</v>
      </c>
      <c r="R9" s="329">
        <f>IFERROR(__xludf.DUMMYFUNCTION("""COMPUTED_VALUE"""),2206.0)</f>
        <v>2206</v>
      </c>
      <c r="S9" s="329">
        <f>IFERROR(__xludf.DUMMYFUNCTION("""COMPUTED_VALUE"""),0.0)</f>
        <v>0</v>
      </c>
      <c r="T9" s="329">
        <f>IFERROR(__xludf.DUMMYFUNCTION("""COMPUTED_VALUE"""),349.0)</f>
        <v>349</v>
      </c>
      <c r="U9" s="329">
        <f>IFERROR(__xludf.DUMMYFUNCTION("""COMPUTED_VALUE"""),75.0)</f>
        <v>75</v>
      </c>
      <c r="V9" s="329">
        <f>IFERROR(__xludf.DUMMYFUNCTION("""COMPUTED_VALUE"""),73.0)</f>
        <v>73</v>
      </c>
      <c r="W9" s="329">
        <f>IFERROR(__xludf.DUMMYFUNCTION("""COMPUTED_VALUE"""),10.0)</f>
        <v>10</v>
      </c>
      <c r="X9" s="329">
        <f>IFERROR(__xludf.DUMMYFUNCTION("""COMPUTED_VALUE"""),6.0)</f>
        <v>6</v>
      </c>
      <c r="Y9" s="329">
        <f>IFERROR(__xludf.DUMMYFUNCTION("""COMPUTED_VALUE"""),4.0)</f>
        <v>4</v>
      </c>
      <c r="Z9" s="329">
        <f>IFERROR(__xludf.DUMMYFUNCTION("""COMPUTED_VALUE"""),1111.0)</f>
        <v>1111</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IFERROR(__xludf.DUMMYFUNCTION("""COMPUTED_VALUE"""),44094.0)</f>
        <v>44094</v>
      </c>
      <c r="B10" s="329">
        <f>IFERROR(__xludf.DUMMYFUNCTION("""COMPUTED_VALUE"""),60.0)</f>
        <v>60</v>
      </c>
      <c r="C10" s="329">
        <f>IFERROR(__xludf.DUMMYFUNCTION("""COMPUTED_VALUE"""),102.0)</f>
        <v>102</v>
      </c>
      <c r="D10" s="329">
        <f>IFERROR(__xludf.DUMMYFUNCTION("""COMPUTED_VALUE"""),33536.0)</f>
        <v>33536</v>
      </c>
      <c r="E10" s="329">
        <f>IFERROR(__xludf.DUMMYFUNCTION("""COMPUTED_VALUE"""),3676.0)</f>
        <v>3676</v>
      </c>
      <c r="F10" s="258">
        <f>IFERROR(__xludf.DUMMYFUNCTION("""COMPUTED_VALUE"""),656829.0)</f>
        <v>656829</v>
      </c>
      <c r="G10" s="258">
        <f>IFERROR(__xludf.DUMMYFUNCTION("""COMPUTED_VALUE"""),3736.0)</f>
        <v>3736</v>
      </c>
      <c r="H10" s="258">
        <f>IFERROR(__xludf.DUMMYFUNCTION("""COMPUTED_VALUE"""),690365.0)</f>
        <v>690365</v>
      </c>
      <c r="I10" s="329">
        <f>IFERROR(__xludf.DUMMYFUNCTION("""COMPUTED_VALUE"""),43.0)</f>
        <v>43</v>
      </c>
      <c r="J10" s="329">
        <f>IFERROR(__xludf.DUMMYFUNCTION("""COMPUTED_VALUE"""),98.0)</f>
        <v>98</v>
      </c>
      <c r="K10" s="329">
        <f>IFERROR(__xludf.DUMMYFUNCTION("""COMPUTED_VALUE"""),23683.0)</f>
        <v>23683</v>
      </c>
      <c r="L10" s="329">
        <f>IFERROR(__xludf.DUMMYFUNCTION("""COMPUTED_VALUE"""),1194.0)</f>
        <v>1194</v>
      </c>
      <c r="M10" s="329">
        <f>IFERROR(__xludf.DUMMYFUNCTION("""COMPUTED_VALUE"""),264979.0)</f>
        <v>264979</v>
      </c>
      <c r="N10" s="329">
        <f>IFERROR(__xludf.DUMMYFUNCTION("""COMPUTED_VALUE"""),288662.0)</f>
        <v>288662</v>
      </c>
      <c r="O10" s="329">
        <f>IFERROR(__xludf.DUMMYFUNCTION("""COMPUTED_VALUE"""),7.0)</f>
        <v>7</v>
      </c>
      <c r="P10" s="329">
        <f>IFERROR(__xludf.DUMMYFUNCTION("""COMPUTED_VALUE"""),2637.0)</f>
        <v>2637</v>
      </c>
      <c r="Q10" s="329">
        <f>IFERROR(__xludf.DUMMYFUNCTION("""COMPUTED_VALUE"""),6.0)</f>
        <v>6</v>
      </c>
      <c r="R10" s="329">
        <f>IFERROR(__xludf.DUMMYFUNCTION("""COMPUTED_VALUE"""),2212.0)</f>
        <v>2212</v>
      </c>
      <c r="S10" s="329">
        <f>IFERROR(__xludf.DUMMYFUNCTION("""COMPUTED_VALUE"""),2.0)</f>
        <v>2</v>
      </c>
      <c r="T10" s="329">
        <f>IFERROR(__xludf.DUMMYFUNCTION("""COMPUTED_VALUE"""),351.0)</f>
        <v>351</v>
      </c>
      <c r="U10" s="329">
        <f>IFERROR(__xludf.DUMMYFUNCTION("""COMPUTED_VALUE"""),74.0)</f>
        <v>74</v>
      </c>
      <c r="V10" s="329">
        <f>IFERROR(__xludf.DUMMYFUNCTION("""COMPUTED_VALUE"""),73.0)</f>
        <v>73</v>
      </c>
      <c r="W10" s="329">
        <f>IFERROR(__xludf.DUMMYFUNCTION("""COMPUTED_VALUE"""),9.0)</f>
        <v>9</v>
      </c>
      <c r="X10" s="329">
        <f>IFERROR(__xludf.DUMMYFUNCTION("""COMPUTED_VALUE"""),8.0)</f>
        <v>8</v>
      </c>
      <c r="Y10" s="329">
        <f>IFERROR(__xludf.DUMMYFUNCTION("""COMPUTED_VALUE"""),4.0)</f>
        <v>4</v>
      </c>
      <c r="Z10" s="329">
        <f>IFERROR(__xludf.DUMMYFUNCTION("""COMPUTED_VALUE"""),1115.0)</f>
        <v>1115</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IFERROR(__xludf.DUMMYFUNCTION("""COMPUTED_VALUE"""),44095.0)</f>
        <v>44095</v>
      </c>
      <c r="B11" s="329">
        <f>IFERROR(__xludf.DUMMYFUNCTION("""COMPUTED_VALUE"""),102.0)</f>
        <v>102</v>
      </c>
      <c r="C11" s="329">
        <f>IFERROR(__xludf.DUMMYFUNCTION("""COMPUTED_VALUE"""),92.0)</f>
        <v>92</v>
      </c>
      <c r="D11" s="329">
        <f>IFERROR(__xludf.DUMMYFUNCTION("""COMPUTED_VALUE"""),33638.0)</f>
        <v>33638</v>
      </c>
      <c r="E11" s="329">
        <f>IFERROR(__xludf.DUMMYFUNCTION("""COMPUTED_VALUE"""),7007.0)</f>
        <v>7007</v>
      </c>
      <c r="F11" s="258">
        <f>IFERROR(__xludf.DUMMYFUNCTION("""COMPUTED_VALUE"""),663836.0)</f>
        <v>663836</v>
      </c>
      <c r="G11" s="258">
        <f>IFERROR(__xludf.DUMMYFUNCTION("""COMPUTED_VALUE"""),7109.0)</f>
        <v>7109</v>
      </c>
      <c r="H11" s="258">
        <f>IFERROR(__xludf.DUMMYFUNCTION("""COMPUTED_VALUE"""),697474.0)</f>
        <v>697474</v>
      </c>
      <c r="I11" s="329">
        <f>IFERROR(__xludf.DUMMYFUNCTION("""COMPUTED_VALUE"""),98.0)</f>
        <v>98</v>
      </c>
      <c r="J11" s="329">
        <f>IFERROR(__xludf.DUMMYFUNCTION("""COMPUTED_VALUE"""),85.0)</f>
        <v>85</v>
      </c>
      <c r="K11" s="329">
        <f>IFERROR(__xludf.DUMMYFUNCTION("""COMPUTED_VALUE"""),23781.0)</f>
        <v>23781</v>
      </c>
      <c r="L11" s="329">
        <f>IFERROR(__xludf.DUMMYFUNCTION("""COMPUTED_VALUE"""),2253.0)</f>
        <v>2253</v>
      </c>
      <c r="M11" s="329">
        <f>IFERROR(__xludf.DUMMYFUNCTION("""COMPUTED_VALUE"""),267232.0)</f>
        <v>267232</v>
      </c>
      <c r="N11" s="329">
        <f>IFERROR(__xludf.DUMMYFUNCTION("""COMPUTED_VALUE"""),291013.0)</f>
        <v>291013</v>
      </c>
      <c r="O11" s="329">
        <f>IFERROR(__xludf.DUMMYFUNCTION("""COMPUTED_VALUE"""),12.0)</f>
        <v>12</v>
      </c>
      <c r="P11" s="329">
        <f>IFERROR(__xludf.DUMMYFUNCTION("""COMPUTED_VALUE"""),2649.0)</f>
        <v>2649</v>
      </c>
      <c r="Q11" s="329">
        <f>IFERROR(__xludf.DUMMYFUNCTION("""COMPUTED_VALUE"""),3.0)</f>
        <v>3</v>
      </c>
      <c r="R11" s="329">
        <f>IFERROR(__xludf.DUMMYFUNCTION("""COMPUTED_VALUE"""),2215.0)</f>
        <v>2215</v>
      </c>
      <c r="S11" s="329">
        <f>IFERROR(__xludf.DUMMYFUNCTION("""COMPUTED_VALUE"""),2.0)</f>
        <v>2</v>
      </c>
      <c r="T11" s="329">
        <f>IFERROR(__xludf.DUMMYFUNCTION("""COMPUTED_VALUE"""),353.0)</f>
        <v>353</v>
      </c>
      <c r="U11" s="329">
        <f>IFERROR(__xludf.DUMMYFUNCTION("""COMPUTED_VALUE"""),81.0)</f>
        <v>81</v>
      </c>
      <c r="V11" s="329">
        <f>IFERROR(__xludf.DUMMYFUNCTION("""COMPUTED_VALUE"""),77.0)</f>
        <v>77</v>
      </c>
      <c r="W11" s="329">
        <f>IFERROR(__xludf.DUMMYFUNCTION("""COMPUTED_VALUE"""),8.0)</f>
        <v>8</v>
      </c>
      <c r="X11" s="329">
        <f>IFERROR(__xludf.DUMMYFUNCTION("""COMPUTED_VALUE"""),6.0)</f>
        <v>6</v>
      </c>
      <c r="Y11" s="329">
        <f>IFERROR(__xludf.DUMMYFUNCTION("""COMPUTED_VALUE"""),2.0)</f>
        <v>2</v>
      </c>
      <c r="Z11" s="329">
        <f>IFERROR(__xludf.DUMMYFUNCTION("""COMPUTED_VALUE"""),1117.0)</f>
        <v>1117</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IFERROR(__xludf.DUMMYFUNCTION("""COMPUTED_VALUE"""),44096.0)</f>
        <v>44096</v>
      </c>
      <c r="B12" s="329">
        <f>IFERROR(__xludf.DUMMYFUNCTION("""COMPUTED_VALUE"""),154.0)</f>
        <v>154</v>
      </c>
      <c r="C12" s="329">
        <f>IFERROR(__xludf.DUMMYFUNCTION("""COMPUTED_VALUE"""),105.0)</f>
        <v>105</v>
      </c>
      <c r="D12" s="329">
        <f>IFERROR(__xludf.DUMMYFUNCTION("""COMPUTED_VALUE"""),33792.0)</f>
        <v>33792</v>
      </c>
      <c r="E12" s="329">
        <f>IFERROR(__xludf.DUMMYFUNCTION("""COMPUTED_VALUE"""),9275.0)</f>
        <v>9275</v>
      </c>
      <c r="F12" s="258">
        <f>IFERROR(__xludf.DUMMYFUNCTION("""COMPUTED_VALUE"""),673111.0)</f>
        <v>673111</v>
      </c>
      <c r="G12" s="258">
        <f>IFERROR(__xludf.DUMMYFUNCTION("""COMPUTED_VALUE"""),9429.0)</f>
        <v>9429</v>
      </c>
      <c r="H12" s="258">
        <f>IFERROR(__xludf.DUMMYFUNCTION("""COMPUTED_VALUE"""),706903.0)</f>
        <v>706903</v>
      </c>
      <c r="I12" s="329">
        <f>IFERROR(__xludf.DUMMYFUNCTION("""COMPUTED_VALUE"""),127.0)</f>
        <v>127</v>
      </c>
      <c r="J12" s="329">
        <f>IFERROR(__xludf.DUMMYFUNCTION("""COMPUTED_VALUE"""),89.0)</f>
        <v>89</v>
      </c>
      <c r="K12" s="329">
        <f>IFERROR(__xludf.DUMMYFUNCTION("""COMPUTED_VALUE"""),23908.0)</f>
        <v>23908</v>
      </c>
      <c r="L12" s="329">
        <f>IFERROR(__xludf.DUMMYFUNCTION("""COMPUTED_VALUE"""),1995.0)</f>
        <v>1995</v>
      </c>
      <c r="M12" s="329">
        <f>IFERROR(__xludf.DUMMYFUNCTION("""COMPUTED_VALUE"""),269227.0)</f>
        <v>269227</v>
      </c>
      <c r="N12" s="329">
        <f>IFERROR(__xludf.DUMMYFUNCTION("""COMPUTED_VALUE"""),293135.0)</f>
        <v>293135</v>
      </c>
      <c r="O12" s="329">
        <f>IFERROR(__xludf.DUMMYFUNCTION("""COMPUTED_VALUE"""),12.0)</f>
        <v>12</v>
      </c>
      <c r="P12" s="329">
        <f>IFERROR(__xludf.DUMMYFUNCTION("""COMPUTED_VALUE"""),2661.0)</f>
        <v>2661</v>
      </c>
      <c r="Q12" s="329">
        <f>IFERROR(__xludf.DUMMYFUNCTION("""COMPUTED_VALUE"""),3.0)</f>
        <v>3</v>
      </c>
      <c r="R12" s="329">
        <f>IFERROR(__xludf.DUMMYFUNCTION("""COMPUTED_VALUE"""),2218.0)</f>
        <v>2218</v>
      </c>
      <c r="S12" s="329">
        <f>IFERROR(__xludf.DUMMYFUNCTION("""COMPUTED_VALUE"""),1.0)</f>
        <v>1</v>
      </c>
      <c r="T12" s="329">
        <f>IFERROR(__xludf.DUMMYFUNCTION("""COMPUTED_VALUE"""),354.0)</f>
        <v>354</v>
      </c>
      <c r="U12" s="329">
        <f>IFERROR(__xludf.DUMMYFUNCTION("""COMPUTED_VALUE"""),89.0)</f>
        <v>89</v>
      </c>
      <c r="V12" s="329">
        <f>IFERROR(__xludf.DUMMYFUNCTION("""COMPUTED_VALUE"""),81.0)</f>
        <v>81</v>
      </c>
      <c r="W12" s="329">
        <f>IFERROR(__xludf.DUMMYFUNCTION("""COMPUTED_VALUE"""),7.0)</f>
        <v>7</v>
      </c>
      <c r="X12" s="329">
        <f>IFERROR(__xludf.DUMMYFUNCTION("""COMPUTED_VALUE"""),5.0)</f>
        <v>5</v>
      </c>
      <c r="Y12" s="329">
        <f>IFERROR(__xludf.DUMMYFUNCTION("""COMPUTED_VALUE"""),1.0)</f>
        <v>1</v>
      </c>
      <c r="Z12" s="329">
        <f>IFERROR(__xludf.DUMMYFUNCTION("""COMPUTED_VALUE"""),1118.0)</f>
        <v>1118</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IFERROR(__xludf.DUMMYFUNCTION("""COMPUTED_VALUE"""),44097.0)</f>
        <v>44097</v>
      </c>
      <c r="B13" s="329">
        <f>IFERROR(__xludf.DUMMYFUNCTION("""COMPUTED_VALUE"""),136.0)</f>
        <v>136</v>
      </c>
      <c r="C13" s="329">
        <f>IFERROR(__xludf.DUMMYFUNCTION("""COMPUTED_VALUE"""),131.0)</f>
        <v>131</v>
      </c>
      <c r="D13" s="329">
        <f>IFERROR(__xludf.DUMMYFUNCTION("""COMPUTED_VALUE"""),33928.0)</f>
        <v>33928</v>
      </c>
      <c r="E13" s="329">
        <f>IFERROR(__xludf.DUMMYFUNCTION("""COMPUTED_VALUE"""),10637.0)</f>
        <v>10637</v>
      </c>
      <c r="F13" s="258">
        <f>IFERROR(__xludf.DUMMYFUNCTION("""COMPUTED_VALUE"""),683748.0)</f>
        <v>683748</v>
      </c>
      <c r="G13" s="258">
        <f>IFERROR(__xludf.DUMMYFUNCTION("""COMPUTED_VALUE"""),10773.0)</f>
        <v>10773</v>
      </c>
      <c r="H13" s="258">
        <f>IFERROR(__xludf.DUMMYFUNCTION("""COMPUTED_VALUE"""),717676.0)</f>
        <v>717676</v>
      </c>
      <c r="I13" s="329">
        <f>IFERROR(__xludf.DUMMYFUNCTION("""COMPUTED_VALUE"""),120.0)</f>
        <v>120</v>
      </c>
      <c r="J13" s="329">
        <f>IFERROR(__xludf.DUMMYFUNCTION("""COMPUTED_VALUE"""),115.0)</f>
        <v>115</v>
      </c>
      <c r="K13" s="329">
        <f>IFERROR(__xludf.DUMMYFUNCTION("""COMPUTED_VALUE"""),24028.0)</f>
        <v>24028</v>
      </c>
      <c r="L13" s="329">
        <f>IFERROR(__xludf.DUMMYFUNCTION("""COMPUTED_VALUE"""),2021.0)</f>
        <v>2021</v>
      </c>
      <c r="M13" s="329">
        <f>IFERROR(__xludf.DUMMYFUNCTION("""COMPUTED_VALUE"""),271248.0)</f>
        <v>271248</v>
      </c>
      <c r="N13" s="329">
        <f>IFERROR(__xludf.DUMMYFUNCTION("""COMPUTED_VALUE"""),295276.0)</f>
        <v>295276</v>
      </c>
      <c r="O13" s="329">
        <f>IFERROR(__xludf.DUMMYFUNCTION("""COMPUTED_VALUE"""),13.0)</f>
        <v>13</v>
      </c>
      <c r="P13" s="329">
        <f>IFERROR(__xludf.DUMMYFUNCTION("""COMPUTED_VALUE"""),2674.0)</f>
        <v>2674</v>
      </c>
      <c r="Q13" s="329">
        <f>IFERROR(__xludf.DUMMYFUNCTION("""COMPUTED_VALUE"""),7.0)</f>
        <v>7</v>
      </c>
      <c r="R13" s="329">
        <f>IFERROR(__xludf.DUMMYFUNCTION("""COMPUTED_VALUE"""),2225.0)</f>
        <v>2225</v>
      </c>
      <c r="S13" s="329">
        <f>IFERROR(__xludf.DUMMYFUNCTION("""COMPUTED_VALUE"""),0.0)</f>
        <v>0</v>
      </c>
      <c r="T13" s="329">
        <f>IFERROR(__xludf.DUMMYFUNCTION("""COMPUTED_VALUE"""),354.0)</f>
        <v>354</v>
      </c>
      <c r="U13" s="329">
        <f>IFERROR(__xludf.DUMMYFUNCTION("""COMPUTED_VALUE"""),95.0)</f>
        <v>95</v>
      </c>
      <c r="V13" s="329">
        <f>IFERROR(__xludf.DUMMYFUNCTION("""COMPUTED_VALUE"""),88.0)</f>
        <v>88</v>
      </c>
      <c r="W13" s="329">
        <f>IFERROR(__xludf.DUMMYFUNCTION("""COMPUTED_VALUE"""),6.0)</f>
        <v>6</v>
      </c>
      <c r="X13" s="329">
        <f>IFERROR(__xludf.DUMMYFUNCTION("""COMPUTED_VALUE"""),5.0)</f>
        <v>5</v>
      </c>
      <c r="Y13" s="329">
        <f>IFERROR(__xludf.DUMMYFUNCTION("""COMPUTED_VALUE"""),0.0)</f>
        <v>0</v>
      </c>
      <c r="Z13" s="329">
        <f>IFERROR(__xludf.DUMMYFUNCTION("""COMPUTED_VALUE"""),1118.0)</f>
        <v>1118</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IFERROR(__xludf.DUMMYFUNCTION("""COMPUTED_VALUE"""),44098.0)</f>
        <v>44098</v>
      </c>
      <c r="B14" s="329">
        <f>IFERROR(__xludf.DUMMYFUNCTION("""COMPUTED_VALUE"""),120.0)</f>
        <v>120</v>
      </c>
      <c r="C14" s="329">
        <f>IFERROR(__xludf.DUMMYFUNCTION("""COMPUTED_VALUE"""),137.0)</f>
        <v>137</v>
      </c>
      <c r="D14" s="329">
        <f>IFERROR(__xludf.DUMMYFUNCTION("""COMPUTED_VALUE"""),34048.0)</f>
        <v>34048</v>
      </c>
      <c r="E14" s="329">
        <f>IFERROR(__xludf.DUMMYFUNCTION("""COMPUTED_VALUE"""),12468.0)</f>
        <v>12468</v>
      </c>
      <c r="F14" s="258">
        <f>IFERROR(__xludf.DUMMYFUNCTION("""COMPUTED_VALUE"""),696216.0)</f>
        <v>696216</v>
      </c>
      <c r="G14" s="258">
        <f>IFERROR(__xludf.DUMMYFUNCTION("""COMPUTED_VALUE"""),12588.0)</f>
        <v>12588</v>
      </c>
      <c r="H14" s="258">
        <f>IFERROR(__xludf.DUMMYFUNCTION("""COMPUTED_VALUE"""),730264.0)</f>
        <v>730264</v>
      </c>
      <c r="I14" s="329">
        <f>IFERROR(__xludf.DUMMYFUNCTION("""COMPUTED_VALUE"""),125.0)</f>
        <v>125</v>
      </c>
      <c r="J14" s="329">
        <f>IFERROR(__xludf.DUMMYFUNCTION("""COMPUTED_VALUE"""),124.0)</f>
        <v>124</v>
      </c>
      <c r="K14" s="329">
        <f>IFERROR(__xludf.DUMMYFUNCTION("""COMPUTED_VALUE"""),24153.0)</f>
        <v>24153</v>
      </c>
      <c r="L14" s="329">
        <f>IFERROR(__xludf.DUMMYFUNCTION("""COMPUTED_VALUE"""),2859.0)</f>
        <v>2859</v>
      </c>
      <c r="M14" s="329">
        <f>IFERROR(__xludf.DUMMYFUNCTION("""COMPUTED_VALUE"""),274107.0)</f>
        <v>274107</v>
      </c>
      <c r="N14" s="329">
        <f>IFERROR(__xludf.DUMMYFUNCTION("""COMPUTED_VALUE"""),298260.0)</f>
        <v>298260</v>
      </c>
      <c r="O14" s="329">
        <f>IFERROR(__xludf.DUMMYFUNCTION("""COMPUTED_VALUE"""),7.0)</f>
        <v>7</v>
      </c>
      <c r="P14" s="329">
        <f>IFERROR(__xludf.DUMMYFUNCTION("""COMPUTED_VALUE"""),2681.0)</f>
        <v>2681</v>
      </c>
      <c r="Q14" s="329">
        <f>IFERROR(__xludf.DUMMYFUNCTION("""COMPUTED_VALUE"""),8.0)</f>
        <v>8</v>
      </c>
      <c r="R14" s="329">
        <f>IFERROR(__xludf.DUMMYFUNCTION("""COMPUTED_VALUE"""),2233.0)</f>
        <v>2233</v>
      </c>
      <c r="S14" s="329">
        <f>IFERROR(__xludf.DUMMYFUNCTION("""COMPUTED_VALUE"""),1.0)</f>
        <v>1</v>
      </c>
      <c r="T14" s="329">
        <f>IFERROR(__xludf.DUMMYFUNCTION("""COMPUTED_VALUE"""),355.0)</f>
        <v>355</v>
      </c>
      <c r="U14" s="329">
        <f>IFERROR(__xludf.DUMMYFUNCTION("""COMPUTED_VALUE"""),93.0)</f>
        <v>93</v>
      </c>
      <c r="V14" s="329">
        <f>IFERROR(__xludf.DUMMYFUNCTION("""COMPUTED_VALUE"""),92.0)</f>
        <v>92</v>
      </c>
      <c r="W14" s="329">
        <f>IFERROR(__xludf.DUMMYFUNCTION("""COMPUTED_VALUE"""),7.0)</f>
        <v>7</v>
      </c>
      <c r="X14" s="329">
        <f>IFERROR(__xludf.DUMMYFUNCTION("""COMPUTED_VALUE"""),5.0)</f>
        <v>5</v>
      </c>
      <c r="Y14" s="329">
        <f>IFERROR(__xludf.DUMMYFUNCTION("""COMPUTED_VALUE"""),1.0)</f>
        <v>1</v>
      </c>
      <c r="Z14" s="329">
        <f>IFERROR(__xludf.DUMMYFUNCTION("""COMPUTED_VALUE"""),1119.0)</f>
        <v>1119</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IFERROR(__xludf.DUMMYFUNCTION("""COMPUTED_VALUE"""),44099.0)</f>
        <v>44099</v>
      </c>
      <c r="B15" s="329">
        <f>IFERROR(__xludf.DUMMYFUNCTION("""COMPUTED_VALUE"""),150.0)</f>
        <v>150</v>
      </c>
      <c r="C15" s="329">
        <f>IFERROR(__xludf.DUMMYFUNCTION("""COMPUTED_VALUE"""),135.0)</f>
        <v>135</v>
      </c>
      <c r="D15" s="329">
        <f>IFERROR(__xludf.DUMMYFUNCTION("""COMPUTED_VALUE"""),34198.0)</f>
        <v>34198</v>
      </c>
      <c r="E15" s="329">
        <f>IFERROR(__xludf.DUMMYFUNCTION("""COMPUTED_VALUE"""),10546.0)</f>
        <v>10546</v>
      </c>
      <c r="F15" s="258">
        <f>IFERROR(__xludf.DUMMYFUNCTION("""COMPUTED_VALUE"""),706762.0)</f>
        <v>706762</v>
      </c>
      <c r="G15" s="258">
        <f>IFERROR(__xludf.DUMMYFUNCTION("""COMPUTED_VALUE"""),10696.0)</f>
        <v>10696</v>
      </c>
      <c r="H15" s="258">
        <f>IFERROR(__xludf.DUMMYFUNCTION("""COMPUTED_VALUE"""),740960.0)</f>
        <v>740960</v>
      </c>
      <c r="I15" s="329">
        <f>IFERROR(__xludf.DUMMYFUNCTION("""COMPUTED_VALUE"""),142.0)</f>
        <v>142</v>
      </c>
      <c r="J15" s="329">
        <f>IFERROR(__xludf.DUMMYFUNCTION("""COMPUTED_VALUE"""),129.0)</f>
        <v>129</v>
      </c>
      <c r="K15" s="329">
        <f>IFERROR(__xludf.DUMMYFUNCTION("""COMPUTED_VALUE"""),24295.0)</f>
        <v>24295</v>
      </c>
      <c r="L15" s="329">
        <f>IFERROR(__xludf.DUMMYFUNCTION("""COMPUTED_VALUE"""),2717.0)</f>
        <v>2717</v>
      </c>
      <c r="M15" s="329">
        <f>IFERROR(__xludf.DUMMYFUNCTION("""COMPUTED_VALUE"""),276824.0)</f>
        <v>276824</v>
      </c>
      <c r="N15" s="329">
        <f>IFERROR(__xludf.DUMMYFUNCTION("""COMPUTED_VALUE"""),301119.0)</f>
        <v>301119</v>
      </c>
      <c r="O15" s="329">
        <f>IFERROR(__xludf.DUMMYFUNCTION("""COMPUTED_VALUE"""),9.0)</f>
        <v>9</v>
      </c>
      <c r="P15" s="329">
        <f>IFERROR(__xludf.DUMMYFUNCTION("""COMPUTED_VALUE"""),2690.0)</f>
        <v>2690</v>
      </c>
      <c r="Q15" s="329">
        <f>IFERROR(__xludf.DUMMYFUNCTION("""COMPUTED_VALUE"""),10.0)</f>
        <v>10</v>
      </c>
      <c r="R15" s="329">
        <f>IFERROR(__xludf.DUMMYFUNCTION("""COMPUTED_VALUE"""),2243.0)</f>
        <v>2243</v>
      </c>
      <c r="S15" s="329">
        <f>IFERROR(__xludf.DUMMYFUNCTION("""COMPUTED_VALUE"""),0.0)</f>
        <v>0</v>
      </c>
      <c r="T15" s="329">
        <f>IFERROR(__xludf.DUMMYFUNCTION("""COMPUTED_VALUE"""),355.0)</f>
        <v>355</v>
      </c>
      <c r="U15" s="329">
        <f>IFERROR(__xludf.DUMMYFUNCTION("""COMPUTED_VALUE"""),92.0)</f>
        <v>92</v>
      </c>
      <c r="V15" s="329">
        <f>IFERROR(__xludf.DUMMYFUNCTION("""COMPUTED_VALUE"""),93.0)</f>
        <v>93</v>
      </c>
      <c r="W15" s="329">
        <f>IFERROR(__xludf.DUMMYFUNCTION("""COMPUTED_VALUE"""),6.0)</f>
        <v>6</v>
      </c>
      <c r="X15" s="329">
        <f>IFERROR(__xludf.DUMMYFUNCTION("""COMPUTED_VALUE"""),5.0)</f>
        <v>5</v>
      </c>
      <c r="Y15" s="329">
        <f>IFERROR(__xludf.DUMMYFUNCTION("""COMPUTED_VALUE"""),1.0)</f>
        <v>1</v>
      </c>
      <c r="Z15" s="329">
        <f>IFERROR(__xludf.DUMMYFUNCTION("""COMPUTED_VALUE"""),1120.0)</f>
        <v>1120</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IFERROR(__xludf.DUMMYFUNCTION("""COMPUTED_VALUE"""),44100.0)</f>
        <v>44100</v>
      </c>
      <c r="B16" s="329">
        <f>IFERROR(__xludf.DUMMYFUNCTION("""COMPUTED_VALUE"""),147.0)</f>
        <v>147</v>
      </c>
      <c r="C16" s="329">
        <f>IFERROR(__xludf.DUMMYFUNCTION("""COMPUTED_VALUE"""),139.0)</f>
        <v>139</v>
      </c>
      <c r="D16" s="329">
        <f>IFERROR(__xludf.DUMMYFUNCTION("""COMPUTED_VALUE"""),34345.0)</f>
        <v>34345</v>
      </c>
      <c r="E16" s="329">
        <f>IFERROR(__xludf.DUMMYFUNCTION("""COMPUTED_VALUE"""),10556.0)</f>
        <v>10556</v>
      </c>
      <c r="F16" s="258">
        <f>IFERROR(__xludf.DUMMYFUNCTION("""COMPUTED_VALUE"""),717318.0)</f>
        <v>717318</v>
      </c>
      <c r="G16" s="258">
        <f>IFERROR(__xludf.DUMMYFUNCTION("""COMPUTED_VALUE"""),10703.0)</f>
        <v>10703</v>
      </c>
      <c r="H16" s="258">
        <f>IFERROR(__xludf.DUMMYFUNCTION("""COMPUTED_VALUE"""),751663.0)</f>
        <v>751663</v>
      </c>
      <c r="I16" s="329">
        <f>IFERROR(__xludf.DUMMYFUNCTION("""COMPUTED_VALUE"""),128.0)</f>
        <v>128</v>
      </c>
      <c r="J16" s="329">
        <f>IFERROR(__xludf.DUMMYFUNCTION("""COMPUTED_VALUE"""),132.0)</f>
        <v>132</v>
      </c>
      <c r="K16" s="329">
        <f>IFERROR(__xludf.DUMMYFUNCTION("""COMPUTED_VALUE"""),24423.0)</f>
        <v>24423</v>
      </c>
      <c r="L16" s="329">
        <f>IFERROR(__xludf.DUMMYFUNCTION("""COMPUTED_VALUE"""),2269.0)</f>
        <v>2269</v>
      </c>
      <c r="M16" s="329">
        <f>IFERROR(__xludf.DUMMYFUNCTION("""COMPUTED_VALUE"""),279093.0)</f>
        <v>279093</v>
      </c>
      <c r="N16" s="329">
        <f>IFERROR(__xludf.DUMMYFUNCTION("""COMPUTED_VALUE"""),303516.0)</f>
        <v>303516</v>
      </c>
      <c r="O16" s="329">
        <f>IFERROR(__xludf.DUMMYFUNCTION("""COMPUTED_VALUE"""),12.0)</f>
        <v>12</v>
      </c>
      <c r="P16" s="329">
        <f>IFERROR(__xludf.DUMMYFUNCTION("""COMPUTED_VALUE"""),2702.0)</f>
        <v>2702</v>
      </c>
      <c r="Q16" s="329">
        <f>IFERROR(__xludf.DUMMYFUNCTION("""COMPUTED_VALUE"""),8.0)</f>
        <v>8</v>
      </c>
      <c r="R16" s="329">
        <f>IFERROR(__xludf.DUMMYFUNCTION("""COMPUTED_VALUE"""),2251.0)</f>
        <v>2251</v>
      </c>
      <c r="S16" s="329">
        <f>IFERROR(__xludf.DUMMYFUNCTION("""COMPUTED_VALUE"""),1.0)</f>
        <v>1</v>
      </c>
      <c r="T16" s="329">
        <f>IFERROR(__xludf.DUMMYFUNCTION("""COMPUTED_VALUE"""),356.0)</f>
        <v>356</v>
      </c>
      <c r="U16" s="329">
        <f>IFERROR(__xludf.DUMMYFUNCTION("""COMPUTED_VALUE"""),95.0)</f>
        <v>95</v>
      </c>
      <c r="V16" s="329">
        <f>IFERROR(__xludf.DUMMYFUNCTION("""COMPUTED_VALUE"""),93.0)</f>
        <v>93</v>
      </c>
      <c r="W16" s="329">
        <f>IFERROR(__xludf.DUMMYFUNCTION("""COMPUTED_VALUE"""),6.0)</f>
        <v>6</v>
      </c>
      <c r="X16" s="329">
        <f>IFERROR(__xludf.DUMMYFUNCTION("""COMPUTED_VALUE"""),5.0)</f>
        <v>5</v>
      </c>
      <c r="Y16" s="329">
        <f>IFERROR(__xludf.DUMMYFUNCTION("""COMPUTED_VALUE"""),1.0)</f>
        <v>1</v>
      </c>
      <c r="Z16" s="329">
        <f>IFERROR(__xludf.DUMMYFUNCTION("""COMPUTED_VALUE"""),1121.0)</f>
        <v>1121</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IFERROR(__xludf.DUMMYFUNCTION("""COMPUTED_VALUE"""),44101.0)</f>
        <v>44101</v>
      </c>
      <c r="B17" s="329">
        <f>IFERROR(__xludf.DUMMYFUNCTION("""COMPUTED_VALUE"""),43.0)</f>
        <v>43</v>
      </c>
      <c r="C17" s="329">
        <f>IFERROR(__xludf.DUMMYFUNCTION("""COMPUTED_VALUE"""),113.0)</f>
        <v>113</v>
      </c>
      <c r="D17" s="329">
        <f>IFERROR(__xludf.DUMMYFUNCTION("""COMPUTED_VALUE"""),34388.0)</f>
        <v>34388</v>
      </c>
      <c r="E17" s="329">
        <f>IFERROR(__xludf.DUMMYFUNCTION("""COMPUTED_VALUE"""),2764.0)</f>
        <v>2764</v>
      </c>
      <c r="F17" s="258">
        <f>IFERROR(__xludf.DUMMYFUNCTION("""COMPUTED_VALUE"""),720082.0)</f>
        <v>720082</v>
      </c>
      <c r="G17" s="258">
        <f>IFERROR(__xludf.DUMMYFUNCTION("""COMPUTED_VALUE"""),2807.0)</f>
        <v>2807</v>
      </c>
      <c r="H17" s="258">
        <f>IFERROR(__xludf.DUMMYFUNCTION("""COMPUTED_VALUE"""),754470.0)</f>
        <v>754470</v>
      </c>
      <c r="I17" s="329">
        <f>IFERROR(__xludf.DUMMYFUNCTION("""COMPUTED_VALUE"""),37.0)</f>
        <v>37</v>
      </c>
      <c r="J17" s="329">
        <f>IFERROR(__xludf.DUMMYFUNCTION("""COMPUTED_VALUE"""),102.0)</f>
        <v>102</v>
      </c>
      <c r="K17" s="329">
        <f>IFERROR(__xludf.DUMMYFUNCTION("""COMPUTED_VALUE"""),24460.0)</f>
        <v>24460</v>
      </c>
      <c r="L17" s="329">
        <f>IFERROR(__xludf.DUMMYFUNCTION("""COMPUTED_VALUE"""),783.0)</f>
        <v>783</v>
      </c>
      <c r="M17" s="329">
        <f>IFERROR(__xludf.DUMMYFUNCTION("""COMPUTED_VALUE"""),279876.0)</f>
        <v>279876</v>
      </c>
      <c r="N17" s="329">
        <f>IFERROR(__xludf.DUMMYFUNCTION("""COMPUTED_VALUE"""),304336.0)</f>
        <v>304336</v>
      </c>
      <c r="O17" s="329">
        <f>IFERROR(__xludf.DUMMYFUNCTION("""COMPUTED_VALUE"""),7.0)</f>
        <v>7</v>
      </c>
      <c r="P17" s="329">
        <f>IFERROR(__xludf.DUMMYFUNCTION("""COMPUTED_VALUE"""),2709.0)</f>
        <v>2709</v>
      </c>
      <c r="Q17" s="329">
        <f>IFERROR(__xludf.DUMMYFUNCTION("""COMPUTED_VALUE"""),5.0)</f>
        <v>5</v>
      </c>
      <c r="R17" s="329">
        <f>IFERROR(__xludf.DUMMYFUNCTION("""COMPUTED_VALUE"""),2256.0)</f>
        <v>2256</v>
      </c>
      <c r="S17" s="329">
        <f>IFERROR(__xludf.DUMMYFUNCTION("""COMPUTED_VALUE"""),0.0)</f>
        <v>0</v>
      </c>
      <c r="T17" s="329">
        <f>IFERROR(__xludf.DUMMYFUNCTION("""COMPUTED_VALUE"""),356.0)</f>
        <v>356</v>
      </c>
      <c r="U17" s="329">
        <f>IFERROR(__xludf.DUMMYFUNCTION("""COMPUTED_VALUE"""),97.0)</f>
        <v>97</v>
      </c>
      <c r="V17" s="329">
        <f>IFERROR(__xludf.DUMMYFUNCTION("""COMPUTED_VALUE"""),95.0)</f>
        <v>95</v>
      </c>
      <c r="W17" s="329">
        <f>IFERROR(__xludf.DUMMYFUNCTION("""COMPUTED_VALUE"""),9.0)</f>
        <v>9</v>
      </c>
      <c r="X17" s="329">
        <f>IFERROR(__xludf.DUMMYFUNCTION("""COMPUTED_VALUE"""),5.0)</f>
        <v>5</v>
      </c>
      <c r="Y17" s="329">
        <f>IFERROR(__xludf.DUMMYFUNCTION("""COMPUTED_VALUE"""),0.0)</f>
        <v>0</v>
      </c>
      <c r="Z17" s="329">
        <f>IFERROR(__xludf.DUMMYFUNCTION("""COMPUTED_VALUE"""),1121.0)</f>
        <v>1121</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IFERROR(__xludf.DUMMYFUNCTION("""COMPUTED_VALUE"""),44102.0)</f>
        <v>44102</v>
      </c>
      <c r="B18" s="329">
        <f>IFERROR(__xludf.DUMMYFUNCTION("""COMPUTED_VALUE"""),156.0)</f>
        <v>156</v>
      </c>
      <c r="C18" s="329">
        <f>IFERROR(__xludf.DUMMYFUNCTION("""COMPUTED_VALUE"""),115.0)</f>
        <v>115</v>
      </c>
      <c r="D18" s="329">
        <f>IFERROR(__xludf.DUMMYFUNCTION("""COMPUTED_VALUE"""),34544.0)</f>
        <v>34544</v>
      </c>
      <c r="E18" s="329">
        <f>IFERROR(__xludf.DUMMYFUNCTION("""COMPUTED_VALUE"""),7294.0)</f>
        <v>7294</v>
      </c>
      <c r="F18" s="258">
        <f>IFERROR(__xludf.DUMMYFUNCTION("""COMPUTED_VALUE"""),727376.0)</f>
        <v>727376</v>
      </c>
      <c r="G18" s="258">
        <f>IFERROR(__xludf.DUMMYFUNCTION("""COMPUTED_VALUE"""),7450.0)</f>
        <v>7450</v>
      </c>
      <c r="H18" s="258">
        <f>IFERROR(__xludf.DUMMYFUNCTION("""COMPUTED_VALUE"""),761920.0)</f>
        <v>761920</v>
      </c>
      <c r="I18" s="329">
        <f>IFERROR(__xludf.DUMMYFUNCTION("""COMPUTED_VALUE"""),141.0)</f>
        <v>141</v>
      </c>
      <c r="J18" s="329">
        <f>IFERROR(__xludf.DUMMYFUNCTION("""COMPUTED_VALUE"""),102.0)</f>
        <v>102</v>
      </c>
      <c r="K18" s="329">
        <f>IFERROR(__xludf.DUMMYFUNCTION("""COMPUTED_VALUE"""),24601.0)</f>
        <v>24601</v>
      </c>
      <c r="L18" s="329">
        <f>IFERROR(__xludf.DUMMYFUNCTION("""COMPUTED_VALUE"""),2091.0)</f>
        <v>2091</v>
      </c>
      <c r="M18" s="329">
        <f>IFERROR(__xludf.DUMMYFUNCTION("""COMPUTED_VALUE"""),281967.0)</f>
        <v>281967</v>
      </c>
      <c r="N18" s="329">
        <f>IFERROR(__xludf.DUMMYFUNCTION("""COMPUTED_VALUE"""),306568.0)</f>
        <v>306568</v>
      </c>
      <c r="O18" s="329">
        <f>IFERROR(__xludf.DUMMYFUNCTION("""COMPUTED_VALUE"""),7.0)</f>
        <v>7</v>
      </c>
      <c r="P18" s="329">
        <f>IFERROR(__xludf.DUMMYFUNCTION("""COMPUTED_VALUE"""),2716.0)</f>
        <v>2716</v>
      </c>
      <c r="Q18" s="329">
        <f>IFERROR(__xludf.DUMMYFUNCTION("""COMPUTED_VALUE"""),7.0)</f>
        <v>7</v>
      </c>
      <c r="R18" s="329">
        <f>IFERROR(__xludf.DUMMYFUNCTION("""COMPUTED_VALUE"""),2263.0)</f>
        <v>2263</v>
      </c>
      <c r="S18" s="329">
        <f>IFERROR(__xludf.DUMMYFUNCTION("""COMPUTED_VALUE"""),2.0)</f>
        <v>2</v>
      </c>
      <c r="T18" s="329">
        <f>IFERROR(__xludf.DUMMYFUNCTION("""COMPUTED_VALUE"""),358.0)</f>
        <v>358</v>
      </c>
      <c r="U18" s="329">
        <f>IFERROR(__xludf.DUMMYFUNCTION("""COMPUTED_VALUE"""),95.0)</f>
        <v>95</v>
      </c>
      <c r="V18" s="329">
        <f>IFERROR(__xludf.DUMMYFUNCTION("""COMPUTED_VALUE"""),96.0)</f>
        <v>96</v>
      </c>
      <c r="W18" s="329">
        <f>IFERROR(__xludf.DUMMYFUNCTION("""COMPUTED_VALUE"""),7.0)</f>
        <v>7</v>
      </c>
      <c r="X18" s="329">
        <f>IFERROR(__xludf.DUMMYFUNCTION("""COMPUTED_VALUE"""),5.0)</f>
        <v>5</v>
      </c>
      <c r="Y18" s="329">
        <f>IFERROR(__xludf.DUMMYFUNCTION("""COMPUTED_VALUE"""),2.0)</f>
        <v>2</v>
      </c>
      <c r="Z18" s="329">
        <f>IFERROR(__xludf.DUMMYFUNCTION("""COMPUTED_VALUE"""),1123.0)</f>
        <v>1123</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IFERROR(__xludf.DUMMYFUNCTION("""COMPUTED_VALUE"""),44103.0)</f>
        <v>44103</v>
      </c>
      <c r="B19" s="329">
        <f>IFERROR(__xludf.DUMMYFUNCTION("""COMPUTED_VALUE"""),203.0)</f>
        <v>203</v>
      </c>
      <c r="C19" s="329">
        <f>IFERROR(__xludf.DUMMYFUNCTION("""COMPUTED_VALUE"""),134.0)</f>
        <v>134</v>
      </c>
      <c r="D19" s="329">
        <f>IFERROR(__xludf.DUMMYFUNCTION("""COMPUTED_VALUE"""),34747.0)</f>
        <v>34747</v>
      </c>
      <c r="E19" s="329">
        <f>IFERROR(__xludf.DUMMYFUNCTION("""COMPUTED_VALUE"""),11034.0)</f>
        <v>11034</v>
      </c>
      <c r="F19" s="258">
        <f>IFERROR(__xludf.DUMMYFUNCTION("""COMPUTED_VALUE"""),738410.0)</f>
        <v>738410</v>
      </c>
      <c r="G19" s="258">
        <f>IFERROR(__xludf.DUMMYFUNCTION("""COMPUTED_VALUE"""),11237.0)</f>
        <v>11237</v>
      </c>
      <c r="H19" s="258">
        <f>IFERROR(__xludf.DUMMYFUNCTION("""COMPUTED_VALUE"""),773157.0)</f>
        <v>773157</v>
      </c>
      <c r="I19" s="329">
        <f>IFERROR(__xludf.DUMMYFUNCTION("""COMPUTED_VALUE"""),183.0)</f>
        <v>183</v>
      </c>
      <c r="J19" s="329">
        <f>IFERROR(__xludf.DUMMYFUNCTION("""COMPUTED_VALUE"""),120.0)</f>
        <v>120</v>
      </c>
      <c r="K19" s="329">
        <f>IFERROR(__xludf.DUMMYFUNCTION("""COMPUTED_VALUE"""),24784.0)</f>
        <v>24784</v>
      </c>
      <c r="L19" s="329">
        <f>IFERROR(__xludf.DUMMYFUNCTION("""COMPUTED_VALUE"""),2551.0)</f>
        <v>2551</v>
      </c>
      <c r="M19" s="329">
        <f>IFERROR(__xludf.DUMMYFUNCTION("""COMPUTED_VALUE"""),284518.0)</f>
        <v>284518</v>
      </c>
      <c r="N19" s="329">
        <f>IFERROR(__xludf.DUMMYFUNCTION("""COMPUTED_VALUE"""),309302.0)</f>
        <v>309302</v>
      </c>
      <c r="O19" s="329">
        <f>IFERROR(__xludf.DUMMYFUNCTION("""COMPUTED_VALUE"""),12.0)</f>
        <v>12</v>
      </c>
      <c r="P19" s="329">
        <f>IFERROR(__xludf.DUMMYFUNCTION("""COMPUTED_VALUE"""),2728.0)</f>
        <v>2728</v>
      </c>
      <c r="Q19" s="329">
        <f>IFERROR(__xludf.DUMMYFUNCTION("""COMPUTED_VALUE"""),18.0)</f>
        <v>18</v>
      </c>
      <c r="R19" s="329">
        <f>IFERROR(__xludf.DUMMYFUNCTION("""COMPUTED_VALUE"""),2281.0)</f>
        <v>2281</v>
      </c>
      <c r="S19" s="329">
        <f>IFERROR(__xludf.DUMMYFUNCTION("""COMPUTED_VALUE"""),1.0)</f>
        <v>1</v>
      </c>
      <c r="T19" s="329">
        <f>IFERROR(__xludf.DUMMYFUNCTION("""COMPUTED_VALUE"""),359.0)</f>
        <v>359</v>
      </c>
      <c r="U19" s="329">
        <f>IFERROR(__xludf.DUMMYFUNCTION("""COMPUTED_VALUE"""),88.0)</f>
        <v>88</v>
      </c>
      <c r="V19" s="329">
        <f>IFERROR(__xludf.DUMMYFUNCTION("""COMPUTED_VALUE"""),93.0)</f>
        <v>93</v>
      </c>
      <c r="W19" s="329">
        <f>IFERROR(__xludf.DUMMYFUNCTION("""COMPUTED_VALUE"""),6.0)</f>
        <v>6</v>
      </c>
      <c r="X19" s="329">
        <f>IFERROR(__xludf.DUMMYFUNCTION("""COMPUTED_VALUE"""),6.0)</f>
        <v>6</v>
      </c>
      <c r="Y19" s="329">
        <f>IFERROR(__xludf.DUMMYFUNCTION("""COMPUTED_VALUE"""),1.0)</f>
        <v>1</v>
      </c>
      <c r="Z19" s="329">
        <f>IFERROR(__xludf.DUMMYFUNCTION("""COMPUTED_VALUE"""),1124.0)</f>
        <v>1124</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IFERROR(__xludf.DUMMYFUNCTION("""COMPUTED_VALUE"""),44104.0)</f>
        <v>44104</v>
      </c>
      <c r="B20" s="329">
        <f>IFERROR(__xludf.DUMMYFUNCTION("""COMPUTED_VALUE"""),223.0)</f>
        <v>223</v>
      </c>
      <c r="C20" s="329">
        <f>IFERROR(__xludf.DUMMYFUNCTION("""COMPUTED_VALUE"""),194.0)</f>
        <v>194</v>
      </c>
      <c r="D20" s="329">
        <f>IFERROR(__xludf.DUMMYFUNCTION("""COMPUTED_VALUE"""),34970.0)</f>
        <v>34970</v>
      </c>
      <c r="E20" s="329">
        <f>IFERROR(__xludf.DUMMYFUNCTION("""COMPUTED_VALUE"""),12218.0)</f>
        <v>12218</v>
      </c>
      <c r="F20" s="258">
        <f>IFERROR(__xludf.DUMMYFUNCTION("""COMPUTED_VALUE"""),750628.0)</f>
        <v>750628</v>
      </c>
      <c r="G20" s="258">
        <f>IFERROR(__xludf.DUMMYFUNCTION("""COMPUTED_VALUE"""),12441.0)</f>
        <v>12441</v>
      </c>
      <c r="H20" s="258">
        <f>IFERROR(__xludf.DUMMYFUNCTION("""COMPUTED_VALUE"""),785598.0)</f>
        <v>785598</v>
      </c>
      <c r="I20" s="329">
        <f>IFERROR(__xludf.DUMMYFUNCTION("""COMPUTED_VALUE"""),186.0)</f>
        <v>186</v>
      </c>
      <c r="J20" s="329">
        <f>IFERROR(__xludf.DUMMYFUNCTION("""COMPUTED_VALUE"""),170.0)</f>
        <v>170</v>
      </c>
      <c r="K20" s="329">
        <f>IFERROR(__xludf.DUMMYFUNCTION("""COMPUTED_VALUE"""),24970.0)</f>
        <v>24970</v>
      </c>
      <c r="L20" s="329">
        <f>IFERROR(__xludf.DUMMYFUNCTION("""COMPUTED_VALUE"""),2359.0)</f>
        <v>2359</v>
      </c>
      <c r="M20" s="329">
        <f>IFERROR(__xludf.DUMMYFUNCTION("""COMPUTED_VALUE"""),286877.0)</f>
        <v>286877</v>
      </c>
      <c r="N20" s="329">
        <f>IFERROR(__xludf.DUMMYFUNCTION("""COMPUTED_VALUE"""),311847.0)</f>
        <v>311847</v>
      </c>
      <c r="O20" s="329">
        <f>IFERROR(__xludf.DUMMYFUNCTION("""COMPUTED_VALUE"""),6.0)</f>
        <v>6</v>
      </c>
      <c r="P20" s="329">
        <f>IFERROR(__xludf.DUMMYFUNCTION("""COMPUTED_VALUE"""),2734.0)</f>
        <v>2734</v>
      </c>
      <c r="Q20" s="329">
        <f>IFERROR(__xludf.DUMMYFUNCTION("""COMPUTED_VALUE"""),6.0)</f>
        <v>6</v>
      </c>
      <c r="R20" s="329">
        <f>IFERROR(__xludf.DUMMYFUNCTION("""COMPUTED_VALUE"""),2287.0)</f>
        <v>2287</v>
      </c>
      <c r="S20" s="329">
        <f>IFERROR(__xludf.DUMMYFUNCTION("""COMPUTED_VALUE"""),0.0)</f>
        <v>0</v>
      </c>
      <c r="T20" s="329">
        <f>IFERROR(__xludf.DUMMYFUNCTION("""COMPUTED_VALUE"""),359.0)</f>
        <v>359</v>
      </c>
      <c r="U20" s="329">
        <f>IFERROR(__xludf.DUMMYFUNCTION("""COMPUTED_VALUE"""),88.0)</f>
        <v>88</v>
      </c>
      <c r="V20" s="329">
        <f>IFERROR(__xludf.DUMMYFUNCTION("""COMPUTED_VALUE"""),90.0)</f>
        <v>90</v>
      </c>
      <c r="W20" s="329">
        <f>IFERROR(__xludf.DUMMYFUNCTION("""COMPUTED_VALUE"""),6.0)</f>
        <v>6</v>
      </c>
      <c r="X20" s="329">
        <f>IFERROR(__xludf.DUMMYFUNCTION("""COMPUTED_VALUE"""),6.0)</f>
        <v>6</v>
      </c>
      <c r="Y20" s="329">
        <f>IFERROR(__xludf.DUMMYFUNCTION("""COMPUTED_VALUE"""),1.0)</f>
        <v>1</v>
      </c>
      <c r="Z20" s="329">
        <f>IFERROR(__xludf.DUMMYFUNCTION("""COMPUTED_VALUE"""),1125.0)</f>
        <v>1125</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IFERROR(__xludf.DUMMYFUNCTION("""COMPUTED_VALUE"""),44105.0)</f>
        <v>44105</v>
      </c>
      <c r="B21" s="329">
        <f>IFERROR(__xludf.DUMMYFUNCTION("""COMPUTED_VALUE"""),184.0)</f>
        <v>184</v>
      </c>
      <c r="C21" s="329">
        <f>IFERROR(__xludf.DUMMYFUNCTION("""COMPUTED_VALUE"""),203.0)</f>
        <v>203</v>
      </c>
      <c r="D21" s="329">
        <f>IFERROR(__xludf.DUMMYFUNCTION("""COMPUTED_VALUE"""),35154.0)</f>
        <v>35154</v>
      </c>
      <c r="E21" s="329">
        <f>IFERROR(__xludf.DUMMYFUNCTION("""COMPUTED_VALUE"""),12492.0)</f>
        <v>12492</v>
      </c>
      <c r="F21" s="258">
        <f>IFERROR(__xludf.DUMMYFUNCTION("""COMPUTED_VALUE"""),763120.0)</f>
        <v>763120</v>
      </c>
      <c r="G21" s="258">
        <f>IFERROR(__xludf.DUMMYFUNCTION("""COMPUTED_VALUE"""),12676.0)</f>
        <v>12676</v>
      </c>
      <c r="H21" s="258">
        <f>IFERROR(__xludf.DUMMYFUNCTION("""COMPUTED_VALUE"""),798274.0)</f>
        <v>798274</v>
      </c>
      <c r="I21" s="329">
        <f>IFERROR(__xludf.DUMMYFUNCTION("""COMPUTED_VALUE"""),165.0)</f>
        <v>165</v>
      </c>
      <c r="J21" s="329">
        <f>IFERROR(__xludf.DUMMYFUNCTION("""COMPUTED_VALUE"""),178.0)</f>
        <v>178</v>
      </c>
      <c r="K21" s="329">
        <f>IFERROR(__xludf.DUMMYFUNCTION("""COMPUTED_VALUE"""),25135.0)</f>
        <v>25135</v>
      </c>
      <c r="L21" s="329">
        <f>IFERROR(__xludf.DUMMYFUNCTION("""COMPUTED_VALUE"""),2181.0)</f>
        <v>2181</v>
      </c>
      <c r="M21" s="329">
        <f>IFERROR(__xludf.DUMMYFUNCTION("""COMPUTED_VALUE"""),289058.0)</f>
        <v>289058</v>
      </c>
      <c r="N21" s="329">
        <f>IFERROR(__xludf.DUMMYFUNCTION("""COMPUTED_VALUE"""),314193.0)</f>
        <v>314193</v>
      </c>
      <c r="O21" s="329">
        <f>IFERROR(__xludf.DUMMYFUNCTION("""COMPUTED_VALUE"""),17.0)</f>
        <v>17</v>
      </c>
      <c r="P21" s="329">
        <f>IFERROR(__xludf.DUMMYFUNCTION("""COMPUTED_VALUE"""),2751.0)</f>
        <v>2751</v>
      </c>
      <c r="Q21" s="329">
        <f>IFERROR(__xludf.DUMMYFUNCTION("""COMPUTED_VALUE"""),13.0)</f>
        <v>13</v>
      </c>
      <c r="R21" s="329">
        <f>IFERROR(__xludf.DUMMYFUNCTION("""COMPUTED_VALUE"""),2300.0)</f>
        <v>2300</v>
      </c>
      <c r="S21" s="329">
        <f>IFERROR(__xludf.DUMMYFUNCTION("""COMPUTED_VALUE"""),1.0)</f>
        <v>1</v>
      </c>
      <c r="T21" s="329">
        <f>IFERROR(__xludf.DUMMYFUNCTION("""COMPUTED_VALUE"""),360.0)</f>
        <v>360</v>
      </c>
      <c r="U21" s="329">
        <f>IFERROR(__xludf.DUMMYFUNCTION("""COMPUTED_VALUE"""),91.0)</f>
        <v>91</v>
      </c>
      <c r="V21" s="329">
        <f>IFERROR(__xludf.DUMMYFUNCTION("""COMPUTED_VALUE"""),89.0)</f>
        <v>89</v>
      </c>
      <c r="W21" s="329">
        <f>IFERROR(__xludf.DUMMYFUNCTION("""COMPUTED_VALUE"""),6.0)</f>
        <v>6</v>
      </c>
      <c r="X21" s="329">
        <f>IFERROR(__xludf.DUMMYFUNCTION("""COMPUTED_VALUE"""),4.0)</f>
        <v>4</v>
      </c>
      <c r="Y21" s="329">
        <f>IFERROR(__xludf.DUMMYFUNCTION("""COMPUTED_VALUE"""),2.0)</f>
        <v>2</v>
      </c>
      <c r="Z21" s="329">
        <f>IFERROR(__xludf.DUMMYFUNCTION("""COMPUTED_VALUE"""),1127.0)</f>
        <v>1127</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IFERROR(__xludf.DUMMYFUNCTION("""COMPUTED_VALUE"""),44106.0)</f>
        <v>44106</v>
      </c>
      <c r="B22" s="329">
        <f>IFERROR(__xludf.DUMMYFUNCTION("""COMPUTED_VALUE"""),209.0)</f>
        <v>209</v>
      </c>
      <c r="C22" s="329">
        <f>IFERROR(__xludf.DUMMYFUNCTION("""COMPUTED_VALUE"""),205.0)</f>
        <v>205</v>
      </c>
      <c r="D22" s="329">
        <f>IFERROR(__xludf.DUMMYFUNCTION("""COMPUTED_VALUE"""),35363.0)</f>
        <v>35363</v>
      </c>
      <c r="E22" s="329">
        <f>IFERROR(__xludf.DUMMYFUNCTION("""COMPUTED_VALUE"""),12149.0)</f>
        <v>12149</v>
      </c>
      <c r="F22" s="258">
        <f>IFERROR(__xludf.DUMMYFUNCTION("""COMPUTED_VALUE"""),775269.0)</f>
        <v>775269</v>
      </c>
      <c r="G22" s="258">
        <f>IFERROR(__xludf.DUMMYFUNCTION("""COMPUTED_VALUE"""),12358.0)</f>
        <v>12358</v>
      </c>
      <c r="H22" s="258">
        <f>IFERROR(__xludf.DUMMYFUNCTION("""COMPUTED_VALUE"""),810632.0)</f>
        <v>810632</v>
      </c>
      <c r="I22" s="329">
        <f>IFERROR(__xludf.DUMMYFUNCTION("""COMPUTED_VALUE"""),184.0)</f>
        <v>184</v>
      </c>
      <c r="J22" s="329">
        <f>IFERROR(__xludf.DUMMYFUNCTION("""COMPUTED_VALUE"""),178.0)</f>
        <v>178</v>
      </c>
      <c r="K22" s="329">
        <f>IFERROR(__xludf.DUMMYFUNCTION("""COMPUTED_VALUE"""),25319.0)</f>
        <v>25319</v>
      </c>
      <c r="L22" s="329">
        <f>IFERROR(__xludf.DUMMYFUNCTION("""COMPUTED_VALUE"""),2268.0)</f>
        <v>2268</v>
      </c>
      <c r="M22" s="329">
        <f>IFERROR(__xludf.DUMMYFUNCTION("""COMPUTED_VALUE"""),291326.0)</f>
        <v>291326</v>
      </c>
      <c r="N22" s="329">
        <f>IFERROR(__xludf.DUMMYFUNCTION("""COMPUTED_VALUE"""),316645.0)</f>
        <v>316645</v>
      </c>
      <c r="O22" s="329">
        <f>IFERROR(__xludf.DUMMYFUNCTION("""COMPUTED_VALUE"""),14.0)</f>
        <v>14</v>
      </c>
      <c r="P22" s="329">
        <f>IFERROR(__xludf.DUMMYFUNCTION("""COMPUTED_VALUE"""),2765.0)</f>
        <v>2765</v>
      </c>
      <c r="Q22" s="329">
        <f>IFERROR(__xludf.DUMMYFUNCTION("""COMPUTED_VALUE"""),13.0)</f>
        <v>13</v>
      </c>
      <c r="R22" s="329">
        <f>IFERROR(__xludf.DUMMYFUNCTION("""COMPUTED_VALUE"""),2313.0)</f>
        <v>2313</v>
      </c>
      <c r="S22" s="329">
        <f>IFERROR(__xludf.DUMMYFUNCTION("""COMPUTED_VALUE"""),1.0)</f>
        <v>1</v>
      </c>
      <c r="T22" s="329">
        <f>IFERROR(__xludf.DUMMYFUNCTION("""COMPUTED_VALUE"""),361.0)</f>
        <v>361</v>
      </c>
      <c r="U22" s="329">
        <f>IFERROR(__xludf.DUMMYFUNCTION("""COMPUTED_VALUE"""),91.0)</f>
        <v>91</v>
      </c>
      <c r="V22" s="329">
        <f>IFERROR(__xludf.DUMMYFUNCTION("""COMPUTED_VALUE"""),90.0)</f>
        <v>90</v>
      </c>
      <c r="W22" s="329">
        <f>IFERROR(__xludf.DUMMYFUNCTION("""COMPUTED_VALUE"""),8.0)</f>
        <v>8</v>
      </c>
      <c r="X22" s="329">
        <f>IFERROR(__xludf.DUMMYFUNCTION("""COMPUTED_VALUE"""),5.0)</f>
        <v>5</v>
      </c>
      <c r="Y22" s="329">
        <f>IFERROR(__xludf.DUMMYFUNCTION("""COMPUTED_VALUE"""),2.0)</f>
        <v>2</v>
      </c>
      <c r="Z22" s="329">
        <f>IFERROR(__xludf.DUMMYFUNCTION("""COMPUTED_VALUE"""),1129.0)</f>
        <v>1129</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IFERROR(__xludf.DUMMYFUNCTION("""COMPUTED_VALUE"""),44107.0)</f>
        <v>44107</v>
      </c>
      <c r="B23" s="329">
        <f>IFERROR(__xludf.DUMMYFUNCTION("""COMPUTED_VALUE"""),157.0)</f>
        <v>157</v>
      </c>
      <c r="C23" s="329">
        <f>IFERROR(__xludf.DUMMYFUNCTION("""COMPUTED_VALUE"""),183.0)</f>
        <v>183</v>
      </c>
      <c r="D23" s="329">
        <f>IFERROR(__xludf.DUMMYFUNCTION("""COMPUTED_VALUE"""),35520.0)</f>
        <v>35520</v>
      </c>
      <c r="E23" s="329">
        <f>IFERROR(__xludf.DUMMYFUNCTION("""COMPUTED_VALUE"""),9304.0)</f>
        <v>9304</v>
      </c>
      <c r="F23" s="258">
        <f>IFERROR(__xludf.DUMMYFUNCTION("""COMPUTED_VALUE"""),784573.0)</f>
        <v>784573</v>
      </c>
      <c r="G23" s="258">
        <f>IFERROR(__xludf.DUMMYFUNCTION("""COMPUTED_VALUE"""),9461.0)</f>
        <v>9461</v>
      </c>
      <c r="H23" s="258">
        <f>IFERROR(__xludf.DUMMYFUNCTION("""COMPUTED_VALUE"""),820093.0)</f>
        <v>820093</v>
      </c>
      <c r="I23" s="329">
        <f>IFERROR(__xludf.DUMMYFUNCTION("""COMPUTED_VALUE"""),140.0)</f>
        <v>140</v>
      </c>
      <c r="J23" s="329">
        <f>IFERROR(__xludf.DUMMYFUNCTION("""COMPUTED_VALUE"""),163.0)</f>
        <v>163</v>
      </c>
      <c r="K23" s="329">
        <f>IFERROR(__xludf.DUMMYFUNCTION("""COMPUTED_VALUE"""),25459.0)</f>
        <v>25459</v>
      </c>
      <c r="L23" s="329">
        <f>IFERROR(__xludf.DUMMYFUNCTION("""COMPUTED_VALUE"""),1853.0)</f>
        <v>1853</v>
      </c>
      <c r="M23" s="329">
        <f>IFERROR(__xludf.DUMMYFUNCTION("""COMPUTED_VALUE"""),293179.0)</f>
        <v>293179</v>
      </c>
      <c r="N23" s="329">
        <f>IFERROR(__xludf.DUMMYFUNCTION("""COMPUTED_VALUE"""),318638.0)</f>
        <v>318638</v>
      </c>
      <c r="O23" s="329">
        <f>IFERROR(__xludf.DUMMYFUNCTION("""COMPUTED_VALUE"""),8.0)</f>
        <v>8</v>
      </c>
      <c r="P23" s="329">
        <f>IFERROR(__xludf.DUMMYFUNCTION("""COMPUTED_VALUE"""),2773.0)</f>
        <v>2773</v>
      </c>
      <c r="Q23" s="329">
        <f>IFERROR(__xludf.DUMMYFUNCTION("""COMPUTED_VALUE"""),8.0)</f>
        <v>8</v>
      </c>
      <c r="R23" s="329">
        <f>IFERROR(__xludf.DUMMYFUNCTION("""COMPUTED_VALUE"""),2321.0)</f>
        <v>2321</v>
      </c>
      <c r="S23" s="329">
        <f>IFERROR(__xludf.DUMMYFUNCTION("""COMPUTED_VALUE"""),2.0)</f>
        <v>2</v>
      </c>
      <c r="T23" s="329">
        <f>IFERROR(__xludf.DUMMYFUNCTION("""COMPUTED_VALUE"""),363.0)</f>
        <v>363</v>
      </c>
      <c r="U23" s="329">
        <f>IFERROR(__xludf.DUMMYFUNCTION("""COMPUTED_VALUE"""),89.0)</f>
        <v>89</v>
      </c>
      <c r="V23" s="329">
        <f>IFERROR(__xludf.DUMMYFUNCTION("""COMPUTED_VALUE"""),90.0)</f>
        <v>90</v>
      </c>
      <c r="W23" s="329">
        <f>IFERROR(__xludf.DUMMYFUNCTION("""COMPUTED_VALUE"""),9.0)</f>
        <v>9</v>
      </c>
      <c r="X23" s="329">
        <f>IFERROR(__xludf.DUMMYFUNCTION("""COMPUTED_VALUE"""),4.0)</f>
        <v>4</v>
      </c>
      <c r="Y23" s="329">
        <f>IFERROR(__xludf.DUMMYFUNCTION("""COMPUTED_VALUE"""),2.0)</f>
        <v>2</v>
      </c>
      <c r="Z23" s="329">
        <f>IFERROR(__xludf.DUMMYFUNCTION("""COMPUTED_VALUE"""),1131.0)</f>
        <v>1131</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IFERROR(__xludf.DUMMYFUNCTION("""COMPUTED_VALUE"""),44108.0)</f>
        <v>44108</v>
      </c>
      <c r="B24" s="329">
        <f>IFERROR(__xludf.DUMMYFUNCTION("""COMPUTED_VALUE"""),81.0)</f>
        <v>81</v>
      </c>
      <c r="C24" s="329">
        <f>IFERROR(__xludf.DUMMYFUNCTION("""COMPUTED_VALUE"""),149.0)</f>
        <v>149</v>
      </c>
      <c r="D24" s="329">
        <f>IFERROR(__xludf.DUMMYFUNCTION("""COMPUTED_VALUE"""),35601.0)</f>
        <v>35601</v>
      </c>
      <c r="E24" s="329">
        <f>IFERROR(__xludf.DUMMYFUNCTION("""COMPUTED_VALUE"""),2369.0)</f>
        <v>2369</v>
      </c>
      <c r="F24" s="258">
        <f>IFERROR(__xludf.DUMMYFUNCTION("""COMPUTED_VALUE"""),786942.0)</f>
        <v>786942</v>
      </c>
      <c r="G24" s="258">
        <f>IFERROR(__xludf.DUMMYFUNCTION("""COMPUTED_VALUE"""),2450.0)</f>
        <v>2450</v>
      </c>
      <c r="H24" s="258">
        <f>IFERROR(__xludf.DUMMYFUNCTION("""COMPUTED_VALUE"""),822543.0)</f>
        <v>822543</v>
      </c>
      <c r="I24" s="329">
        <f>IFERROR(__xludf.DUMMYFUNCTION("""COMPUTED_VALUE"""),78.0)</f>
        <v>78</v>
      </c>
      <c r="J24" s="329">
        <f>IFERROR(__xludf.DUMMYFUNCTION("""COMPUTED_VALUE"""),134.0)</f>
        <v>134</v>
      </c>
      <c r="K24" s="329">
        <f>IFERROR(__xludf.DUMMYFUNCTION("""COMPUTED_VALUE"""),25537.0)</f>
        <v>25537</v>
      </c>
      <c r="L24" s="329">
        <f>IFERROR(__xludf.DUMMYFUNCTION("""COMPUTED_VALUE"""),869.0)</f>
        <v>869</v>
      </c>
      <c r="M24" s="329">
        <f>IFERROR(__xludf.DUMMYFUNCTION("""COMPUTED_VALUE"""),294048.0)</f>
        <v>294048</v>
      </c>
      <c r="N24" s="329">
        <f>IFERROR(__xludf.DUMMYFUNCTION("""COMPUTED_VALUE"""),319585.0)</f>
        <v>319585</v>
      </c>
      <c r="O24" s="329">
        <f>IFERROR(__xludf.DUMMYFUNCTION("""COMPUTED_VALUE"""),11.0)</f>
        <v>11</v>
      </c>
      <c r="P24" s="329">
        <f>IFERROR(__xludf.DUMMYFUNCTION("""COMPUTED_VALUE"""),2784.0)</f>
        <v>2784</v>
      </c>
      <c r="Q24" s="329">
        <f>IFERROR(__xludf.DUMMYFUNCTION("""COMPUTED_VALUE"""),9.0)</f>
        <v>9</v>
      </c>
      <c r="R24" s="329">
        <f>IFERROR(__xludf.DUMMYFUNCTION("""COMPUTED_VALUE"""),2330.0)</f>
        <v>2330</v>
      </c>
      <c r="S24" s="329">
        <f>IFERROR(__xludf.DUMMYFUNCTION("""COMPUTED_VALUE"""),1.0)</f>
        <v>1</v>
      </c>
      <c r="T24" s="329">
        <f>IFERROR(__xludf.DUMMYFUNCTION("""COMPUTED_VALUE"""),364.0)</f>
        <v>364</v>
      </c>
      <c r="U24" s="329">
        <f>IFERROR(__xludf.DUMMYFUNCTION("""COMPUTED_VALUE"""),90.0)</f>
        <v>90</v>
      </c>
      <c r="V24" s="329">
        <f>IFERROR(__xludf.DUMMYFUNCTION("""COMPUTED_VALUE"""),90.0)</f>
        <v>90</v>
      </c>
      <c r="W24" s="329">
        <f>IFERROR(__xludf.DUMMYFUNCTION("""COMPUTED_VALUE"""),8.0)</f>
        <v>8</v>
      </c>
      <c r="X24" s="329">
        <f>IFERROR(__xludf.DUMMYFUNCTION("""COMPUTED_VALUE"""),5.0)</f>
        <v>5</v>
      </c>
      <c r="Y24" s="329">
        <f>IFERROR(__xludf.DUMMYFUNCTION("""COMPUTED_VALUE"""),2.0)</f>
        <v>2</v>
      </c>
      <c r="Z24" s="329">
        <f>IFERROR(__xludf.DUMMYFUNCTION("""COMPUTED_VALUE"""),1133.0)</f>
        <v>1133</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IFERROR(__xludf.DUMMYFUNCTION("""COMPUTED_VALUE"""),44109.0)</f>
        <v>44109</v>
      </c>
      <c r="B25" s="329">
        <f>IFERROR(__xludf.DUMMYFUNCTION("""COMPUTED_VALUE"""),175.0)</f>
        <v>175</v>
      </c>
      <c r="C25" s="329">
        <f>IFERROR(__xludf.DUMMYFUNCTION("""COMPUTED_VALUE"""),138.0)</f>
        <v>138</v>
      </c>
      <c r="D25" s="329">
        <f>IFERROR(__xludf.DUMMYFUNCTION("""COMPUTED_VALUE"""),35776.0)</f>
        <v>35776</v>
      </c>
      <c r="E25" s="329">
        <f>IFERROR(__xludf.DUMMYFUNCTION("""COMPUTED_VALUE"""),8963.0)</f>
        <v>8963</v>
      </c>
      <c r="F25" s="258">
        <f>IFERROR(__xludf.DUMMYFUNCTION("""COMPUTED_VALUE"""),795905.0)</f>
        <v>795905</v>
      </c>
      <c r="G25" s="258">
        <f>IFERROR(__xludf.DUMMYFUNCTION("""COMPUTED_VALUE"""),9138.0)</f>
        <v>9138</v>
      </c>
      <c r="H25" s="258">
        <f>IFERROR(__xludf.DUMMYFUNCTION("""COMPUTED_VALUE"""),831681.0)</f>
        <v>831681</v>
      </c>
      <c r="I25" s="329">
        <f>IFERROR(__xludf.DUMMYFUNCTION("""COMPUTED_VALUE"""),171.0)</f>
        <v>171</v>
      </c>
      <c r="J25" s="329">
        <f>IFERROR(__xludf.DUMMYFUNCTION("""COMPUTED_VALUE"""),130.0)</f>
        <v>130</v>
      </c>
      <c r="K25" s="329">
        <f>IFERROR(__xludf.DUMMYFUNCTION("""COMPUTED_VALUE"""),25708.0)</f>
        <v>25708</v>
      </c>
      <c r="L25" s="329">
        <f>IFERROR(__xludf.DUMMYFUNCTION("""COMPUTED_VALUE"""),2786.0)</f>
        <v>2786</v>
      </c>
      <c r="M25" s="329">
        <f>IFERROR(__xludf.DUMMYFUNCTION("""COMPUTED_VALUE"""),296834.0)</f>
        <v>296834</v>
      </c>
      <c r="N25" s="329">
        <f>IFERROR(__xludf.DUMMYFUNCTION("""COMPUTED_VALUE"""),322542.0)</f>
        <v>322542</v>
      </c>
      <c r="O25" s="329">
        <f>IFERROR(__xludf.DUMMYFUNCTION("""COMPUTED_VALUE"""),29.0)</f>
        <v>29</v>
      </c>
      <c r="P25" s="329">
        <f>IFERROR(__xludf.DUMMYFUNCTION("""COMPUTED_VALUE"""),2813.0)</f>
        <v>2813</v>
      </c>
      <c r="Q25" s="329">
        <f>IFERROR(__xludf.DUMMYFUNCTION("""COMPUTED_VALUE"""),9.0)</f>
        <v>9</v>
      </c>
      <c r="R25" s="329">
        <f>IFERROR(__xludf.DUMMYFUNCTION("""COMPUTED_VALUE"""),2339.0)</f>
        <v>2339</v>
      </c>
      <c r="S25" s="329">
        <f>IFERROR(__xludf.DUMMYFUNCTION("""COMPUTED_VALUE"""),2.0)</f>
        <v>2</v>
      </c>
      <c r="T25" s="329">
        <f>IFERROR(__xludf.DUMMYFUNCTION("""COMPUTED_VALUE"""),366.0)</f>
        <v>366</v>
      </c>
      <c r="U25" s="329">
        <f>IFERROR(__xludf.DUMMYFUNCTION("""COMPUTED_VALUE"""),108.0)</f>
        <v>108</v>
      </c>
      <c r="V25" s="329">
        <f>IFERROR(__xludf.DUMMYFUNCTION("""COMPUTED_VALUE"""),96.0)</f>
        <v>96</v>
      </c>
      <c r="W25" s="329">
        <f>IFERROR(__xludf.DUMMYFUNCTION("""COMPUTED_VALUE"""),9.0)</f>
        <v>9</v>
      </c>
      <c r="X25" s="329">
        <f>IFERROR(__xludf.DUMMYFUNCTION("""COMPUTED_VALUE"""),6.0)</f>
        <v>6</v>
      </c>
      <c r="Y25" s="329">
        <f>IFERROR(__xludf.DUMMYFUNCTION("""COMPUTED_VALUE"""),4.0)</f>
        <v>4</v>
      </c>
      <c r="Z25" s="329">
        <f>IFERROR(__xludf.DUMMYFUNCTION("""COMPUTED_VALUE"""),1137.0)</f>
        <v>1137</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IFERROR(__xludf.DUMMYFUNCTION("""COMPUTED_VALUE"""),44110.0)</f>
        <v>44110</v>
      </c>
      <c r="B26" s="329">
        <f>IFERROR(__xludf.DUMMYFUNCTION("""COMPUTED_VALUE"""),189.0)</f>
        <v>189</v>
      </c>
      <c r="C26" s="329">
        <f>IFERROR(__xludf.DUMMYFUNCTION("""COMPUTED_VALUE"""),148.0)</f>
        <v>148</v>
      </c>
      <c r="D26" s="329">
        <f>IFERROR(__xludf.DUMMYFUNCTION("""COMPUTED_VALUE"""),35965.0)</f>
        <v>35965</v>
      </c>
      <c r="E26" s="329">
        <f>IFERROR(__xludf.DUMMYFUNCTION("""COMPUTED_VALUE"""),11190.0)</f>
        <v>11190</v>
      </c>
      <c r="F26" s="258">
        <f>IFERROR(__xludf.DUMMYFUNCTION("""COMPUTED_VALUE"""),807095.0)</f>
        <v>807095</v>
      </c>
      <c r="G26" s="258">
        <f>IFERROR(__xludf.DUMMYFUNCTION("""COMPUTED_VALUE"""),11379.0)</f>
        <v>11379</v>
      </c>
      <c r="H26" s="258">
        <f>IFERROR(__xludf.DUMMYFUNCTION("""COMPUTED_VALUE"""),843060.0)</f>
        <v>843060</v>
      </c>
      <c r="I26" s="329">
        <f>IFERROR(__xludf.DUMMYFUNCTION("""COMPUTED_VALUE"""),180.0)</f>
        <v>180</v>
      </c>
      <c r="J26" s="329">
        <f>IFERROR(__xludf.DUMMYFUNCTION("""COMPUTED_VALUE"""),143.0)</f>
        <v>143</v>
      </c>
      <c r="K26" s="329">
        <f>IFERROR(__xludf.DUMMYFUNCTION("""COMPUTED_VALUE"""),25888.0)</f>
        <v>25888</v>
      </c>
      <c r="L26" s="329">
        <f>IFERROR(__xludf.DUMMYFUNCTION("""COMPUTED_VALUE"""),2641.0)</f>
        <v>2641</v>
      </c>
      <c r="M26" s="329">
        <f>IFERROR(__xludf.DUMMYFUNCTION("""COMPUTED_VALUE"""),299475.0)</f>
        <v>299475</v>
      </c>
      <c r="N26" s="329">
        <f>IFERROR(__xludf.DUMMYFUNCTION("""COMPUTED_VALUE"""),325363.0)</f>
        <v>325363</v>
      </c>
      <c r="O26" s="329">
        <f>IFERROR(__xludf.DUMMYFUNCTION("""COMPUTED_VALUE"""),11.0)</f>
        <v>11</v>
      </c>
      <c r="P26" s="329">
        <f>IFERROR(__xludf.DUMMYFUNCTION("""COMPUTED_VALUE"""),2824.0)</f>
        <v>2824</v>
      </c>
      <c r="Q26" s="329">
        <f>IFERROR(__xludf.DUMMYFUNCTION("""COMPUTED_VALUE"""),4.0)</f>
        <v>4</v>
      </c>
      <c r="R26" s="329">
        <f>IFERROR(__xludf.DUMMYFUNCTION("""COMPUTED_VALUE"""),2343.0)</f>
        <v>2343</v>
      </c>
      <c r="S26" s="329">
        <f>IFERROR(__xludf.DUMMYFUNCTION("""COMPUTED_VALUE"""),0.0)</f>
        <v>0</v>
      </c>
      <c r="T26" s="329">
        <f>IFERROR(__xludf.DUMMYFUNCTION("""COMPUTED_VALUE"""),366.0)</f>
        <v>366</v>
      </c>
      <c r="U26" s="329">
        <f>IFERROR(__xludf.DUMMYFUNCTION("""COMPUTED_VALUE"""),115.0)</f>
        <v>115</v>
      </c>
      <c r="V26" s="329">
        <f>IFERROR(__xludf.DUMMYFUNCTION("""COMPUTED_VALUE"""),104.0)</f>
        <v>104</v>
      </c>
      <c r="W26" s="329">
        <f>IFERROR(__xludf.DUMMYFUNCTION("""COMPUTED_VALUE"""),11.0)</f>
        <v>11</v>
      </c>
      <c r="X26" s="329">
        <f>IFERROR(__xludf.DUMMYFUNCTION("""COMPUTED_VALUE"""),7.0)</f>
        <v>7</v>
      </c>
      <c r="Y26" s="329">
        <f>IFERROR(__xludf.DUMMYFUNCTION("""COMPUTED_VALUE"""),0.0)</f>
        <v>0</v>
      </c>
      <c r="Z26" s="329">
        <f>IFERROR(__xludf.DUMMYFUNCTION("""COMPUTED_VALUE"""),1137.0)</f>
        <v>1137</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IFERROR(__xludf.DUMMYFUNCTION("""COMPUTED_VALUE"""),44111.0)</f>
        <v>44111</v>
      </c>
      <c r="B27" s="329">
        <f>IFERROR(__xludf.DUMMYFUNCTION("""COMPUTED_VALUE"""),244.0)</f>
        <v>244</v>
      </c>
      <c r="C27" s="329">
        <f>IFERROR(__xludf.DUMMYFUNCTION("""COMPUTED_VALUE"""),203.0)</f>
        <v>203</v>
      </c>
      <c r="D27" s="329">
        <f>IFERROR(__xludf.DUMMYFUNCTION("""COMPUTED_VALUE"""),36209.0)</f>
        <v>36209</v>
      </c>
      <c r="E27" s="329">
        <f>IFERROR(__xludf.DUMMYFUNCTION("""COMPUTED_VALUE"""),12443.0)</f>
        <v>12443</v>
      </c>
      <c r="F27" s="258">
        <f>IFERROR(__xludf.DUMMYFUNCTION("""COMPUTED_VALUE"""),819538.0)</f>
        <v>819538</v>
      </c>
      <c r="G27" s="258">
        <f>IFERROR(__xludf.DUMMYFUNCTION("""COMPUTED_VALUE"""),12687.0)</f>
        <v>12687</v>
      </c>
      <c r="H27" s="258">
        <f>IFERROR(__xludf.DUMMYFUNCTION("""COMPUTED_VALUE"""),855747.0)</f>
        <v>855747</v>
      </c>
      <c r="I27" s="329">
        <f>IFERROR(__xludf.DUMMYFUNCTION("""COMPUTED_VALUE"""),247.0)</f>
        <v>247</v>
      </c>
      <c r="J27" s="329">
        <f>IFERROR(__xludf.DUMMYFUNCTION("""COMPUTED_VALUE"""),199.0)</f>
        <v>199</v>
      </c>
      <c r="K27" s="329">
        <f>IFERROR(__xludf.DUMMYFUNCTION("""COMPUTED_VALUE"""),26135.0)</f>
        <v>26135</v>
      </c>
      <c r="L27" s="329">
        <f>IFERROR(__xludf.DUMMYFUNCTION("""COMPUTED_VALUE"""),3218.0)</f>
        <v>3218</v>
      </c>
      <c r="M27" s="329">
        <f>IFERROR(__xludf.DUMMYFUNCTION("""COMPUTED_VALUE"""),302693.0)</f>
        <v>302693</v>
      </c>
      <c r="N27" s="329">
        <f>IFERROR(__xludf.DUMMYFUNCTION("""COMPUTED_VALUE"""),328828.0)</f>
        <v>328828</v>
      </c>
      <c r="O27" s="329">
        <f>IFERROR(__xludf.DUMMYFUNCTION("""COMPUTED_VALUE"""),13.0)</f>
        <v>13</v>
      </c>
      <c r="P27" s="329">
        <f>IFERROR(__xludf.DUMMYFUNCTION("""COMPUTED_VALUE"""),2837.0)</f>
        <v>2837</v>
      </c>
      <c r="Q27" s="329">
        <f>IFERROR(__xludf.DUMMYFUNCTION("""COMPUTED_VALUE"""),14.0)</f>
        <v>14</v>
      </c>
      <c r="R27" s="329">
        <f>IFERROR(__xludf.DUMMYFUNCTION("""COMPUTED_VALUE"""),2357.0)</f>
        <v>2357</v>
      </c>
      <c r="S27" s="329">
        <f>IFERROR(__xludf.DUMMYFUNCTION("""COMPUTED_VALUE"""),2.0)</f>
        <v>2</v>
      </c>
      <c r="T27" s="329">
        <f>IFERROR(__xludf.DUMMYFUNCTION("""COMPUTED_VALUE"""),368.0)</f>
        <v>368</v>
      </c>
      <c r="U27" s="329">
        <f>IFERROR(__xludf.DUMMYFUNCTION("""COMPUTED_VALUE"""),112.0)</f>
        <v>112</v>
      </c>
      <c r="V27" s="329">
        <f>IFERROR(__xludf.DUMMYFUNCTION("""COMPUTED_VALUE"""),112.0)</f>
        <v>112</v>
      </c>
      <c r="W27" s="329">
        <f>IFERROR(__xludf.DUMMYFUNCTION("""COMPUTED_VALUE"""),9.0)</f>
        <v>9</v>
      </c>
      <c r="X27" s="329">
        <f>IFERROR(__xludf.DUMMYFUNCTION("""COMPUTED_VALUE"""),7.0)</f>
        <v>7</v>
      </c>
      <c r="Y27" s="329">
        <f>IFERROR(__xludf.DUMMYFUNCTION("""COMPUTED_VALUE"""),2.0)</f>
        <v>2</v>
      </c>
      <c r="Z27" s="329">
        <f>IFERROR(__xludf.DUMMYFUNCTION("""COMPUTED_VALUE"""),1139.0)</f>
        <v>1139</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IFERROR(__xludf.DUMMYFUNCTION("""COMPUTED_VALUE"""),44112.0)</f>
        <v>44112</v>
      </c>
      <c r="B28" s="329">
        <f>IFERROR(__xludf.DUMMYFUNCTION("""COMPUTED_VALUE"""),283.0)</f>
        <v>283</v>
      </c>
      <c r="C28" s="329">
        <f>IFERROR(__xludf.DUMMYFUNCTION("""COMPUTED_VALUE"""),239.0)</f>
        <v>239</v>
      </c>
      <c r="D28" s="329">
        <f>IFERROR(__xludf.DUMMYFUNCTION("""COMPUTED_VALUE"""),36492.0)</f>
        <v>36492</v>
      </c>
      <c r="E28" s="329">
        <f>IFERROR(__xludf.DUMMYFUNCTION("""COMPUTED_VALUE"""),15222.0)</f>
        <v>15222</v>
      </c>
      <c r="F28" s="258">
        <f>IFERROR(__xludf.DUMMYFUNCTION("""COMPUTED_VALUE"""),834760.0)</f>
        <v>834760</v>
      </c>
      <c r="G28" s="258">
        <f>IFERROR(__xludf.DUMMYFUNCTION("""COMPUTED_VALUE"""),15505.0)</f>
        <v>15505</v>
      </c>
      <c r="H28" s="258">
        <f>IFERROR(__xludf.DUMMYFUNCTION("""COMPUTED_VALUE"""),871252.0)</f>
        <v>871252</v>
      </c>
      <c r="I28" s="329">
        <f>IFERROR(__xludf.DUMMYFUNCTION("""COMPUTED_VALUE"""),269.0)</f>
        <v>269</v>
      </c>
      <c r="J28" s="329">
        <f>IFERROR(__xludf.DUMMYFUNCTION("""COMPUTED_VALUE"""),232.0)</f>
        <v>232</v>
      </c>
      <c r="K28" s="329">
        <f>IFERROR(__xludf.DUMMYFUNCTION("""COMPUTED_VALUE"""),26404.0)</f>
        <v>26404</v>
      </c>
      <c r="L28" s="329">
        <f>IFERROR(__xludf.DUMMYFUNCTION("""COMPUTED_VALUE"""),3811.0)</f>
        <v>3811</v>
      </c>
      <c r="M28" s="329">
        <f>IFERROR(__xludf.DUMMYFUNCTION("""COMPUTED_VALUE"""),306504.0)</f>
        <v>306504</v>
      </c>
      <c r="N28" s="329">
        <f>IFERROR(__xludf.DUMMYFUNCTION("""COMPUTED_VALUE"""),332908.0)</f>
        <v>332908</v>
      </c>
      <c r="O28" s="329">
        <f>IFERROR(__xludf.DUMMYFUNCTION("""COMPUTED_VALUE"""),17.0)</f>
        <v>17</v>
      </c>
      <c r="P28" s="329">
        <f>IFERROR(__xludf.DUMMYFUNCTION("""COMPUTED_VALUE"""),2854.0)</f>
        <v>2854</v>
      </c>
      <c r="Q28" s="329">
        <f>IFERROR(__xludf.DUMMYFUNCTION("""COMPUTED_VALUE"""),13.0)</f>
        <v>13</v>
      </c>
      <c r="R28" s="329">
        <f>IFERROR(__xludf.DUMMYFUNCTION("""COMPUTED_VALUE"""),2370.0)</f>
        <v>2370</v>
      </c>
      <c r="S28" s="329">
        <f>IFERROR(__xludf.DUMMYFUNCTION("""COMPUTED_VALUE"""),2.0)</f>
        <v>2</v>
      </c>
      <c r="T28" s="329">
        <f>IFERROR(__xludf.DUMMYFUNCTION("""COMPUTED_VALUE"""),370.0)</f>
        <v>370</v>
      </c>
      <c r="U28" s="329">
        <f>IFERROR(__xludf.DUMMYFUNCTION("""COMPUTED_VALUE"""),114.0)</f>
        <v>114</v>
      </c>
      <c r="V28" s="329">
        <f>IFERROR(__xludf.DUMMYFUNCTION("""COMPUTED_VALUE"""),114.0)</f>
        <v>114</v>
      </c>
      <c r="W28" s="329">
        <f>IFERROR(__xludf.DUMMYFUNCTION("""COMPUTED_VALUE"""),7.0)</f>
        <v>7</v>
      </c>
      <c r="X28" s="329">
        <f>IFERROR(__xludf.DUMMYFUNCTION("""COMPUTED_VALUE"""),5.0)</f>
        <v>5</v>
      </c>
      <c r="Y28" s="329">
        <f>IFERROR(__xludf.DUMMYFUNCTION("""COMPUTED_VALUE"""),4.0)</f>
        <v>4</v>
      </c>
      <c r="Z28" s="329">
        <f>IFERROR(__xludf.DUMMYFUNCTION("""COMPUTED_VALUE"""),1143.0)</f>
        <v>1143</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IFERROR(__xludf.DUMMYFUNCTION("""COMPUTED_VALUE"""),44113.0)</f>
        <v>44113</v>
      </c>
      <c r="B29" s="329">
        <f>IFERROR(__xludf.DUMMYFUNCTION("""COMPUTED_VALUE"""),231.0)</f>
        <v>231</v>
      </c>
      <c r="C29" s="329">
        <f>IFERROR(__xludf.DUMMYFUNCTION("""COMPUTED_VALUE"""),253.0)</f>
        <v>253</v>
      </c>
      <c r="D29" s="329">
        <f>IFERROR(__xludf.DUMMYFUNCTION("""COMPUTED_VALUE"""),36723.0)</f>
        <v>36723</v>
      </c>
      <c r="E29" s="329">
        <f>IFERROR(__xludf.DUMMYFUNCTION("""COMPUTED_VALUE"""),13729.0)</f>
        <v>13729</v>
      </c>
      <c r="F29" s="258">
        <f>IFERROR(__xludf.DUMMYFUNCTION("""COMPUTED_VALUE"""),848489.0)</f>
        <v>848489</v>
      </c>
      <c r="G29" s="258">
        <f>IFERROR(__xludf.DUMMYFUNCTION("""COMPUTED_VALUE"""),13960.0)</f>
        <v>13960</v>
      </c>
      <c r="H29" s="258">
        <f>IFERROR(__xludf.DUMMYFUNCTION("""COMPUTED_VALUE"""),885212.0)</f>
        <v>885212</v>
      </c>
      <c r="I29" s="329">
        <f>IFERROR(__xludf.DUMMYFUNCTION("""COMPUTED_VALUE"""),198.0)</f>
        <v>198</v>
      </c>
      <c r="J29" s="329">
        <f>IFERROR(__xludf.DUMMYFUNCTION("""COMPUTED_VALUE"""),238.0)</f>
        <v>238</v>
      </c>
      <c r="K29" s="329">
        <f>IFERROR(__xludf.DUMMYFUNCTION("""COMPUTED_VALUE"""),26602.0)</f>
        <v>26602</v>
      </c>
      <c r="L29" s="329">
        <f>IFERROR(__xludf.DUMMYFUNCTION("""COMPUTED_VALUE"""),3821.0)</f>
        <v>3821</v>
      </c>
      <c r="M29" s="329">
        <f>IFERROR(__xludf.DUMMYFUNCTION("""COMPUTED_VALUE"""),310325.0)</f>
        <v>310325</v>
      </c>
      <c r="N29" s="329">
        <f>IFERROR(__xludf.DUMMYFUNCTION("""COMPUTED_VALUE"""),336927.0)</f>
        <v>336927</v>
      </c>
      <c r="O29" s="329">
        <f>IFERROR(__xludf.DUMMYFUNCTION("""COMPUTED_VALUE"""),21.0)</f>
        <v>21</v>
      </c>
      <c r="P29" s="329">
        <f>IFERROR(__xludf.DUMMYFUNCTION("""COMPUTED_VALUE"""),2875.0)</f>
        <v>2875</v>
      </c>
      <c r="Q29" s="329">
        <f>IFERROR(__xludf.DUMMYFUNCTION("""COMPUTED_VALUE"""),12.0)</f>
        <v>12</v>
      </c>
      <c r="R29" s="329">
        <f>IFERROR(__xludf.DUMMYFUNCTION("""COMPUTED_VALUE"""),2382.0)</f>
        <v>2382</v>
      </c>
      <c r="S29" s="329">
        <f>IFERROR(__xludf.DUMMYFUNCTION("""COMPUTED_VALUE"""),0.0)</f>
        <v>0</v>
      </c>
      <c r="T29" s="329">
        <f>IFERROR(__xludf.DUMMYFUNCTION("""COMPUTED_VALUE"""),370.0)</f>
        <v>370</v>
      </c>
      <c r="U29" s="329">
        <f>IFERROR(__xludf.DUMMYFUNCTION("""COMPUTED_VALUE"""),123.0)</f>
        <v>123</v>
      </c>
      <c r="V29" s="329">
        <f>IFERROR(__xludf.DUMMYFUNCTION("""COMPUTED_VALUE"""),116.0)</f>
        <v>116</v>
      </c>
      <c r="W29" s="329">
        <f>IFERROR(__xludf.DUMMYFUNCTION("""COMPUTED_VALUE"""),10.0)</f>
        <v>10</v>
      </c>
      <c r="X29" s="329">
        <f>IFERROR(__xludf.DUMMYFUNCTION("""COMPUTED_VALUE"""),7.0)</f>
        <v>7</v>
      </c>
      <c r="Y29" s="329">
        <f>IFERROR(__xludf.DUMMYFUNCTION("""COMPUTED_VALUE"""),3.0)</f>
        <v>3</v>
      </c>
      <c r="Z29" s="329">
        <f>IFERROR(__xludf.DUMMYFUNCTION("""COMPUTED_VALUE"""),1146.0)</f>
        <v>1146</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IFERROR(__xludf.DUMMYFUNCTION("""COMPUTED_VALUE"""),44114.0)</f>
        <v>44114</v>
      </c>
      <c r="B30" s="329">
        <f>IFERROR(__xludf.DUMMYFUNCTION("""COMPUTED_VALUE"""),232.0)</f>
        <v>232</v>
      </c>
      <c r="C30" s="329">
        <f>IFERROR(__xludf.DUMMYFUNCTION("""COMPUTED_VALUE"""),249.0)</f>
        <v>249</v>
      </c>
      <c r="D30" s="329">
        <f>IFERROR(__xludf.DUMMYFUNCTION("""COMPUTED_VALUE"""),36955.0)</f>
        <v>36955</v>
      </c>
      <c r="E30" s="329">
        <f>IFERROR(__xludf.DUMMYFUNCTION("""COMPUTED_VALUE"""),13829.0)</f>
        <v>13829</v>
      </c>
      <c r="F30" s="258">
        <f>IFERROR(__xludf.DUMMYFUNCTION("""COMPUTED_VALUE"""),862318.0)</f>
        <v>862318</v>
      </c>
      <c r="G30" s="258">
        <f>IFERROR(__xludf.DUMMYFUNCTION("""COMPUTED_VALUE"""),14061.0)</f>
        <v>14061</v>
      </c>
      <c r="H30" s="258">
        <f>IFERROR(__xludf.DUMMYFUNCTION("""COMPUTED_VALUE"""),899273.0)</f>
        <v>899273</v>
      </c>
      <c r="I30" s="329">
        <f>IFERROR(__xludf.DUMMYFUNCTION("""COMPUTED_VALUE"""),183.0)</f>
        <v>183</v>
      </c>
      <c r="J30" s="329">
        <f>IFERROR(__xludf.DUMMYFUNCTION("""COMPUTED_VALUE"""),217.0)</f>
        <v>217</v>
      </c>
      <c r="K30" s="329">
        <f>IFERROR(__xludf.DUMMYFUNCTION("""COMPUTED_VALUE"""),26785.0)</f>
        <v>26785</v>
      </c>
      <c r="L30" s="329">
        <f>IFERROR(__xludf.DUMMYFUNCTION("""COMPUTED_VALUE"""),3438.0)</f>
        <v>3438</v>
      </c>
      <c r="M30" s="329">
        <f>IFERROR(__xludf.DUMMYFUNCTION("""COMPUTED_VALUE"""),313763.0)</f>
        <v>313763</v>
      </c>
      <c r="N30" s="329">
        <f>IFERROR(__xludf.DUMMYFUNCTION("""COMPUTED_VALUE"""),340548.0)</f>
        <v>340548</v>
      </c>
      <c r="O30" s="329">
        <f>IFERROR(__xludf.DUMMYFUNCTION("""COMPUTED_VALUE"""),18.0)</f>
        <v>18</v>
      </c>
      <c r="P30" s="329">
        <f>IFERROR(__xludf.DUMMYFUNCTION("""COMPUTED_VALUE"""),2893.0)</f>
        <v>2893</v>
      </c>
      <c r="Q30" s="329">
        <f>IFERROR(__xludf.DUMMYFUNCTION("""COMPUTED_VALUE"""),9.0)</f>
        <v>9</v>
      </c>
      <c r="R30" s="329">
        <f>IFERROR(__xludf.DUMMYFUNCTION("""COMPUTED_VALUE"""),2391.0)</f>
        <v>2391</v>
      </c>
      <c r="S30" s="329">
        <f>IFERROR(__xludf.DUMMYFUNCTION("""COMPUTED_VALUE"""),1.0)</f>
        <v>1</v>
      </c>
      <c r="T30" s="329">
        <f>IFERROR(__xludf.DUMMYFUNCTION("""COMPUTED_VALUE"""),371.0)</f>
        <v>371</v>
      </c>
      <c r="U30" s="329">
        <f>IFERROR(__xludf.DUMMYFUNCTION("""COMPUTED_VALUE"""),131.0)</f>
        <v>131</v>
      </c>
      <c r="V30" s="329">
        <f>IFERROR(__xludf.DUMMYFUNCTION("""COMPUTED_VALUE"""),123.0)</f>
        <v>123</v>
      </c>
      <c r="W30" s="329">
        <f>IFERROR(__xludf.DUMMYFUNCTION("""COMPUTED_VALUE"""),13.0)</f>
        <v>13</v>
      </c>
      <c r="X30" s="329">
        <f>IFERROR(__xludf.DUMMYFUNCTION("""COMPUTED_VALUE"""),7.0)</f>
        <v>7</v>
      </c>
      <c r="Y30" s="329">
        <f>IFERROR(__xludf.DUMMYFUNCTION("""COMPUTED_VALUE"""),2.0)</f>
        <v>2</v>
      </c>
      <c r="Z30" s="329">
        <f>IFERROR(__xludf.DUMMYFUNCTION("""COMPUTED_VALUE"""),1148.0)</f>
        <v>1148</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IFERROR(__xludf.DUMMYFUNCTION("""COMPUTED_VALUE"""),44115.0)</f>
        <v>44115</v>
      </c>
      <c r="B31" s="329">
        <f>IFERROR(__xludf.DUMMYFUNCTION("""COMPUTED_VALUE"""),100.0)</f>
        <v>100</v>
      </c>
      <c r="C31" s="329">
        <f>IFERROR(__xludf.DUMMYFUNCTION("""COMPUTED_VALUE"""),188.0)</f>
        <v>188</v>
      </c>
      <c r="D31" s="329">
        <f>IFERROR(__xludf.DUMMYFUNCTION("""COMPUTED_VALUE"""),37055.0)</f>
        <v>37055</v>
      </c>
      <c r="E31" s="329">
        <f>IFERROR(__xludf.DUMMYFUNCTION("""COMPUTED_VALUE"""),3264.0)</f>
        <v>3264</v>
      </c>
      <c r="F31" s="258">
        <f>IFERROR(__xludf.DUMMYFUNCTION("""COMPUTED_VALUE"""),865582.0)</f>
        <v>865582</v>
      </c>
      <c r="G31" s="258">
        <f>IFERROR(__xludf.DUMMYFUNCTION("""COMPUTED_VALUE"""),3364.0)</f>
        <v>3364</v>
      </c>
      <c r="H31" s="258">
        <f>IFERROR(__xludf.DUMMYFUNCTION("""COMPUTED_VALUE"""),902637.0)</f>
        <v>902637</v>
      </c>
      <c r="I31" s="329">
        <f>IFERROR(__xludf.DUMMYFUNCTION("""COMPUTED_VALUE"""),91.0)</f>
        <v>91</v>
      </c>
      <c r="J31" s="329">
        <f>IFERROR(__xludf.DUMMYFUNCTION("""COMPUTED_VALUE"""),157.0)</f>
        <v>157</v>
      </c>
      <c r="K31" s="329">
        <f>IFERROR(__xludf.DUMMYFUNCTION("""COMPUTED_VALUE"""),26876.0)</f>
        <v>26876</v>
      </c>
      <c r="L31" s="329">
        <f>IFERROR(__xludf.DUMMYFUNCTION("""COMPUTED_VALUE"""),1071.0)</f>
        <v>1071</v>
      </c>
      <c r="M31" s="329">
        <f>IFERROR(__xludf.DUMMYFUNCTION("""COMPUTED_VALUE"""),314834.0)</f>
        <v>314834</v>
      </c>
      <c r="N31" s="329">
        <f>IFERROR(__xludf.DUMMYFUNCTION("""COMPUTED_VALUE"""),341710.0)</f>
        <v>341710</v>
      </c>
      <c r="O31" s="329">
        <f>IFERROR(__xludf.DUMMYFUNCTION("""COMPUTED_VALUE"""),11.0)</f>
        <v>11</v>
      </c>
      <c r="P31" s="329">
        <f>IFERROR(__xludf.DUMMYFUNCTION("""COMPUTED_VALUE"""),2904.0)</f>
        <v>2904</v>
      </c>
      <c r="Q31" s="329">
        <f>IFERROR(__xludf.DUMMYFUNCTION("""COMPUTED_VALUE"""),8.0)</f>
        <v>8</v>
      </c>
      <c r="R31" s="329">
        <f>IFERROR(__xludf.DUMMYFUNCTION("""COMPUTED_VALUE"""),2399.0)</f>
        <v>2399</v>
      </c>
      <c r="S31" s="329">
        <f>IFERROR(__xludf.DUMMYFUNCTION("""COMPUTED_VALUE"""),1.0)</f>
        <v>1</v>
      </c>
      <c r="T31" s="329">
        <f>IFERROR(__xludf.DUMMYFUNCTION("""COMPUTED_VALUE"""),372.0)</f>
        <v>372</v>
      </c>
      <c r="U31" s="329">
        <f>IFERROR(__xludf.DUMMYFUNCTION("""COMPUTED_VALUE"""),133.0)</f>
        <v>133</v>
      </c>
      <c r="V31" s="329">
        <f>IFERROR(__xludf.DUMMYFUNCTION("""COMPUTED_VALUE"""),129.0)</f>
        <v>129</v>
      </c>
      <c r="W31" s="329">
        <f>IFERROR(__xludf.DUMMYFUNCTION("""COMPUTED_VALUE"""),14.0)</f>
        <v>14</v>
      </c>
      <c r="X31" s="329">
        <f>IFERROR(__xludf.DUMMYFUNCTION("""COMPUTED_VALUE"""),5.0)</f>
        <v>5</v>
      </c>
      <c r="Y31" s="329">
        <f>IFERROR(__xludf.DUMMYFUNCTION("""COMPUTED_VALUE"""),6.0)</f>
        <v>6</v>
      </c>
      <c r="Z31" s="329">
        <f>IFERROR(__xludf.DUMMYFUNCTION("""COMPUTED_VALUE"""),1154.0)</f>
        <v>1154</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IFERROR(__xludf.DUMMYFUNCTION("""COMPUTED_VALUE"""),44116.0)</f>
        <v>44116</v>
      </c>
      <c r="B32" s="329">
        <f>IFERROR(__xludf.DUMMYFUNCTION("""COMPUTED_VALUE"""),170.0)</f>
        <v>170</v>
      </c>
      <c r="C32" s="329">
        <f>IFERROR(__xludf.DUMMYFUNCTION("""COMPUTED_VALUE"""),167.0)</f>
        <v>167</v>
      </c>
      <c r="D32" s="329">
        <f>IFERROR(__xludf.DUMMYFUNCTION("""COMPUTED_VALUE"""),37225.0)</f>
        <v>37225</v>
      </c>
      <c r="E32" s="329">
        <f>IFERROR(__xludf.DUMMYFUNCTION("""COMPUTED_VALUE"""),6420.0)</f>
        <v>6420</v>
      </c>
      <c r="F32" s="258">
        <f>IFERROR(__xludf.DUMMYFUNCTION("""COMPUTED_VALUE"""),872002.0)</f>
        <v>872002</v>
      </c>
      <c r="G32" s="258">
        <f>IFERROR(__xludf.DUMMYFUNCTION("""COMPUTED_VALUE"""),6590.0)</f>
        <v>6590</v>
      </c>
      <c r="H32" s="258">
        <f>IFERROR(__xludf.DUMMYFUNCTION("""COMPUTED_VALUE"""),909227.0)</f>
        <v>909227</v>
      </c>
      <c r="I32" s="329">
        <f>IFERROR(__xludf.DUMMYFUNCTION("""COMPUTED_VALUE"""),172.0)</f>
        <v>172</v>
      </c>
      <c r="J32" s="329">
        <f>IFERROR(__xludf.DUMMYFUNCTION("""COMPUTED_VALUE"""),149.0)</f>
        <v>149</v>
      </c>
      <c r="K32" s="329">
        <f>IFERROR(__xludf.DUMMYFUNCTION("""COMPUTED_VALUE"""),27048.0)</f>
        <v>27048</v>
      </c>
      <c r="L32" s="329">
        <f>IFERROR(__xludf.DUMMYFUNCTION("""COMPUTED_VALUE"""),1587.0)</f>
        <v>1587</v>
      </c>
      <c r="M32" s="329">
        <f>IFERROR(__xludf.DUMMYFUNCTION("""COMPUTED_VALUE"""),316421.0)</f>
        <v>316421</v>
      </c>
      <c r="N32" s="329">
        <f>IFERROR(__xludf.DUMMYFUNCTION("""COMPUTED_VALUE"""),343469.0)</f>
        <v>343469</v>
      </c>
      <c r="O32" s="329">
        <f>IFERROR(__xludf.DUMMYFUNCTION("""COMPUTED_VALUE"""),19.0)</f>
        <v>19</v>
      </c>
      <c r="P32" s="329">
        <f>IFERROR(__xludf.DUMMYFUNCTION("""COMPUTED_VALUE"""),2923.0)</f>
        <v>2923</v>
      </c>
      <c r="Q32" s="329">
        <f>IFERROR(__xludf.DUMMYFUNCTION("""COMPUTED_VALUE"""),15.0)</f>
        <v>15</v>
      </c>
      <c r="R32" s="329">
        <f>IFERROR(__xludf.DUMMYFUNCTION("""COMPUTED_VALUE"""),2414.0)</f>
        <v>2414</v>
      </c>
      <c r="S32" s="329">
        <f>IFERROR(__xludf.DUMMYFUNCTION("""COMPUTED_VALUE"""),2.0)</f>
        <v>2</v>
      </c>
      <c r="T32" s="329">
        <f>IFERROR(__xludf.DUMMYFUNCTION("""COMPUTED_VALUE"""),374.0)</f>
        <v>374</v>
      </c>
      <c r="U32" s="329">
        <f>IFERROR(__xludf.DUMMYFUNCTION("""COMPUTED_VALUE"""),135.0)</f>
        <v>135</v>
      </c>
      <c r="V32" s="329">
        <f>IFERROR(__xludf.DUMMYFUNCTION("""COMPUTED_VALUE"""),133.0)</f>
        <v>133</v>
      </c>
      <c r="W32" s="329">
        <f>IFERROR(__xludf.DUMMYFUNCTION("""COMPUTED_VALUE"""),14.0)</f>
        <v>14</v>
      </c>
      <c r="X32" s="329">
        <f>IFERROR(__xludf.DUMMYFUNCTION("""COMPUTED_VALUE"""),5.0)</f>
        <v>5</v>
      </c>
      <c r="Y32" s="329">
        <f>IFERROR(__xludf.DUMMYFUNCTION("""COMPUTED_VALUE"""),5.0)</f>
        <v>5</v>
      </c>
      <c r="Z32" s="329">
        <f>IFERROR(__xludf.DUMMYFUNCTION("""COMPUTED_VALUE"""),1159.0)</f>
        <v>1159</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IFERROR(__xludf.DUMMYFUNCTION("""COMPUTED_VALUE"""),44117.0)</f>
        <v>44117</v>
      </c>
      <c r="B33" s="329">
        <f>IFERROR(__xludf.DUMMYFUNCTION("""COMPUTED_VALUE"""),230.0)</f>
        <v>230</v>
      </c>
      <c r="C33" s="329">
        <f>IFERROR(__xludf.DUMMYFUNCTION("""COMPUTED_VALUE"""),167.0)</f>
        <v>167</v>
      </c>
      <c r="D33" s="329">
        <f>IFERROR(__xludf.DUMMYFUNCTION("""COMPUTED_VALUE"""),37455.0)</f>
        <v>37455</v>
      </c>
      <c r="E33" s="329">
        <f>IFERROR(__xludf.DUMMYFUNCTION("""COMPUTED_VALUE"""),8518.0)</f>
        <v>8518</v>
      </c>
      <c r="F33" s="258">
        <f>IFERROR(__xludf.DUMMYFUNCTION("""COMPUTED_VALUE"""),880520.0)</f>
        <v>880520</v>
      </c>
      <c r="G33" s="258">
        <f>IFERROR(__xludf.DUMMYFUNCTION("""COMPUTED_VALUE"""),8748.0)</f>
        <v>8748</v>
      </c>
      <c r="H33" s="258">
        <f>IFERROR(__xludf.DUMMYFUNCTION("""COMPUTED_VALUE"""),917975.0)</f>
        <v>917975</v>
      </c>
      <c r="I33" s="329">
        <f>IFERROR(__xludf.DUMMYFUNCTION("""COMPUTED_VALUE"""),224.0)</f>
        <v>224</v>
      </c>
      <c r="J33" s="329">
        <f>IFERROR(__xludf.DUMMYFUNCTION("""COMPUTED_VALUE"""),162.0)</f>
        <v>162</v>
      </c>
      <c r="K33" s="329">
        <f>IFERROR(__xludf.DUMMYFUNCTION("""COMPUTED_VALUE"""),27272.0)</f>
        <v>27272</v>
      </c>
      <c r="L33" s="329">
        <f>IFERROR(__xludf.DUMMYFUNCTION("""COMPUTED_VALUE"""),2138.0)</f>
        <v>2138</v>
      </c>
      <c r="M33" s="329">
        <f>IFERROR(__xludf.DUMMYFUNCTION("""COMPUTED_VALUE"""),318559.0)</f>
        <v>318559</v>
      </c>
      <c r="N33" s="329">
        <f>IFERROR(__xludf.DUMMYFUNCTION("""COMPUTED_VALUE"""),345831.0)</f>
        <v>345831</v>
      </c>
      <c r="O33" s="329">
        <f>IFERROR(__xludf.DUMMYFUNCTION("""COMPUTED_VALUE"""),16.0)</f>
        <v>16</v>
      </c>
      <c r="P33" s="329">
        <f>IFERROR(__xludf.DUMMYFUNCTION("""COMPUTED_VALUE"""),2939.0)</f>
        <v>2939</v>
      </c>
      <c r="Q33" s="329">
        <f>IFERROR(__xludf.DUMMYFUNCTION("""COMPUTED_VALUE"""),13.0)</f>
        <v>13</v>
      </c>
      <c r="R33" s="329">
        <f>IFERROR(__xludf.DUMMYFUNCTION("""COMPUTED_VALUE"""),2427.0)</f>
        <v>2427</v>
      </c>
      <c r="S33" s="329">
        <f>IFERROR(__xludf.DUMMYFUNCTION("""COMPUTED_VALUE"""),4.0)</f>
        <v>4</v>
      </c>
      <c r="T33" s="329">
        <f>IFERROR(__xludf.DUMMYFUNCTION("""COMPUTED_VALUE"""),378.0)</f>
        <v>378</v>
      </c>
      <c r="U33" s="329">
        <f>IFERROR(__xludf.DUMMYFUNCTION("""COMPUTED_VALUE"""),134.0)</f>
        <v>134</v>
      </c>
      <c r="V33" s="329">
        <f>IFERROR(__xludf.DUMMYFUNCTION("""COMPUTED_VALUE"""),134.0)</f>
        <v>134</v>
      </c>
      <c r="W33" s="329">
        <f>IFERROR(__xludf.DUMMYFUNCTION("""COMPUTED_VALUE"""),13.0)</f>
        <v>13</v>
      </c>
      <c r="X33" s="329">
        <f>IFERROR(__xludf.DUMMYFUNCTION("""COMPUTED_VALUE"""),5.0)</f>
        <v>5</v>
      </c>
      <c r="Y33" s="329">
        <f>IFERROR(__xludf.DUMMYFUNCTION("""COMPUTED_VALUE"""),7.0)</f>
        <v>7</v>
      </c>
      <c r="Z33" s="329">
        <f>IFERROR(__xludf.DUMMYFUNCTION("""COMPUTED_VALUE"""),1166.0)</f>
        <v>1166</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IFERROR(__xludf.DUMMYFUNCTION("""COMPUTED_VALUE"""),44118.0)</f>
        <v>44118</v>
      </c>
      <c r="B34" s="329">
        <f>IFERROR(__xludf.DUMMYFUNCTION("""COMPUTED_VALUE"""),351.0)</f>
        <v>351</v>
      </c>
      <c r="C34" s="329">
        <f>IFERROR(__xludf.DUMMYFUNCTION("""COMPUTED_VALUE"""),250.0)</f>
        <v>250</v>
      </c>
      <c r="D34" s="329">
        <f>IFERROR(__xludf.DUMMYFUNCTION("""COMPUTED_VALUE"""),37806.0)</f>
        <v>37806</v>
      </c>
      <c r="E34" s="329">
        <f>IFERROR(__xludf.DUMMYFUNCTION("""COMPUTED_VALUE"""),15033.0)</f>
        <v>15033</v>
      </c>
      <c r="F34" s="258">
        <f>IFERROR(__xludf.DUMMYFUNCTION("""COMPUTED_VALUE"""),895553.0)</f>
        <v>895553</v>
      </c>
      <c r="G34" s="258">
        <f>IFERROR(__xludf.DUMMYFUNCTION("""COMPUTED_VALUE"""),15384.0)</f>
        <v>15384</v>
      </c>
      <c r="H34" s="258">
        <f>IFERROR(__xludf.DUMMYFUNCTION("""COMPUTED_VALUE"""),933359.0)</f>
        <v>933359</v>
      </c>
      <c r="I34" s="329">
        <f>IFERROR(__xludf.DUMMYFUNCTION("""COMPUTED_VALUE"""),297.0)</f>
        <v>297</v>
      </c>
      <c r="J34" s="329">
        <f>IFERROR(__xludf.DUMMYFUNCTION("""COMPUTED_VALUE"""),231.0)</f>
        <v>231</v>
      </c>
      <c r="K34" s="329">
        <f>IFERROR(__xludf.DUMMYFUNCTION("""COMPUTED_VALUE"""),27569.0)</f>
        <v>27569</v>
      </c>
      <c r="L34" s="329">
        <f>IFERROR(__xludf.DUMMYFUNCTION("""COMPUTED_VALUE"""),3679.0)</f>
        <v>3679</v>
      </c>
      <c r="M34" s="329">
        <f>IFERROR(__xludf.DUMMYFUNCTION("""COMPUTED_VALUE"""),322238.0)</f>
        <v>322238</v>
      </c>
      <c r="N34" s="329">
        <f>IFERROR(__xludf.DUMMYFUNCTION("""COMPUTED_VALUE"""),349807.0)</f>
        <v>349807</v>
      </c>
      <c r="O34" s="329">
        <f>IFERROR(__xludf.DUMMYFUNCTION("""COMPUTED_VALUE"""),17.0)</f>
        <v>17</v>
      </c>
      <c r="P34" s="329">
        <f>IFERROR(__xludf.DUMMYFUNCTION("""COMPUTED_VALUE"""),2956.0)</f>
        <v>2956</v>
      </c>
      <c r="Q34" s="329">
        <f>IFERROR(__xludf.DUMMYFUNCTION("""COMPUTED_VALUE"""),7.0)</f>
        <v>7</v>
      </c>
      <c r="R34" s="329">
        <f>IFERROR(__xludf.DUMMYFUNCTION("""COMPUTED_VALUE"""),2434.0)</f>
        <v>2434</v>
      </c>
      <c r="S34" s="329">
        <f>IFERROR(__xludf.DUMMYFUNCTION("""COMPUTED_VALUE"""),0.0)</f>
        <v>0</v>
      </c>
      <c r="T34" s="329">
        <f>IFERROR(__xludf.DUMMYFUNCTION("""COMPUTED_VALUE"""),378.0)</f>
        <v>378</v>
      </c>
      <c r="U34" s="329">
        <f>IFERROR(__xludf.DUMMYFUNCTION("""COMPUTED_VALUE"""),144.0)</f>
        <v>144</v>
      </c>
      <c r="V34" s="329">
        <f>IFERROR(__xludf.DUMMYFUNCTION("""COMPUTED_VALUE"""),138.0)</f>
        <v>138</v>
      </c>
      <c r="W34" s="329">
        <f>IFERROR(__xludf.DUMMYFUNCTION("""COMPUTED_VALUE"""),15.0)</f>
        <v>15</v>
      </c>
      <c r="X34" s="329">
        <f>IFERROR(__xludf.DUMMYFUNCTION("""COMPUTED_VALUE"""),5.0)</f>
        <v>5</v>
      </c>
      <c r="Y34" s="329">
        <f>IFERROR(__xludf.DUMMYFUNCTION("""COMPUTED_VALUE"""),2.0)</f>
        <v>2</v>
      </c>
      <c r="Z34" s="329">
        <f>IFERROR(__xludf.DUMMYFUNCTION("""COMPUTED_VALUE"""),1168.0)</f>
        <v>1168</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IFERROR(__xludf.DUMMYFUNCTION("""COMPUTED_VALUE"""),44119.0)</f>
        <v>44119</v>
      </c>
      <c r="B35" s="329">
        <f>IFERROR(__xludf.DUMMYFUNCTION("""COMPUTED_VALUE"""),276.0)</f>
        <v>276</v>
      </c>
      <c r="C35" s="329">
        <f>IFERROR(__xludf.DUMMYFUNCTION("""COMPUTED_VALUE"""),286.0)</f>
        <v>286</v>
      </c>
      <c r="D35" s="329">
        <f>IFERROR(__xludf.DUMMYFUNCTION("""COMPUTED_VALUE"""),38082.0)</f>
        <v>38082</v>
      </c>
      <c r="E35" s="329">
        <f>IFERROR(__xludf.DUMMYFUNCTION("""COMPUTED_VALUE"""),14627.0)</f>
        <v>14627</v>
      </c>
      <c r="F35" s="258">
        <f>IFERROR(__xludf.DUMMYFUNCTION("""COMPUTED_VALUE"""),910180.0)</f>
        <v>910180</v>
      </c>
      <c r="G35" s="258">
        <f>IFERROR(__xludf.DUMMYFUNCTION("""COMPUTED_VALUE"""),14903.0)</f>
        <v>14903</v>
      </c>
      <c r="H35" s="258">
        <f>IFERROR(__xludf.DUMMYFUNCTION("""COMPUTED_VALUE"""),948262.0)</f>
        <v>948262</v>
      </c>
      <c r="I35" s="329">
        <f>IFERROR(__xludf.DUMMYFUNCTION("""COMPUTED_VALUE"""),244.0)</f>
        <v>244</v>
      </c>
      <c r="J35" s="329">
        <f>IFERROR(__xludf.DUMMYFUNCTION("""COMPUTED_VALUE"""),255.0)</f>
        <v>255</v>
      </c>
      <c r="K35" s="329">
        <f>IFERROR(__xludf.DUMMYFUNCTION("""COMPUTED_VALUE"""),27813.0)</f>
        <v>27813</v>
      </c>
      <c r="L35" s="329">
        <f>IFERROR(__xludf.DUMMYFUNCTION("""COMPUTED_VALUE"""),3267.0)</f>
        <v>3267</v>
      </c>
      <c r="M35" s="329">
        <f>IFERROR(__xludf.DUMMYFUNCTION("""COMPUTED_VALUE"""),325505.0)</f>
        <v>325505</v>
      </c>
      <c r="N35" s="329">
        <f>IFERROR(__xludf.DUMMYFUNCTION("""COMPUTED_VALUE"""),353318.0)</f>
        <v>353318</v>
      </c>
      <c r="O35" s="329">
        <f>IFERROR(__xludf.DUMMYFUNCTION("""COMPUTED_VALUE"""),11.0)</f>
        <v>11</v>
      </c>
      <c r="P35" s="329">
        <f>IFERROR(__xludf.DUMMYFUNCTION("""COMPUTED_VALUE"""),2967.0)</f>
        <v>2967</v>
      </c>
      <c r="Q35" s="329">
        <f>IFERROR(__xludf.DUMMYFUNCTION("""COMPUTED_VALUE"""),15.0)</f>
        <v>15</v>
      </c>
      <c r="R35" s="329">
        <f>IFERROR(__xludf.DUMMYFUNCTION("""COMPUTED_VALUE"""),2449.0)</f>
        <v>2449</v>
      </c>
      <c r="S35" s="329">
        <f>IFERROR(__xludf.DUMMYFUNCTION("""COMPUTED_VALUE"""),1.0)</f>
        <v>1</v>
      </c>
      <c r="T35" s="329">
        <f>IFERROR(__xludf.DUMMYFUNCTION("""COMPUTED_VALUE"""),379.0)</f>
        <v>379</v>
      </c>
      <c r="U35" s="329">
        <f>IFERROR(__xludf.DUMMYFUNCTION("""COMPUTED_VALUE"""),139.0)</f>
        <v>139</v>
      </c>
      <c r="V35" s="329">
        <f>IFERROR(__xludf.DUMMYFUNCTION("""COMPUTED_VALUE"""),139.0)</f>
        <v>139</v>
      </c>
      <c r="W35" s="329">
        <f>IFERROR(__xludf.DUMMYFUNCTION("""COMPUTED_VALUE"""),13.0)</f>
        <v>13</v>
      </c>
      <c r="X35" s="329">
        <f>IFERROR(__xludf.DUMMYFUNCTION("""COMPUTED_VALUE"""),5.0)</f>
        <v>5</v>
      </c>
      <c r="Y35" s="329">
        <f>IFERROR(__xludf.DUMMYFUNCTION("""COMPUTED_VALUE"""),2.0)</f>
        <v>2</v>
      </c>
      <c r="Z35" s="329">
        <f>IFERROR(__xludf.DUMMYFUNCTION("""COMPUTED_VALUE"""),1170.0)</f>
        <v>1170</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IFERROR(__xludf.DUMMYFUNCTION("""COMPUTED_VALUE"""),44120.0)</f>
        <v>44120</v>
      </c>
      <c r="B36" s="329">
        <f>IFERROR(__xludf.DUMMYFUNCTION("""COMPUTED_VALUE"""),291.0)</f>
        <v>291</v>
      </c>
      <c r="C36" s="329">
        <f>IFERROR(__xludf.DUMMYFUNCTION("""COMPUTED_VALUE"""),306.0)</f>
        <v>306</v>
      </c>
      <c r="D36" s="329">
        <f>IFERROR(__xludf.DUMMYFUNCTION("""COMPUTED_VALUE"""),38373.0)</f>
        <v>38373</v>
      </c>
      <c r="E36" s="329">
        <f>IFERROR(__xludf.DUMMYFUNCTION("""COMPUTED_VALUE"""),15008.0)</f>
        <v>15008</v>
      </c>
      <c r="F36" s="258">
        <f>IFERROR(__xludf.DUMMYFUNCTION("""COMPUTED_VALUE"""),925188.0)</f>
        <v>925188</v>
      </c>
      <c r="G36" s="258">
        <f>IFERROR(__xludf.DUMMYFUNCTION("""COMPUTED_VALUE"""),15299.0)</f>
        <v>15299</v>
      </c>
      <c r="H36" s="258">
        <f>IFERROR(__xludf.DUMMYFUNCTION("""COMPUTED_VALUE"""),963561.0)</f>
        <v>963561</v>
      </c>
      <c r="I36" s="329">
        <f>IFERROR(__xludf.DUMMYFUNCTION("""COMPUTED_VALUE"""),291.0)</f>
        <v>291</v>
      </c>
      <c r="J36" s="329">
        <f>IFERROR(__xludf.DUMMYFUNCTION("""COMPUTED_VALUE"""),277.0)</f>
        <v>277</v>
      </c>
      <c r="K36" s="329">
        <f>IFERROR(__xludf.DUMMYFUNCTION("""COMPUTED_VALUE"""),28104.0)</f>
        <v>28104</v>
      </c>
      <c r="L36" s="329">
        <f>IFERROR(__xludf.DUMMYFUNCTION("""COMPUTED_VALUE"""),3063.0)</f>
        <v>3063</v>
      </c>
      <c r="M36" s="329">
        <f>IFERROR(__xludf.DUMMYFUNCTION("""COMPUTED_VALUE"""),328568.0)</f>
        <v>328568</v>
      </c>
      <c r="N36" s="329">
        <f>IFERROR(__xludf.DUMMYFUNCTION("""COMPUTED_VALUE"""),356672.0)</f>
        <v>356672</v>
      </c>
      <c r="O36" s="329">
        <f>IFERROR(__xludf.DUMMYFUNCTION("""COMPUTED_VALUE"""),13.0)</f>
        <v>13</v>
      </c>
      <c r="P36" s="329">
        <f>IFERROR(__xludf.DUMMYFUNCTION("""COMPUTED_VALUE"""),2980.0)</f>
        <v>2980</v>
      </c>
      <c r="Q36" s="329">
        <f>IFERROR(__xludf.DUMMYFUNCTION("""COMPUTED_VALUE"""),18.0)</f>
        <v>18</v>
      </c>
      <c r="R36" s="329">
        <f>IFERROR(__xludf.DUMMYFUNCTION("""COMPUTED_VALUE"""),2467.0)</f>
        <v>2467</v>
      </c>
      <c r="S36" s="329">
        <f>IFERROR(__xludf.DUMMYFUNCTION("""COMPUTED_VALUE"""),1.0)</f>
        <v>1</v>
      </c>
      <c r="T36" s="329">
        <f>IFERROR(__xludf.DUMMYFUNCTION("""COMPUTED_VALUE"""),380.0)</f>
        <v>380</v>
      </c>
      <c r="U36" s="329">
        <f>IFERROR(__xludf.DUMMYFUNCTION("""COMPUTED_VALUE"""),133.0)</f>
        <v>133</v>
      </c>
      <c r="V36" s="329">
        <f>IFERROR(__xludf.DUMMYFUNCTION("""COMPUTED_VALUE"""),139.0)</f>
        <v>139</v>
      </c>
      <c r="W36" s="329">
        <f>IFERROR(__xludf.DUMMYFUNCTION("""COMPUTED_VALUE"""),13.0)</f>
        <v>13</v>
      </c>
      <c r="X36" s="329">
        <f>IFERROR(__xludf.DUMMYFUNCTION("""COMPUTED_VALUE"""),4.0)</f>
        <v>4</v>
      </c>
      <c r="Y36" s="329">
        <f>IFERROR(__xludf.DUMMYFUNCTION("""COMPUTED_VALUE"""),2.0)</f>
        <v>2</v>
      </c>
      <c r="Z36" s="329">
        <f>IFERROR(__xludf.DUMMYFUNCTION("""COMPUTED_VALUE"""),1172.0)</f>
        <v>1172</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IFERROR(__xludf.DUMMYFUNCTION("""COMPUTED_VALUE"""),44121.0)</f>
        <v>44121</v>
      </c>
      <c r="B37" s="329">
        <f>IFERROR(__xludf.DUMMYFUNCTION("""COMPUTED_VALUE"""),363.0)</f>
        <v>363</v>
      </c>
      <c r="C37" s="329">
        <f>IFERROR(__xludf.DUMMYFUNCTION("""COMPUTED_VALUE"""),310.0)</f>
        <v>310</v>
      </c>
      <c r="D37" s="329">
        <f>IFERROR(__xludf.DUMMYFUNCTION("""COMPUTED_VALUE"""),38736.0)</f>
        <v>38736</v>
      </c>
      <c r="E37" s="329">
        <f>IFERROR(__xludf.DUMMYFUNCTION("""COMPUTED_VALUE"""),14062.0)</f>
        <v>14062</v>
      </c>
      <c r="F37" s="258">
        <f>IFERROR(__xludf.DUMMYFUNCTION("""COMPUTED_VALUE"""),939250.0)</f>
        <v>939250</v>
      </c>
      <c r="G37" s="258">
        <f>IFERROR(__xludf.DUMMYFUNCTION("""COMPUTED_VALUE"""),14425.0)</f>
        <v>14425</v>
      </c>
      <c r="H37" s="258">
        <f>IFERROR(__xludf.DUMMYFUNCTION("""COMPUTED_VALUE"""),977986.0)</f>
        <v>977986</v>
      </c>
      <c r="I37" s="329">
        <f>IFERROR(__xludf.DUMMYFUNCTION("""COMPUTED_VALUE"""),299.0)</f>
        <v>299</v>
      </c>
      <c r="J37" s="329">
        <f>IFERROR(__xludf.DUMMYFUNCTION("""COMPUTED_VALUE"""),278.0)</f>
        <v>278</v>
      </c>
      <c r="K37" s="329">
        <f>IFERROR(__xludf.DUMMYFUNCTION("""COMPUTED_VALUE"""),28403.0)</f>
        <v>28403</v>
      </c>
      <c r="L37" s="329">
        <f>IFERROR(__xludf.DUMMYFUNCTION("""COMPUTED_VALUE"""),2959.0)</f>
        <v>2959</v>
      </c>
      <c r="M37" s="329">
        <f>IFERROR(__xludf.DUMMYFUNCTION("""COMPUTED_VALUE"""),331527.0)</f>
        <v>331527</v>
      </c>
      <c r="N37" s="329">
        <f>IFERROR(__xludf.DUMMYFUNCTION("""COMPUTED_VALUE"""),359930.0)</f>
        <v>359930</v>
      </c>
      <c r="O37" s="329">
        <f>IFERROR(__xludf.DUMMYFUNCTION("""COMPUTED_VALUE"""),19.0)</f>
        <v>19</v>
      </c>
      <c r="P37" s="329">
        <f>IFERROR(__xludf.DUMMYFUNCTION("""COMPUTED_VALUE"""),2999.0)</f>
        <v>2999</v>
      </c>
      <c r="Q37" s="329">
        <f>IFERROR(__xludf.DUMMYFUNCTION("""COMPUTED_VALUE"""),11.0)</f>
        <v>11</v>
      </c>
      <c r="R37" s="329">
        <f>IFERROR(__xludf.DUMMYFUNCTION("""COMPUTED_VALUE"""),2478.0)</f>
        <v>2478</v>
      </c>
      <c r="S37" s="329">
        <f>IFERROR(__xludf.DUMMYFUNCTION("""COMPUTED_VALUE"""),1.0)</f>
        <v>1</v>
      </c>
      <c r="T37" s="329">
        <f>IFERROR(__xludf.DUMMYFUNCTION("""COMPUTED_VALUE"""),381.0)</f>
        <v>381</v>
      </c>
      <c r="U37" s="329">
        <f>IFERROR(__xludf.DUMMYFUNCTION("""COMPUTED_VALUE"""),140.0)</f>
        <v>140</v>
      </c>
      <c r="V37" s="329">
        <f>IFERROR(__xludf.DUMMYFUNCTION("""COMPUTED_VALUE"""),137.0)</f>
        <v>137</v>
      </c>
      <c r="W37" s="329">
        <f>IFERROR(__xludf.DUMMYFUNCTION("""COMPUTED_VALUE"""),17.0)</f>
        <v>17</v>
      </c>
      <c r="X37" s="329">
        <f>IFERROR(__xludf.DUMMYFUNCTION("""COMPUTED_VALUE"""),4.0)</f>
        <v>4</v>
      </c>
      <c r="Y37" s="329">
        <f>IFERROR(__xludf.DUMMYFUNCTION("""COMPUTED_VALUE"""),2.0)</f>
        <v>2</v>
      </c>
      <c r="Z37" s="329">
        <f>IFERROR(__xludf.DUMMYFUNCTION("""COMPUTED_VALUE"""),1174.0)</f>
        <v>1174</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IFERROR(__xludf.DUMMYFUNCTION("""COMPUTED_VALUE"""),44122.0)</f>
        <v>44122</v>
      </c>
      <c r="B38" s="329">
        <f>IFERROR(__xludf.DUMMYFUNCTION("""COMPUTED_VALUE"""),155.0)</f>
        <v>155</v>
      </c>
      <c r="C38" s="329">
        <f>IFERROR(__xludf.DUMMYFUNCTION("""COMPUTED_VALUE"""),270.0)</f>
        <v>270</v>
      </c>
      <c r="D38" s="329">
        <f>IFERROR(__xludf.DUMMYFUNCTION("""COMPUTED_VALUE"""),38891.0)</f>
        <v>38891</v>
      </c>
      <c r="E38" s="329">
        <f>IFERROR(__xludf.DUMMYFUNCTION("""COMPUTED_VALUE"""),4039.0)</f>
        <v>4039</v>
      </c>
      <c r="F38" s="258">
        <f>IFERROR(__xludf.DUMMYFUNCTION("""COMPUTED_VALUE"""),943289.0)</f>
        <v>943289</v>
      </c>
      <c r="G38" s="258">
        <f>IFERROR(__xludf.DUMMYFUNCTION("""COMPUTED_VALUE"""),4194.0)</f>
        <v>4194</v>
      </c>
      <c r="H38" s="258">
        <f>IFERROR(__xludf.DUMMYFUNCTION("""COMPUTED_VALUE"""),982180.0)</f>
        <v>982180</v>
      </c>
      <c r="I38" s="329">
        <f>IFERROR(__xludf.DUMMYFUNCTION("""COMPUTED_VALUE"""),126.0)</f>
        <v>126</v>
      </c>
      <c r="J38" s="329">
        <f>IFERROR(__xludf.DUMMYFUNCTION("""COMPUTED_VALUE"""),239.0)</f>
        <v>239</v>
      </c>
      <c r="K38" s="329">
        <f>IFERROR(__xludf.DUMMYFUNCTION("""COMPUTED_VALUE"""),28529.0)</f>
        <v>28529</v>
      </c>
      <c r="L38" s="329">
        <f>IFERROR(__xludf.DUMMYFUNCTION("""COMPUTED_VALUE"""),1194.0)</f>
        <v>1194</v>
      </c>
      <c r="M38" s="329">
        <f>IFERROR(__xludf.DUMMYFUNCTION("""COMPUTED_VALUE"""),332721.0)</f>
        <v>332721</v>
      </c>
      <c r="N38" s="329">
        <f>IFERROR(__xludf.DUMMYFUNCTION("""COMPUTED_VALUE"""),361250.0)</f>
        <v>361250</v>
      </c>
      <c r="O38" s="329">
        <f>IFERROR(__xludf.DUMMYFUNCTION("""COMPUTED_VALUE"""),18.0)</f>
        <v>18</v>
      </c>
      <c r="P38" s="329">
        <f>IFERROR(__xludf.DUMMYFUNCTION("""COMPUTED_VALUE"""),3017.0)</f>
        <v>3017</v>
      </c>
      <c r="Q38" s="329">
        <f>IFERROR(__xludf.DUMMYFUNCTION("""COMPUTED_VALUE"""),11.0)</f>
        <v>11</v>
      </c>
      <c r="R38" s="329">
        <f>IFERROR(__xludf.DUMMYFUNCTION("""COMPUTED_VALUE"""),2489.0)</f>
        <v>2489</v>
      </c>
      <c r="S38" s="329">
        <f>IFERROR(__xludf.DUMMYFUNCTION("""COMPUTED_VALUE"""),0.0)</f>
        <v>0</v>
      </c>
      <c r="T38" s="329">
        <f>IFERROR(__xludf.DUMMYFUNCTION("""COMPUTED_VALUE"""),381.0)</f>
        <v>381</v>
      </c>
      <c r="U38" s="329">
        <f>IFERROR(__xludf.DUMMYFUNCTION("""COMPUTED_VALUE"""),147.0)</f>
        <v>147</v>
      </c>
      <c r="V38" s="329">
        <f>IFERROR(__xludf.DUMMYFUNCTION("""COMPUTED_VALUE"""),140.0)</f>
        <v>140</v>
      </c>
      <c r="W38" s="329">
        <f>IFERROR(__xludf.DUMMYFUNCTION("""COMPUTED_VALUE"""),17.0)</f>
        <v>17</v>
      </c>
      <c r="X38" s="329">
        <f>IFERROR(__xludf.DUMMYFUNCTION("""COMPUTED_VALUE"""),6.0)</f>
        <v>6</v>
      </c>
      <c r="Y38" s="329">
        <f>IFERROR(__xludf.DUMMYFUNCTION("""COMPUTED_VALUE"""),2.0)</f>
        <v>2</v>
      </c>
      <c r="Z38" s="329">
        <f>IFERROR(__xludf.DUMMYFUNCTION("""COMPUTED_VALUE"""),1176.0)</f>
        <v>1176</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IFERROR(__xludf.DUMMYFUNCTION("""COMPUTED_VALUE"""),44123.0)</f>
        <v>44123</v>
      </c>
      <c r="B39" s="329">
        <f>IFERROR(__xludf.DUMMYFUNCTION("""COMPUTED_VALUE"""),388.0)</f>
        <v>388</v>
      </c>
      <c r="C39" s="329">
        <f>IFERROR(__xludf.DUMMYFUNCTION("""COMPUTED_VALUE"""),302.0)</f>
        <v>302</v>
      </c>
      <c r="D39" s="329">
        <f>IFERROR(__xludf.DUMMYFUNCTION("""COMPUTED_VALUE"""),39279.0)</f>
        <v>39279</v>
      </c>
      <c r="E39" s="329">
        <f>IFERROR(__xludf.DUMMYFUNCTION("""COMPUTED_VALUE"""),8493.0)</f>
        <v>8493</v>
      </c>
      <c r="F39" s="258">
        <f>IFERROR(__xludf.DUMMYFUNCTION("""COMPUTED_VALUE"""),951782.0)</f>
        <v>951782</v>
      </c>
      <c r="G39" s="258">
        <f>IFERROR(__xludf.DUMMYFUNCTION("""COMPUTED_VALUE"""),8881.0)</f>
        <v>8881</v>
      </c>
      <c r="H39" s="258">
        <f>IFERROR(__xludf.DUMMYFUNCTION("""COMPUTED_VALUE"""),991061.0)</f>
        <v>991061</v>
      </c>
      <c r="I39" s="329">
        <f>IFERROR(__xludf.DUMMYFUNCTION("""COMPUTED_VALUE"""),313.0)</f>
        <v>313</v>
      </c>
      <c r="J39" s="329">
        <f>IFERROR(__xludf.DUMMYFUNCTION("""COMPUTED_VALUE"""),246.0)</f>
        <v>246</v>
      </c>
      <c r="K39" s="329">
        <f>IFERROR(__xludf.DUMMYFUNCTION("""COMPUTED_VALUE"""),28842.0)</f>
        <v>28842</v>
      </c>
      <c r="L39" s="329">
        <f>IFERROR(__xludf.DUMMYFUNCTION("""COMPUTED_VALUE"""),2378.0)</f>
        <v>2378</v>
      </c>
      <c r="M39" s="329">
        <f>IFERROR(__xludf.DUMMYFUNCTION("""COMPUTED_VALUE"""),335099.0)</f>
        <v>335099</v>
      </c>
      <c r="N39" s="329">
        <f>IFERROR(__xludf.DUMMYFUNCTION("""COMPUTED_VALUE"""),363941.0)</f>
        <v>363941</v>
      </c>
      <c r="O39" s="329">
        <f>IFERROR(__xludf.DUMMYFUNCTION("""COMPUTED_VALUE"""),20.0)</f>
        <v>20</v>
      </c>
      <c r="P39" s="329">
        <f>IFERROR(__xludf.DUMMYFUNCTION("""COMPUTED_VALUE"""),3037.0)</f>
        <v>3037</v>
      </c>
      <c r="Q39" s="329">
        <f>IFERROR(__xludf.DUMMYFUNCTION("""COMPUTED_VALUE"""),21.0)</f>
        <v>21</v>
      </c>
      <c r="R39" s="329">
        <f>IFERROR(__xludf.DUMMYFUNCTION("""COMPUTED_VALUE"""),2510.0)</f>
        <v>2510</v>
      </c>
      <c r="S39" s="329">
        <f>IFERROR(__xludf.DUMMYFUNCTION("""COMPUTED_VALUE"""),2.0)</f>
        <v>2</v>
      </c>
      <c r="T39" s="329">
        <f>IFERROR(__xludf.DUMMYFUNCTION("""COMPUTED_VALUE"""),383.0)</f>
        <v>383</v>
      </c>
      <c r="U39" s="329">
        <f>IFERROR(__xludf.DUMMYFUNCTION("""COMPUTED_VALUE"""),144.0)</f>
        <v>144</v>
      </c>
      <c r="V39" s="329">
        <f>IFERROR(__xludf.DUMMYFUNCTION("""COMPUTED_VALUE"""),144.0)</f>
        <v>144</v>
      </c>
      <c r="W39" s="329">
        <f>IFERROR(__xludf.DUMMYFUNCTION("""COMPUTED_VALUE"""),15.0)</f>
        <v>15</v>
      </c>
      <c r="X39" s="329">
        <f>IFERROR(__xludf.DUMMYFUNCTION("""COMPUTED_VALUE"""),6.0)</f>
        <v>6</v>
      </c>
      <c r="Y39" s="329">
        <f>IFERROR(__xludf.DUMMYFUNCTION("""COMPUTED_VALUE"""),1.0)</f>
        <v>1</v>
      </c>
      <c r="Z39" s="329">
        <f>IFERROR(__xludf.DUMMYFUNCTION("""COMPUTED_VALUE"""),1177.0)</f>
        <v>1177</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IFERROR(__xludf.DUMMYFUNCTION("""COMPUTED_VALUE"""),44124.0)</f>
        <v>44124</v>
      </c>
      <c r="B40" s="329">
        <f>IFERROR(__xludf.DUMMYFUNCTION("""COMPUTED_VALUE"""),440.0)</f>
        <v>440</v>
      </c>
      <c r="C40" s="329">
        <f>IFERROR(__xludf.DUMMYFUNCTION("""COMPUTED_VALUE"""),328.0)</f>
        <v>328</v>
      </c>
      <c r="D40" s="329">
        <f>IFERROR(__xludf.DUMMYFUNCTION("""COMPUTED_VALUE"""),39719.0)</f>
        <v>39719</v>
      </c>
      <c r="E40" s="329">
        <f>IFERROR(__xludf.DUMMYFUNCTION("""COMPUTED_VALUE"""),13246.0)</f>
        <v>13246</v>
      </c>
      <c r="F40" s="258">
        <f>IFERROR(__xludf.DUMMYFUNCTION("""COMPUTED_VALUE"""),965028.0)</f>
        <v>965028</v>
      </c>
      <c r="G40" s="258">
        <f>IFERROR(__xludf.DUMMYFUNCTION("""COMPUTED_VALUE"""),13686.0)</f>
        <v>13686</v>
      </c>
      <c r="H40" s="258">
        <f>IFERROR(__xludf.DUMMYFUNCTION("""COMPUTED_VALUE"""),1004747.0)</f>
        <v>1004747</v>
      </c>
      <c r="I40" s="329">
        <f>IFERROR(__xludf.DUMMYFUNCTION("""COMPUTED_VALUE"""),378.0)</f>
        <v>378</v>
      </c>
      <c r="J40" s="329">
        <f>IFERROR(__xludf.DUMMYFUNCTION("""COMPUTED_VALUE"""),272.0)</f>
        <v>272</v>
      </c>
      <c r="K40" s="329">
        <f>IFERROR(__xludf.DUMMYFUNCTION("""COMPUTED_VALUE"""),29220.0)</f>
        <v>29220</v>
      </c>
      <c r="L40" s="329">
        <f>IFERROR(__xludf.DUMMYFUNCTION("""COMPUTED_VALUE"""),2763.0)</f>
        <v>2763</v>
      </c>
      <c r="M40" s="329">
        <f>IFERROR(__xludf.DUMMYFUNCTION("""COMPUTED_VALUE"""),337862.0)</f>
        <v>337862</v>
      </c>
      <c r="N40" s="329">
        <f>IFERROR(__xludf.DUMMYFUNCTION("""COMPUTED_VALUE"""),367082.0)</f>
        <v>367082</v>
      </c>
      <c r="O40" s="329">
        <f>IFERROR(__xludf.DUMMYFUNCTION("""COMPUTED_VALUE"""),22.0)</f>
        <v>22</v>
      </c>
      <c r="P40" s="329">
        <f>IFERROR(__xludf.DUMMYFUNCTION("""COMPUTED_VALUE"""),3059.0)</f>
        <v>3059</v>
      </c>
      <c r="Q40" s="329">
        <f>IFERROR(__xludf.DUMMYFUNCTION("""COMPUTED_VALUE"""),16.0)</f>
        <v>16</v>
      </c>
      <c r="R40" s="329">
        <f>IFERROR(__xludf.DUMMYFUNCTION("""COMPUTED_VALUE"""),2526.0)</f>
        <v>2526</v>
      </c>
      <c r="S40" s="329">
        <f>IFERROR(__xludf.DUMMYFUNCTION("""COMPUTED_VALUE"""),0.0)</f>
        <v>0</v>
      </c>
      <c r="T40" s="329">
        <f>IFERROR(__xludf.DUMMYFUNCTION("""COMPUTED_VALUE"""),383.0)</f>
        <v>383</v>
      </c>
      <c r="U40" s="329">
        <f>IFERROR(__xludf.DUMMYFUNCTION("""COMPUTED_VALUE"""),150.0)</f>
        <v>150</v>
      </c>
      <c r="V40" s="329">
        <f>IFERROR(__xludf.DUMMYFUNCTION("""COMPUTED_VALUE"""),147.0)</f>
        <v>147</v>
      </c>
      <c r="W40" s="329">
        <f>IFERROR(__xludf.DUMMYFUNCTION("""COMPUTED_VALUE"""),14.0)</f>
        <v>14</v>
      </c>
      <c r="X40" s="329">
        <f>IFERROR(__xludf.DUMMYFUNCTION("""COMPUTED_VALUE"""),8.0)</f>
        <v>8</v>
      </c>
      <c r="Y40" s="329">
        <f>IFERROR(__xludf.DUMMYFUNCTION("""COMPUTED_VALUE"""),4.0)</f>
        <v>4</v>
      </c>
      <c r="Z40" s="329">
        <f>IFERROR(__xludf.DUMMYFUNCTION("""COMPUTED_VALUE"""),1181.0)</f>
        <v>1181</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IFERROR(__xludf.DUMMYFUNCTION("""COMPUTED_VALUE"""),44125.0)</f>
        <v>44125</v>
      </c>
      <c r="B41" s="329">
        <f>IFERROR(__xludf.DUMMYFUNCTION("""COMPUTED_VALUE"""),552.0)</f>
        <v>552</v>
      </c>
      <c r="C41" s="329">
        <f>IFERROR(__xludf.DUMMYFUNCTION("""COMPUTED_VALUE"""),460.0)</f>
        <v>460</v>
      </c>
      <c r="D41" s="329">
        <f>IFERROR(__xludf.DUMMYFUNCTION("""COMPUTED_VALUE"""),40271.0)</f>
        <v>40271</v>
      </c>
      <c r="E41" s="329">
        <f>IFERROR(__xludf.DUMMYFUNCTION("""COMPUTED_VALUE"""),17462.0)</f>
        <v>17462</v>
      </c>
      <c r="F41" s="258">
        <f>IFERROR(__xludf.DUMMYFUNCTION("""COMPUTED_VALUE"""),982490.0)</f>
        <v>982490</v>
      </c>
      <c r="G41" s="258">
        <f>IFERROR(__xludf.DUMMYFUNCTION("""COMPUTED_VALUE"""),18014.0)</f>
        <v>18014</v>
      </c>
      <c r="H41" s="258">
        <f>IFERROR(__xludf.DUMMYFUNCTION("""COMPUTED_VALUE"""),1022761.0)</f>
        <v>1022761</v>
      </c>
      <c r="I41" s="329">
        <f>IFERROR(__xludf.DUMMYFUNCTION("""COMPUTED_VALUE"""),475.0)</f>
        <v>475</v>
      </c>
      <c r="J41" s="329">
        <f>IFERROR(__xludf.DUMMYFUNCTION("""COMPUTED_VALUE"""),389.0)</f>
        <v>389</v>
      </c>
      <c r="K41" s="329">
        <f>IFERROR(__xludf.DUMMYFUNCTION("""COMPUTED_VALUE"""),29695.0)</f>
        <v>29695</v>
      </c>
      <c r="L41" s="329">
        <f>IFERROR(__xludf.DUMMYFUNCTION("""COMPUTED_VALUE"""),3191.0)</f>
        <v>3191</v>
      </c>
      <c r="M41" s="329">
        <f>IFERROR(__xludf.DUMMYFUNCTION("""COMPUTED_VALUE"""),341053.0)</f>
        <v>341053</v>
      </c>
      <c r="N41" s="329">
        <f>IFERROR(__xludf.DUMMYFUNCTION("""COMPUTED_VALUE"""),370748.0)</f>
        <v>370748</v>
      </c>
      <c r="O41" s="329">
        <f>IFERROR(__xludf.DUMMYFUNCTION("""COMPUTED_VALUE"""),23.0)</f>
        <v>23</v>
      </c>
      <c r="P41" s="329">
        <f>IFERROR(__xludf.DUMMYFUNCTION("""COMPUTED_VALUE"""),3082.0)</f>
        <v>3082</v>
      </c>
      <c r="Q41" s="329">
        <f>IFERROR(__xludf.DUMMYFUNCTION("""COMPUTED_VALUE"""),8.0)</f>
        <v>8</v>
      </c>
      <c r="R41" s="329">
        <f>IFERROR(__xludf.DUMMYFUNCTION("""COMPUTED_VALUE"""),2534.0)</f>
        <v>2534</v>
      </c>
      <c r="S41" s="329">
        <f>IFERROR(__xludf.DUMMYFUNCTION("""COMPUTED_VALUE"""),2.0)</f>
        <v>2</v>
      </c>
      <c r="T41" s="329">
        <f>IFERROR(__xludf.DUMMYFUNCTION("""COMPUTED_VALUE"""),385.0)</f>
        <v>385</v>
      </c>
      <c r="U41" s="329">
        <f>IFERROR(__xludf.DUMMYFUNCTION("""COMPUTED_VALUE"""),163.0)</f>
        <v>163</v>
      </c>
      <c r="V41" s="329">
        <f>IFERROR(__xludf.DUMMYFUNCTION("""COMPUTED_VALUE"""),152.0)</f>
        <v>152</v>
      </c>
      <c r="W41" s="329">
        <f>IFERROR(__xludf.DUMMYFUNCTION("""COMPUTED_VALUE"""),15.0)</f>
        <v>15</v>
      </c>
      <c r="X41" s="329">
        <f>IFERROR(__xludf.DUMMYFUNCTION("""COMPUTED_VALUE"""),9.0)</f>
        <v>9</v>
      </c>
      <c r="Y41" s="329">
        <f>IFERROR(__xludf.DUMMYFUNCTION("""COMPUTED_VALUE"""),3.0)</f>
        <v>3</v>
      </c>
      <c r="Z41" s="329">
        <f>IFERROR(__xludf.DUMMYFUNCTION("""COMPUTED_VALUE"""),1184.0)</f>
        <v>1184</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IFERROR(__xludf.DUMMYFUNCTION("""COMPUTED_VALUE"""),44126.0)</f>
        <v>44126</v>
      </c>
      <c r="B42" s="329">
        <f>IFERROR(__xludf.DUMMYFUNCTION("""COMPUTED_VALUE"""),542.0)</f>
        <v>542</v>
      </c>
      <c r="C42" s="329">
        <f>IFERROR(__xludf.DUMMYFUNCTION("""COMPUTED_VALUE"""),511.0)</f>
        <v>511</v>
      </c>
      <c r="D42" s="329">
        <f>IFERROR(__xludf.DUMMYFUNCTION("""COMPUTED_VALUE"""),40813.0)</f>
        <v>40813</v>
      </c>
      <c r="E42" s="329">
        <f>IFERROR(__xludf.DUMMYFUNCTION("""COMPUTED_VALUE"""),15867.0)</f>
        <v>15867</v>
      </c>
      <c r="F42" s="258">
        <f>IFERROR(__xludf.DUMMYFUNCTION("""COMPUTED_VALUE"""),998357.0)</f>
        <v>998357</v>
      </c>
      <c r="G42" s="258">
        <f>IFERROR(__xludf.DUMMYFUNCTION("""COMPUTED_VALUE"""),16409.0)</f>
        <v>16409</v>
      </c>
      <c r="H42" s="258">
        <f>IFERROR(__xludf.DUMMYFUNCTION("""COMPUTED_VALUE"""),1039170.0)</f>
        <v>1039170</v>
      </c>
      <c r="I42" s="329">
        <f>IFERROR(__xludf.DUMMYFUNCTION("""COMPUTED_VALUE"""),523.0)</f>
        <v>523</v>
      </c>
      <c r="J42" s="329">
        <f>IFERROR(__xludf.DUMMYFUNCTION("""COMPUTED_VALUE"""),459.0)</f>
        <v>459</v>
      </c>
      <c r="K42" s="329">
        <f>IFERROR(__xludf.DUMMYFUNCTION("""COMPUTED_VALUE"""),30218.0)</f>
        <v>30218</v>
      </c>
      <c r="L42" s="329">
        <f>IFERROR(__xludf.DUMMYFUNCTION("""COMPUTED_VALUE"""),2931.0)</f>
        <v>2931</v>
      </c>
      <c r="M42" s="329">
        <f>IFERROR(__xludf.DUMMYFUNCTION("""COMPUTED_VALUE"""),343984.0)</f>
        <v>343984</v>
      </c>
      <c r="N42" s="329">
        <f>IFERROR(__xludf.DUMMYFUNCTION("""COMPUTED_VALUE"""),374202.0)</f>
        <v>374202</v>
      </c>
      <c r="O42" s="329">
        <f>IFERROR(__xludf.DUMMYFUNCTION("""COMPUTED_VALUE"""),24.0)</f>
        <v>24</v>
      </c>
      <c r="P42" s="329">
        <f>IFERROR(__xludf.DUMMYFUNCTION("""COMPUTED_VALUE"""),3106.0)</f>
        <v>3106</v>
      </c>
      <c r="Q42" s="329">
        <f>IFERROR(__xludf.DUMMYFUNCTION("""COMPUTED_VALUE"""),20.0)</f>
        <v>20</v>
      </c>
      <c r="R42" s="329">
        <f>IFERROR(__xludf.DUMMYFUNCTION("""COMPUTED_VALUE"""),2554.0)</f>
        <v>2554</v>
      </c>
      <c r="S42" s="329">
        <f>IFERROR(__xludf.DUMMYFUNCTION("""COMPUTED_VALUE"""),3.0)</f>
        <v>3</v>
      </c>
      <c r="T42" s="329">
        <f>IFERROR(__xludf.DUMMYFUNCTION("""COMPUTED_VALUE"""),388.0)</f>
        <v>388</v>
      </c>
      <c r="U42" s="329">
        <f>IFERROR(__xludf.DUMMYFUNCTION("""COMPUTED_VALUE"""),164.0)</f>
        <v>164</v>
      </c>
      <c r="V42" s="329">
        <f>IFERROR(__xludf.DUMMYFUNCTION("""COMPUTED_VALUE"""),159.0)</f>
        <v>159</v>
      </c>
      <c r="W42" s="329">
        <f>IFERROR(__xludf.DUMMYFUNCTION("""COMPUTED_VALUE"""),14.0)</f>
        <v>14</v>
      </c>
      <c r="X42" s="329">
        <f>IFERROR(__xludf.DUMMYFUNCTION("""COMPUTED_VALUE"""),9.0)</f>
        <v>9</v>
      </c>
      <c r="Y42" s="329">
        <f>IFERROR(__xludf.DUMMYFUNCTION("""COMPUTED_VALUE"""),3.0)</f>
        <v>3</v>
      </c>
      <c r="Z42" s="329">
        <f>IFERROR(__xludf.DUMMYFUNCTION("""COMPUTED_VALUE"""),1187.0)</f>
        <v>1187</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IFERROR(__xludf.DUMMYFUNCTION("""COMPUTED_VALUE"""),44127.0)</f>
        <v>44127</v>
      </c>
      <c r="B43" s="329">
        <f>IFERROR(__xludf.DUMMYFUNCTION("""COMPUTED_VALUE"""),517.0)</f>
        <v>517</v>
      </c>
      <c r="C43" s="329">
        <f>IFERROR(__xludf.DUMMYFUNCTION("""COMPUTED_VALUE"""),537.0)</f>
        <v>537</v>
      </c>
      <c r="D43" s="329">
        <f>IFERROR(__xludf.DUMMYFUNCTION("""COMPUTED_VALUE"""),41330.0)</f>
        <v>41330</v>
      </c>
      <c r="E43" s="329">
        <f>IFERROR(__xludf.DUMMYFUNCTION("""COMPUTED_VALUE"""),16638.0)</f>
        <v>16638</v>
      </c>
      <c r="F43" s="258">
        <f>IFERROR(__xludf.DUMMYFUNCTION("""COMPUTED_VALUE"""),1014995.0)</f>
        <v>1014995</v>
      </c>
      <c r="G43" s="258">
        <f>IFERROR(__xludf.DUMMYFUNCTION("""COMPUTED_VALUE"""),17155.0)</f>
        <v>17155</v>
      </c>
      <c r="H43" s="258">
        <f>IFERROR(__xludf.DUMMYFUNCTION("""COMPUTED_VALUE"""),1056325.0)</f>
        <v>1056325</v>
      </c>
      <c r="I43" s="329">
        <f>IFERROR(__xludf.DUMMYFUNCTION("""COMPUTED_VALUE"""),455.0)</f>
        <v>455</v>
      </c>
      <c r="J43" s="329">
        <f>IFERROR(__xludf.DUMMYFUNCTION("""COMPUTED_VALUE"""),484.0)</f>
        <v>484</v>
      </c>
      <c r="K43" s="329">
        <f>IFERROR(__xludf.DUMMYFUNCTION("""COMPUTED_VALUE"""),30673.0)</f>
        <v>30673</v>
      </c>
      <c r="L43" s="329">
        <f>IFERROR(__xludf.DUMMYFUNCTION("""COMPUTED_VALUE"""),2613.0)</f>
        <v>2613</v>
      </c>
      <c r="M43" s="329">
        <f>IFERROR(__xludf.DUMMYFUNCTION("""COMPUTED_VALUE"""),346597.0)</f>
        <v>346597</v>
      </c>
      <c r="N43" s="329">
        <f>IFERROR(__xludf.DUMMYFUNCTION("""COMPUTED_VALUE"""),377270.0)</f>
        <v>377270</v>
      </c>
      <c r="O43" s="329">
        <f>IFERROR(__xludf.DUMMYFUNCTION("""COMPUTED_VALUE"""),22.0)</f>
        <v>22</v>
      </c>
      <c r="P43" s="329">
        <f>IFERROR(__xludf.DUMMYFUNCTION("""COMPUTED_VALUE"""),3128.0)</f>
        <v>3128</v>
      </c>
      <c r="Q43" s="329">
        <f>IFERROR(__xludf.DUMMYFUNCTION("""COMPUTED_VALUE"""),22.0)</f>
        <v>22</v>
      </c>
      <c r="R43" s="329">
        <f>IFERROR(__xludf.DUMMYFUNCTION("""COMPUTED_VALUE"""),2576.0)</f>
        <v>2576</v>
      </c>
      <c r="S43" s="329">
        <f>IFERROR(__xludf.DUMMYFUNCTION("""COMPUTED_VALUE"""),1.0)</f>
        <v>1</v>
      </c>
      <c r="T43" s="329">
        <f>IFERROR(__xludf.DUMMYFUNCTION("""COMPUTED_VALUE"""),389.0)</f>
        <v>389</v>
      </c>
      <c r="U43" s="329">
        <f>IFERROR(__xludf.DUMMYFUNCTION("""COMPUTED_VALUE"""),163.0)</f>
        <v>163</v>
      </c>
      <c r="V43" s="329">
        <f>IFERROR(__xludf.DUMMYFUNCTION("""COMPUTED_VALUE"""),163.0)</f>
        <v>163</v>
      </c>
      <c r="W43" s="329">
        <f>IFERROR(__xludf.DUMMYFUNCTION("""COMPUTED_VALUE"""),15.0)</f>
        <v>15</v>
      </c>
      <c r="X43" s="329">
        <f>IFERROR(__xludf.DUMMYFUNCTION("""COMPUTED_VALUE"""),9.0)</f>
        <v>9</v>
      </c>
      <c r="Y43" s="329">
        <f>IFERROR(__xludf.DUMMYFUNCTION("""COMPUTED_VALUE"""),3.0)</f>
        <v>3</v>
      </c>
      <c r="Z43" s="329">
        <f>IFERROR(__xludf.DUMMYFUNCTION("""COMPUTED_VALUE"""),1190.0)</f>
        <v>1190</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IFERROR(__xludf.DUMMYFUNCTION("""COMPUTED_VALUE"""),44128.0)</f>
        <v>44128</v>
      </c>
      <c r="B44" s="329">
        <f>IFERROR(__xludf.DUMMYFUNCTION("""COMPUTED_VALUE"""),361.0)</f>
        <v>361</v>
      </c>
      <c r="C44" s="329">
        <f>IFERROR(__xludf.DUMMYFUNCTION("""COMPUTED_VALUE"""),473.0)</f>
        <v>473</v>
      </c>
      <c r="D44" s="329">
        <f>IFERROR(__xludf.DUMMYFUNCTION("""COMPUTED_VALUE"""),41691.0)</f>
        <v>41691</v>
      </c>
      <c r="E44" s="329">
        <f>IFERROR(__xludf.DUMMYFUNCTION("""COMPUTED_VALUE"""),10254.0)</f>
        <v>10254</v>
      </c>
      <c r="F44" s="258">
        <f>IFERROR(__xludf.DUMMYFUNCTION("""COMPUTED_VALUE"""),1025249.0)</f>
        <v>1025249</v>
      </c>
      <c r="G44" s="258">
        <f>IFERROR(__xludf.DUMMYFUNCTION("""COMPUTED_VALUE"""),10615.0)</f>
        <v>10615</v>
      </c>
      <c r="H44" s="258">
        <f>IFERROR(__xludf.DUMMYFUNCTION("""COMPUTED_VALUE"""),1066940.0)</f>
        <v>1066940</v>
      </c>
      <c r="I44" s="329">
        <f>IFERROR(__xludf.DUMMYFUNCTION("""COMPUTED_VALUE"""),334.0)</f>
        <v>334</v>
      </c>
      <c r="J44" s="329">
        <f>IFERROR(__xludf.DUMMYFUNCTION("""COMPUTED_VALUE"""),437.0)</f>
        <v>437</v>
      </c>
      <c r="K44" s="329">
        <f>IFERROR(__xludf.DUMMYFUNCTION("""COMPUTED_VALUE"""),31007.0)</f>
        <v>31007</v>
      </c>
      <c r="L44" s="329">
        <f>IFERROR(__xludf.DUMMYFUNCTION("""COMPUTED_VALUE"""),2074.0)</f>
        <v>2074</v>
      </c>
      <c r="M44" s="329">
        <f>IFERROR(__xludf.DUMMYFUNCTION("""COMPUTED_VALUE"""),348671.0)</f>
        <v>348671</v>
      </c>
      <c r="N44" s="329">
        <f>IFERROR(__xludf.DUMMYFUNCTION("""COMPUTED_VALUE"""),379678.0)</f>
        <v>379678</v>
      </c>
      <c r="O44" s="329">
        <f>IFERROR(__xludf.DUMMYFUNCTION("""COMPUTED_VALUE"""),17.0)</f>
        <v>17</v>
      </c>
      <c r="P44" s="329">
        <f>IFERROR(__xludf.DUMMYFUNCTION("""COMPUTED_VALUE"""),3145.0)</f>
        <v>3145</v>
      </c>
      <c r="Q44" s="329">
        <f>IFERROR(__xludf.DUMMYFUNCTION("""COMPUTED_VALUE"""),11.0)</f>
        <v>11</v>
      </c>
      <c r="R44" s="329">
        <f>IFERROR(__xludf.DUMMYFUNCTION("""COMPUTED_VALUE"""),2587.0)</f>
        <v>2587</v>
      </c>
      <c r="S44" s="329">
        <f>IFERROR(__xludf.DUMMYFUNCTION("""COMPUTED_VALUE"""),0.0)</f>
        <v>0</v>
      </c>
      <c r="T44" s="329">
        <f>IFERROR(__xludf.DUMMYFUNCTION("""COMPUTED_VALUE"""),389.0)</f>
        <v>389</v>
      </c>
      <c r="U44" s="329">
        <f>IFERROR(__xludf.DUMMYFUNCTION("""COMPUTED_VALUE"""),169.0)</f>
        <v>169</v>
      </c>
      <c r="V44" s="329">
        <f>IFERROR(__xludf.DUMMYFUNCTION("""COMPUTED_VALUE"""),165.0)</f>
        <v>165</v>
      </c>
      <c r="W44" s="329">
        <f>IFERROR(__xludf.DUMMYFUNCTION("""COMPUTED_VALUE"""),14.0)</f>
        <v>14</v>
      </c>
      <c r="X44" s="329">
        <f>IFERROR(__xludf.DUMMYFUNCTION("""COMPUTED_VALUE"""),8.0)</f>
        <v>8</v>
      </c>
      <c r="Y44" s="329">
        <f>IFERROR(__xludf.DUMMYFUNCTION("""COMPUTED_VALUE"""),1.0)</f>
        <v>1</v>
      </c>
      <c r="Z44" s="329">
        <f>IFERROR(__xludf.DUMMYFUNCTION("""COMPUTED_VALUE"""),1191.0)</f>
        <v>1191</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IFERROR(__xludf.DUMMYFUNCTION("""COMPUTED_VALUE"""),44129.0)</f>
        <v>44129</v>
      </c>
      <c r="B45" s="329">
        <f>IFERROR(__xludf.DUMMYFUNCTION("""COMPUTED_VALUE"""),236.0)</f>
        <v>236</v>
      </c>
      <c r="C45" s="329">
        <f>IFERROR(__xludf.DUMMYFUNCTION("""COMPUTED_VALUE"""),371.0)</f>
        <v>371</v>
      </c>
      <c r="D45" s="329">
        <f>IFERROR(__xludf.DUMMYFUNCTION("""COMPUTED_VALUE"""),41927.0)</f>
        <v>41927</v>
      </c>
      <c r="E45" s="329">
        <f>IFERROR(__xludf.DUMMYFUNCTION("""COMPUTED_VALUE"""),4765.0)</f>
        <v>4765</v>
      </c>
      <c r="F45" s="258">
        <f>IFERROR(__xludf.DUMMYFUNCTION("""COMPUTED_VALUE"""),1030014.0)</f>
        <v>1030014</v>
      </c>
      <c r="G45" s="258">
        <f>IFERROR(__xludf.DUMMYFUNCTION("""COMPUTED_VALUE"""),5001.0)</f>
        <v>5001</v>
      </c>
      <c r="H45" s="258">
        <f>IFERROR(__xludf.DUMMYFUNCTION("""COMPUTED_VALUE"""),1071941.0)</f>
        <v>1071941</v>
      </c>
      <c r="I45" s="329">
        <f>IFERROR(__xludf.DUMMYFUNCTION("""COMPUTED_VALUE"""),191.0)</f>
        <v>191</v>
      </c>
      <c r="J45" s="329">
        <f>IFERROR(__xludf.DUMMYFUNCTION("""COMPUTED_VALUE"""),327.0)</f>
        <v>327</v>
      </c>
      <c r="K45" s="329">
        <f>IFERROR(__xludf.DUMMYFUNCTION("""COMPUTED_VALUE"""),31198.0)</f>
        <v>31198</v>
      </c>
      <c r="L45" s="329">
        <f>IFERROR(__xludf.DUMMYFUNCTION("""COMPUTED_VALUE"""),1335.0)</f>
        <v>1335</v>
      </c>
      <c r="M45" s="329">
        <f>IFERROR(__xludf.DUMMYFUNCTION("""COMPUTED_VALUE"""),350006.0)</f>
        <v>350006</v>
      </c>
      <c r="N45" s="329">
        <f>IFERROR(__xludf.DUMMYFUNCTION("""COMPUTED_VALUE"""),381204.0)</f>
        <v>381204</v>
      </c>
      <c r="O45" s="329">
        <f>IFERROR(__xludf.DUMMYFUNCTION("""COMPUTED_VALUE"""),16.0)</f>
        <v>16</v>
      </c>
      <c r="P45" s="329">
        <f>IFERROR(__xludf.DUMMYFUNCTION("""COMPUTED_VALUE"""),3161.0)</f>
        <v>3161</v>
      </c>
      <c r="Q45" s="329">
        <f>IFERROR(__xludf.DUMMYFUNCTION("""COMPUTED_VALUE"""),15.0)</f>
        <v>15</v>
      </c>
      <c r="R45" s="329">
        <f>IFERROR(__xludf.DUMMYFUNCTION("""COMPUTED_VALUE"""),2602.0)</f>
        <v>2602</v>
      </c>
      <c r="S45" s="329">
        <f>IFERROR(__xludf.DUMMYFUNCTION("""COMPUTED_VALUE"""),1.0)</f>
        <v>1</v>
      </c>
      <c r="T45" s="329">
        <f>IFERROR(__xludf.DUMMYFUNCTION("""COMPUTED_VALUE"""),390.0)</f>
        <v>390</v>
      </c>
      <c r="U45" s="329">
        <f>IFERROR(__xludf.DUMMYFUNCTION("""COMPUTED_VALUE"""),169.0)</f>
        <v>169</v>
      </c>
      <c r="V45" s="329">
        <f>IFERROR(__xludf.DUMMYFUNCTION("""COMPUTED_VALUE"""),167.0)</f>
        <v>167</v>
      </c>
      <c r="W45" s="329">
        <f>IFERROR(__xludf.DUMMYFUNCTION("""COMPUTED_VALUE"""),15.0)</f>
        <v>15</v>
      </c>
      <c r="X45" s="329">
        <f>IFERROR(__xludf.DUMMYFUNCTION("""COMPUTED_VALUE"""),8.0)</f>
        <v>8</v>
      </c>
      <c r="Y45" s="329">
        <f>IFERROR(__xludf.DUMMYFUNCTION("""COMPUTED_VALUE"""),2.0)</f>
        <v>2</v>
      </c>
      <c r="Z45" s="329">
        <f>IFERROR(__xludf.DUMMYFUNCTION("""COMPUTED_VALUE"""),1193.0)</f>
        <v>1193</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IFERROR(__xludf.DUMMYFUNCTION("""COMPUTED_VALUE"""),44130.0)</f>
        <v>44130</v>
      </c>
      <c r="B46" s="329">
        <f>IFERROR(__xludf.DUMMYFUNCTION("""COMPUTED_VALUE"""),456.0)</f>
        <v>456</v>
      </c>
      <c r="C46" s="329">
        <f>IFERROR(__xludf.DUMMYFUNCTION("""COMPUTED_VALUE"""),351.0)</f>
        <v>351</v>
      </c>
      <c r="D46" s="329">
        <f>IFERROR(__xludf.DUMMYFUNCTION("""COMPUTED_VALUE"""),42383.0)</f>
        <v>42383</v>
      </c>
      <c r="E46" s="329">
        <f>IFERROR(__xludf.DUMMYFUNCTION("""COMPUTED_VALUE"""),9173.0)</f>
        <v>9173</v>
      </c>
      <c r="F46" s="258">
        <f>IFERROR(__xludf.DUMMYFUNCTION("""COMPUTED_VALUE"""),1039187.0)</f>
        <v>1039187</v>
      </c>
      <c r="G46" s="258">
        <f>IFERROR(__xludf.DUMMYFUNCTION("""COMPUTED_VALUE"""),9629.0)</f>
        <v>9629</v>
      </c>
      <c r="H46" s="258">
        <f>IFERROR(__xludf.DUMMYFUNCTION("""COMPUTED_VALUE"""),1081570.0)</f>
        <v>1081570</v>
      </c>
      <c r="I46" s="329">
        <f>IFERROR(__xludf.DUMMYFUNCTION("""COMPUTED_VALUE"""),384.0)</f>
        <v>384</v>
      </c>
      <c r="J46" s="329">
        <f>IFERROR(__xludf.DUMMYFUNCTION("""COMPUTED_VALUE"""),303.0)</f>
        <v>303</v>
      </c>
      <c r="K46" s="329">
        <f>IFERROR(__xludf.DUMMYFUNCTION("""COMPUTED_VALUE"""),31582.0)</f>
        <v>31582</v>
      </c>
      <c r="L46" s="329">
        <f>IFERROR(__xludf.DUMMYFUNCTION("""COMPUTED_VALUE"""),2744.0)</f>
        <v>2744</v>
      </c>
      <c r="M46" s="329">
        <f>IFERROR(__xludf.DUMMYFUNCTION("""COMPUTED_VALUE"""),352750.0)</f>
        <v>352750</v>
      </c>
      <c r="N46" s="329">
        <f>IFERROR(__xludf.DUMMYFUNCTION("""COMPUTED_VALUE"""),384332.0)</f>
        <v>384332</v>
      </c>
      <c r="O46" s="329">
        <f>IFERROR(__xludf.DUMMYFUNCTION("""COMPUTED_VALUE"""),28.0)</f>
        <v>28</v>
      </c>
      <c r="P46" s="329">
        <f>IFERROR(__xludf.DUMMYFUNCTION("""COMPUTED_VALUE"""),3189.0)</f>
        <v>3189</v>
      </c>
      <c r="Q46" s="329">
        <f>IFERROR(__xludf.DUMMYFUNCTION("""COMPUTED_VALUE"""),15.0)</f>
        <v>15</v>
      </c>
      <c r="R46" s="329">
        <f>IFERROR(__xludf.DUMMYFUNCTION("""COMPUTED_VALUE"""),2617.0)</f>
        <v>2617</v>
      </c>
      <c r="S46" s="329">
        <f>IFERROR(__xludf.DUMMYFUNCTION("""COMPUTED_VALUE"""),2.0)</f>
        <v>2</v>
      </c>
      <c r="T46" s="329">
        <f>IFERROR(__xludf.DUMMYFUNCTION("""COMPUTED_VALUE"""),392.0)</f>
        <v>392</v>
      </c>
      <c r="U46" s="329">
        <f>IFERROR(__xludf.DUMMYFUNCTION("""COMPUTED_VALUE"""),180.0)</f>
        <v>180</v>
      </c>
      <c r="V46" s="329">
        <f>IFERROR(__xludf.DUMMYFUNCTION("""COMPUTED_VALUE"""),173.0)</f>
        <v>173</v>
      </c>
      <c r="W46" s="329">
        <f>IFERROR(__xludf.DUMMYFUNCTION("""COMPUTED_VALUE"""),18.0)</f>
        <v>18</v>
      </c>
      <c r="X46" s="329">
        <f>IFERROR(__xludf.DUMMYFUNCTION("""COMPUTED_VALUE"""),8.0)</f>
        <v>8</v>
      </c>
      <c r="Y46" s="329">
        <f>IFERROR(__xludf.DUMMYFUNCTION("""COMPUTED_VALUE"""),3.0)</f>
        <v>3</v>
      </c>
      <c r="Z46" s="329">
        <f>IFERROR(__xludf.DUMMYFUNCTION("""COMPUTED_VALUE"""),1196.0)</f>
        <v>1196</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IFERROR(__xludf.DUMMYFUNCTION("""COMPUTED_VALUE"""),44131.0)</f>
        <v>44131</v>
      </c>
      <c r="B47" s="329">
        <f>IFERROR(__xludf.DUMMYFUNCTION("""COMPUTED_VALUE"""),522.0)</f>
        <v>522</v>
      </c>
      <c r="C47" s="329">
        <f>IFERROR(__xludf.DUMMYFUNCTION("""COMPUTED_VALUE"""),405.0)</f>
        <v>405</v>
      </c>
      <c r="D47" s="329">
        <f>IFERROR(__xludf.DUMMYFUNCTION("""COMPUTED_VALUE"""),42905.0)</f>
        <v>42905</v>
      </c>
      <c r="E47" s="329">
        <f>IFERROR(__xludf.DUMMYFUNCTION("""COMPUTED_VALUE"""),13996.0)</f>
        <v>13996</v>
      </c>
      <c r="F47" s="258">
        <f>IFERROR(__xludf.DUMMYFUNCTION("""COMPUTED_VALUE"""),1053183.0)</f>
        <v>1053183</v>
      </c>
      <c r="G47" s="258">
        <f>IFERROR(__xludf.DUMMYFUNCTION("""COMPUTED_VALUE"""),14518.0)</f>
        <v>14518</v>
      </c>
      <c r="H47" s="258">
        <f>IFERROR(__xludf.DUMMYFUNCTION("""COMPUTED_VALUE"""),1096088.0)</f>
        <v>1096088</v>
      </c>
      <c r="I47" s="329">
        <f>IFERROR(__xludf.DUMMYFUNCTION("""COMPUTED_VALUE"""),474.0)</f>
        <v>474</v>
      </c>
      <c r="J47" s="329">
        <f>IFERROR(__xludf.DUMMYFUNCTION("""COMPUTED_VALUE"""),350.0)</f>
        <v>350</v>
      </c>
      <c r="K47" s="329">
        <f>IFERROR(__xludf.DUMMYFUNCTION("""COMPUTED_VALUE"""),32056.0)</f>
        <v>32056</v>
      </c>
      <c r="L47" s="329">
        <f>IFERROR(__xludf.DUMMYFUNCTION("""COMPUTED_VALUE"""),2216.0)</f>
        <v>2216</v>
      </c>
      <c r="M47" s="329">
        <f>IFERROR(__xludf.DUMMYFUNCTION("""COMPUTED_VALUE"""),354966.0)</f>
        <v>354966</v>
      </c>
      <c r="N47" s="329">
        <f>IFERROR(__xludf.DUMMYFUNCTION("""COMPUTED_VALUE"""),387022.0)</f>
        <v>387022</v>
      </c>
      <c r="O47" s="329">
        <f>IFERROR(__xludf.DUMMYFUNCTION("""COMPUTED_VALUE"""),28.0)</f>
        <v>28</v>
      </c>
      <c r="P47" s="329">
        <f>IFERROR(__xludf.DUMMYFUNCTION("""COMPUTED_VALUE"""),3217.0)</f>
        <v>3217</v>
      </c>
      <c r="Q47" s="329">
        <f>IFERROR(__xludf.DUMMYFUNCTION("""COMPUTED_VALUE"""),14.0)</f>
        <v>14</v>
      </c>
      <c r="R47" s="329">
        <f>IFERROR(__xludf.DUMMYFUNCTION("""COMPUTED_VALUE"""),2631.0)</f>
        <v>2631</v>
      </c>
      <c r="S47" s="329">
        <f>IFERROR(__xludf.DUMMYFUNCTION("""COMPUTED_VALUE"""),2.0)</f>
        <v>2</v>
      </c>
      <c r="T47" s="329">
        <f>IFERROR(__xludf.DUMMYFUNCTION("""COMPUTED_VALUE"""),394.0)</f>
        <v>394</v>
      </c>
      <c r="U47" s="329">
        <f>IFERROR(__xludf.DUMMYFUNCTION("""COMPUTED_VALUE"""),192.0)</f>
        <v>192</v>
      </c>
      <c r="V47" s="329">
        <f>IFERROR(__xludf.DUMMYFUNCTION("""COMPUTED_VALUE"""),180.0)</f>
        <v>180</v>
      </c>
      <c r="W47" s="329">
        <f>IFERROR(__xludf.DUMMYFUNCTION("""COMPUTED_VALUE"""),18.0)</f>
        <v>18</v>
      </c>
      <c r="X47" s="329">
        <f>IFERROR(__xludf.DUMMYFUNCTION("""COMPUTED_VALUE"""),9.0)</f>
        <v>9</v>
      </c>
      <c r="Y47" s="329">
        <f>IFERROR(__xludf.DUMMYFUNCTION("""COMPUTED_VALUE"""),5.0)</f>
        <v>5</v>
      </c>
      <c r="Z47" s="329">
        <f>IFERROR(__xludf.DUMMYFUNCTION("""COMPUTED_VALUE"""),1201.0)</f>
        <v>1201</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IFERROR(__xludf.DUMMYFUNCTION("""COMPUTED_VALUE"""),44132.0)</f>
        <v>44132</v>
      </c>
      <c r="B48" s="329">
        <f>IFERROR(__xludf.DUMMYFUNCTION("""COMPUTED_VALUE"""),469.0)</f>
        <v>469</v>
      </c>
      <c r="C48" s="329">
        <f>IFERROR(__xludf.DUMMYFUNCTION("""COMPUTED_VALUE"""),482.0)</f>
        <v>482</v>
      </c>
      <c r="D48" s="329">
        <f>IFERROR(__xludf.DUMMYFUNCTION("""COMPUTED_VALUE"""),43374.0)</f>
        <v>43374</v>
      </c>
      <c r="E48" s="329">
        <f>IFERROR(__xludf.DUMMYFUNCTION("""COMPUTED_VALUE"""),15228.0)</f>
        <v>15228</v>
      </c>
      <c r="F48" s="258">
        <f>IFERROR(__xludf.DUMMYFUNCTION("""COMPUTED_VALUE"""),1068411.0)</f>
        <v>1068411</v>
      </c>
      <c r="G48" s="258">
        <f>IFERROR(__xludf.DUMMYFUNCTION("""COMPUTED_VALUE"""),15697.0)</f>
        <v>15697</v>
      </c>
      <c r="H48" s="258">
        <f>IFERROR(__xludf.DUMMYFUNCTION("""COMPUTED_VALUE"""),1111785.0)</f>
        <v>1111785</v>
      </c>
      <c r="I48" s="329">
        <f>IFERROR(__xludf.DUMMYFUNCTION("""COMPUTED_VALUE"""),423.0)</f>
        <v>423</v>
      </c>
      <c r="J48" s="329">
        <f>IFERROR(__xludf.DUMMYFUNCTION("""COMPUTED_VALUE"""),427.0)</f>
        <v>427</v>
      </c>
      <c r="K48" s="329">
        <f>IFERROR(__xludf.DUMMYFUNCTION("""COMPUTED_VALUE"""),32479.0)</f>
        <v>32479</v>
      </c>
      <c r="L48" s="329">
        <f>IFERROR(__xludf.DUMMYFUNCTION("""COMPUTED_VALUE"""),2486.0)</f>
        <v>2486</v>
      </c>
      <c r="M48" s="329">
        <f>IFERROR(__xludf.DUMMYFUNCTION("""COMPUTED_VALUE"""),357452.0)</f>
        <v>357452</v>
      </c>
      <c r="N48" s="329">
        <f>IFERROR(__xludf.DUMMYFUNCTION("""COMPUTED_VALUE"""),389931.0)</f>
        <v>389931</v>
      </c>
      <c r="O48" s="329">
        <f>IFERROR(__xludf.DUMMYFUNCTION("""COMPUTED_VALUE"""),24.0)</f>
        <v>24</v>
      </c>
      <c r="P48" s="329">
        <f>IFERROR(__xludf.DUMMYFUNCTION("""COMPUTED_VALUE"""),3241.0)</f>
        <v>3241</v>
      </c>
      <c r="Q48" s="329">
        <f>IFERROR(__xludf.DUMMYFUNCTION("""COMPUTED_VALUE"""),25.0)</f>
        <v>25</v>
      </c>
      <c r="R48" s="329">
        <f>IFERROR(__xludf.DUMMYFUNCTION("""COMPUTED_VALUE"""),2656.0)</f>
        <v>2656</v>
      </c>
      <c r="S48" s="329">
        <f>IFERROR(__xludf.DUMMYFUNCTION("""COMPUTED_VALUE"""),1.0)</f>
        <v>1</v>
      </c>
      <c r="T48" s="329">
        <f>IFERROR(__xludf.DUMMYFUNCTION("""COMPUTED_VALUE"""),395.0)</f>
        <v>395</v>
      </c>
      <c r="U48" s="329">
        <f>IFERROR(__xludf.DUMMYFUNCTION("""COMPUTED_VALUE"""),190.0)</f>
        <v>190</v>
      </c>
      <c r="V48" s="329">
        <f>IFERROR(__xludf.DUMMYFUNCTION("""COMPUTED_VALUE"""),187.0)</f>
        <v>187</v>
      </c>
      <c r="W48" s="329">
        <f>IFERROR(__xludf.DUMMYFUNCTION("""COMPUTED_VALUE"""),17.0)</f>
        <v>17</v>
      </c>
      <c r="X48" s="329">
        <f>IFERROR(__xludf.DUMMYFUNCTION("""COMPUTED_VALUE"""),9.0)</f>
        <v>9</v>
      </c>
      <c r="Y48" s="329">
        <f>IFERROR(__xludf.DUMMYFUNCTION("""COMPUTED_VALUE"""),3.0)</f>
        <v>3</v>
      </c>
      <c r="Z48" s="329">
        <f>IFERROR(__xludf.DUMMYFUNCTION("""COMPUTED_VALUE"""),1204.0)</f>
        <v>1204</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IFERROR(__xludf.DUMMYFUNCTION("""COMPUTED_VALUE"""),44133.0)</f>
        <v>44133</v>
      </c>
      <c r="B49" s="329">
        <f>IFERROR(__xludf.DUMMYFUNCTION("""COMPUTED_VALUE"""),612.0)</f>
        <v>612</v>
      </c>
      <c r="C49" s="329">
        <f>IFERROR(__xludf.DUMMYFUNCTION("""COMPUTED_VALUE"""),534.0)</f>
        <v>534</v>
      </c>
      <c r="D49" s="329">
        <f>IFERROR(__xludf.DUMMYFUNCTION("""COMPUTED_VALUE"""),43986.0)</f>
        <v>43986</v>
      </c>
      <c r="E49" s="329">
        <f>IFERROR(__xludf.DUMMYFUNCTION("""COMPUTED_VALUE"""),16262.0)</f>
        <v>16262</v>
      </c>
      <c r="F49" s="258">
        <f>IFERROR(__xludf.DUMMYFUNCTION("""COMPUTED_VALUE"""),1084673.0)</f>
        <v>1084673</v>
      </c>
      <c r="G49" s="258">
        <f>IFERROR(__xludf.DUMMYFUNCTION("""COMPUTED_VALUE"""),16874.0)</f>
        <v>16874</v>
      </c>
      <c r="H49" s="258">
        <f>IFERROR(__xludf.DUMMYFUNCTION("""COMPUTED_VALUE"""),1128659.0)</f>
        <v>1128659</v>
      </c>
      <c r="I49" s="329">
        <f>IFERROR(__xludf.DUMMYFUNCTION("""COMPUTED_VALUE"""),511.0)</f>
        <v>511</v>
      </c>
      <c r="J49" s="329">
        <f>IFERROR(__xludf.DUMMYFUNCTION("""COMPUTED_VALUE"""),469.0)</f>
        <v>469</v>
      </c>
      <c r="K49" s="329">
        <f>IFERROR(__xludf.DUMMYFUNCTION("""COMPUTED_VALUE"""),32990.0)</f>
        <v>32990</v>
      </c>
      <c r="L49" s="329">
        <f>IFERROR(__xludf.DUMMYFUNCTION("""COMPUTED_VALUE"""),2912.0)</f>
        <v>2912</v>
      </c>
      <c r="M49" s="329">
        <f>IFERROR(__xludf.DUMMYFUNCTION("""COMPUTED_VALUE"""),360364.0)</f>
        <v>360364</v>
      </c>
      <c r="N49" s="329">
        <f>IFERROR(__xludf.DUMMYFUNCTION("""COMPUTED_VALUE"""),393354.0)</f>
        <v>393354</v>
      </c>
      <c r="O49" s="329">
        <f>IFERROR(__xludf.DUMMYFUNCTION("""COMPUTED_VALUE"""),20.0)</f>
        <v>20</v>
      </c>
      <c r="P49" s="329">
        <f>IFERROR(__xludf.DUMMYFUNCTION("""COMPUTED_VALUE"""),3261.0)</f>
        <v>3261</v>
      </c>
      <c r="Q49" s="329">
        <f>IFERROR(__xludf.DUMMYFUNCTION("""COMPUTED_VALUE"""),22.0)</f>
        <v>22</v>
      </c>
      <c r="R49" s="329">
        <f>IFERROR(__xludf.DUMMYFUNCTION("""COMPUTED_VALUE"""),2678.0)</f>
        <v>2678</v>
      </c>
      <c r="S49" s="329">
        <f>IFERROR(__xludf.DUMMYFUNCTION("""COMPUTED_VALUE"""),3.0)</f>
        <v>3</v>
      </c>
      <c r="T49" s="329">
        <f>IFERROR(__xludf.DUMMYFUNCTION("""COMPUTED_VALUE"""),398.0)</f>
        <v>398</v>
      </c>
      <c r="U49" s="329">
        <f>IFERROR(__xludf.DUMMYFUNCTION("""COMPUTED_VALUE"""),185.0)</f>
        <v>185</v>
      </c>
      <c r="V49" s="329">
        <f>IFERROR(__xludf.DUMMYFUNCTION("""COMPUTED_VALUE"""),189.0)</f>
        <v>189</v>
      </c>
      <c r="W49" s="329">
        <f>IFERROR(__xludf.DUMMYFUNCTION("""COMPUTED_VALUE"""),19.0)</f>
        <v>19</v>
      </c>
      <c r="X49" s="329">
        <f>IFERROR(__xludf.DUMMYFUNCTION("""COMPUTED_VALUE"""),11.0)</f>
        <v>11</v>
      </c>
      <c r="Y49" s="329">
        <f>IFERROR(__xludf.DUMMYFUNCTION("""COMPUTED_VALUE"""),4.0)</f>
        <v>4</v>
      </c>
      <c r="Z49" s="329">
        <f>IFERROR(__xludf.DUMMYFUNCTION("""COMPUTED_VALUE"""),1208.0)</f>
        <v>1208</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IFERROR(__xludf.DUMMYFUNCTION("""COMPUTED_VALUE"""),44134.0)</f>
        <v>44134</v>
      </c>
      <c r="B50" s="329">
        <f>IFERROR(__xludf.DUMMYFUNCTION("""COMPUTED_VALUE"""),565.0)</f>
        <v>565</v>
      </c>
      <c r="C50" s="329">
        <f>IFERROR(__xludf.DUMMYFUNCTION("""COMPUTED_VALUE"""),549.0)</f>
        <v>549</v>
      </c>
      <c r="D50" s="329">
        <f>IFERROR(__xludf.DUMMYFUNCTION("""COMPUTED_VALUE"""),44551.0)</f>
        <v>44551</v>
      </c>
      <c r="E50" s="329">
        <f>IFERROR(__xludf.DUMMYFUNCTION("""COMPUTED_VALUE"""),14866.0)</f>
        <v>14866</v>
      </c>
      <c r="F50" s="258">
        <f>IFERROR(__xludf.DUMMYFUNCTION("""COMPUTED_VALUE"""),1099539.0)</f>
        <v>1099539</v>
      </c>
      <c r="G50" s="258">
        <f>IFERROR(__xludf.DUMMYFUNCTION("""COMPUTED_VALUE"""),15431.0)</f>
        <v>15431</v>
      </c>
      <c r="H50" s="258">
        <f>IFERROR(__xludf.DUMMYFUNCTION("""COMPUTED_VALUE"""),1144090.0)</f>
        <v>1144090</v>
      </c>
      <c r="I50" s="329">
        <f>IFERROR(__xludf.DUMMYFUNCTION("""COMPUTED_VALUE"""),481.0)</f>
        <v>481</v>
      </c>
      <c r="J50" s="329">
        <f>IFERROR(__xludf.DUMMYFUNCTION("""COMPUTED_VALUE"""),472.0)</f>
        <v>472</v>
      </c>
      <c r="K50" s="329">
        <f>IFERROR(__xludf.DUMMYFUNCTION("""COMPUTED_VALUE"""),33471.0)</f>
        <v>33471</v>
      </c>
      <c r="L50" s="329">
        <f>IFERROR(__xludf.DUMMYFUNCTION("""COMPUTED_VALUE"""),2727.0)</f>
        <v>2727</v>
      </c>
      <c r="M50" s="329">
        <f>IFERROR(__xludf.DUMMYFUNCTION("""COMPUTED_VALUE"""),363091.0)</f>
        <v>363091</v>
      </c>
      <c r="N50" s="329">
        <f>IFERROR(__xludf.DUMMYFUNCTION("""COMPUTED_VALUE"""),396562.0)</f>
        <v>396562</v>
      </c>
      <c r="O50" s="329">
        <f>IFERROR(__xludf.DUMMYFUNCTION("""COMPUTED_VALUE"""),22.0)</f>
        <v>22</v>
      </c>
      <c r="P50" s="329">
        <f>IFERROR(__xludf.DUMMYFUNCTION("""COMPUTED_VALUE"""),3283.0)</f>
        <v>3283</v>
      </c>
      <c r="Q50" s="329">
        <f>IFERROR(__xludf.DUMMYFUNCTION("""COMPUTED_VALUE"""),21.0)</f>
        <v>21</v>
      </c>
      <c r="R50" s="329">
        <f>IFERROR(__xludf.DUMMYFUNCTION("""COMPUTED_VALUE"""),2699.0)</f>
        <v>2699</v>
      </c>
      <c r="S50" s="329">
        <f>IFERROR(__xludf.DUMMYFUNCTION("""COMPUTED_VALUE"""),5.0)</f>
        <v>5</v>
      </c>
      <c r="T50" s="329">
        <f>IFERROR(__xludf.DUMMYFUNCTION("""COMPUTED_VALUE"""),403.0)</f>
        <v>403</v>
      </c>
      <c r="U50" s="329">
        <f>IFERROR(__xludf.DUMMYFUNCTION("""COMPUTED_VALUE"""),181.0)</f>
        <v>181</v>
      </c>
      <c r="V50" s="329">
        <f>IFERROR(__xludf.DUMMYFUNCTION("""COMPUTED_VALUE"""),185.0)</f>
        <v>185</v>
      </c>
      <c r="W50" s="329">
        <f>IFERROR(__xludf.DUMMYFUNCTION("""COMPUTED_VALUE"""),19.0)</f>
        <v>19</v>
      </c>
      <c r="X50" s="329">
        <f>IFERROR(__xludf.DUMMYFUNCTION("""COMPUTED_VALUE"""),9.0)</f>
        <v>9</v>
      </c>
      <c r="Y50" s="329">
        <f>IFERROR(__xludf.DUMMYFUNCTION("""COMPUTED_VALUE"""),5.0)</f>
        <v>5</v>
      </c>
      <c r="Z50" s="329">
        <f>IFERROR(__xludf.DUMMYFUNCTION("""COMPUTED_VALUE"""),1213.0)</f>
        <v>1213</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IFERROR(__xludf.DUMMYFUNCTION("""COMPUTED_VALUE"""),44135.0)</f>
        <v>44135</v>
      </c>
      <c r="B51" s="329">
        <f>IFERROR(__xludf.DUMMYFUNCTION("""COMPUTED_VALUE"""),602.0)</f>
        <v>602</v>
      </c>
      <c r="C51" s="329">
        <f>IFERROR(__xludf.DUMMYFUNCTION("""COMPUTED_VALUE"""),593.0)</f>
        <v>593</v>
      </c>
      <c r="D51" s="329">
        <f>IFERROR(__xludf.DUMMYFUNCTION("""COMPUTED_VALUE"""),45153.0)</f>
        <v>45153</v>
      </c>
      <c r="E51" s="329">
        <f>IFERROR(__xludf.DUMMYFUNCTION("""COMPUTED_VALUE"""),11821.0)</f>
        <v>11821</v>
      </c>
      <c r="F51" s="258">
        <f>IFERROR(__xludf.DUMMYFUNCTION("""COMPUTED_VALUE"""),1111360.0)</f>
        <v>1111360</v>
      </c>
      <c r="G51" s="258">
        <f>IFERROR(__xludf.DUMMYFUNCTION("""COMPUTED_VALUE"""),12423.0)</f>
        <v>12423</v>
      </c>
      <c r="H51" s="258">
        <f>IFERROR(__xludf.DUMMYFUNCTION("""COMPUTED_VALUE"""),1156513.0)</f>
        <v>1156513</v>
      </c>
      <c r="I51" s="329">
        <f>IFERROR(__xludf.DUMMYFUNCTION("""COMPUTED_VALUE"""),481.0)</f>
        <v>481</v>
      </c>
      <c r="J51" s="329">
        <f>IFERROR(__xludf.DUMMYFUNCTION("""COMPUTED_VALUE"""),491.0)</f>
        <v>491</v>
      </c>
      <c r="K51" s="329">
        <f>IFERROR(__xludf.DUMMYFUNCTION("""COMPUTED_VALUE"""),33952.0)</f>
        <v>33952</v>
      </c>
      <c r="L51" s="329">
        <f>IFERROR(__xludf.DUMMYFUNCTION("""COMPUTED_VALUE"""),2243.0)</f>
        <v>2243</v>
      </c>
      <c r="M51" s="329">
        <f>IFERROR(__xludf.DUMMYFUNCTION("""COMPUTED_VALUE"""),365334.0)</f>
        <v>365334</v>
      </c>
      <c r="N51" s="329">
        <f>IFERROR(__xludf.DUMMYFUNCTION("""COMPUTED_VALUE"""),399286.0)</f>
        <v>399286</v>
      </c>
      <c r="O51" s="329">
        <f>IFERROR(__xludf.DUMMYFUNCTION("""COMPUTED_VALUE"""),32.0)</f>
        <v>32</v>
      </c>
      <c r="P51" s="329">
        <f>IFERROR(__xludf.DUMMYFUNCTION("""COMPUTED_VALUE"""),3315.0)</f>
        <v>3315</v>
      </c>
      <c r="Q51" s="329">
        <f>IFERROR(__xludf.DUMMYFUNCTION("""COMPUTED_VALUE"""),13.0)</f>
        <v>13</v>
      </c>
      <c r="R51" s="329">
        <f>IFERROR(__xludf.DUMMYFUNCTION("""COMPUTED_VALUE"""),2712.0)</f>
        <v>2712</v>
      </c>
      <c r="S51" s="329">
        <f>IFERROR(__xludf.DUMMYFUNCTION("""COMPUTED_VALUE"""),1.0)</f>
        <v>1</v>
      </c>
      <c r="T51" s="329">
        <f>IFERROR(__xludf.DUMMYFUNCTION("""COMPUTED_VALUE"""),404.0)</f>
        <v>404</v>
      </c>
      <c r="U51" s="329">
        <f>IFERROR(__xludf.DUMMYFUNCTION("""COMPUTED_VALUE"""),199.0)</f>
        <v>199</v>
      </c>
      <c r="V51" s="329">
        <f>IFERROR(__xludf.DUMMYFUNCTION("""COMPUTED_VALUE"""),188.0)</f>
        <v>188</v>
      </c>
      <c r="W51" s="329">
        <f>IFERROR(__xludf.DUMMYFUNCTION("""COMPUTED_VALUE"""),24.0)</f>
        <v>24</v>
      </c>
      <c r="X51" s="329">
        <f>IFERROR(__xludf.DUMMYFUNCTION("""COMPUTED_VALUE"""),11.0)</f>
        <v>11</v>
      </c>
      <c r="Y51" s="329">
        <f>IFERROR(__xludf.DUMMYFUNCTION("""COMPUTED_VALUE"""),3.0)</f>
        <v>3</v>
      </c>
      <c r="Z51" s="329">
        <f>IFERROR(__xludf.DUMMYFUNCTION("""COMPUTED_VALUE"""),1216.0)</f>
        <v>1216</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IFERROR(__xludf.DUMMYFUNCTION("""COMPUTED_VALUE"""),44136.0)</f>
        <v>44136</v>
      </c>
      <c r="B52" s="329">
        <f>IFERROR(__xludf.DUMMYFUNCTION("""COMPUTED_VALUE"""),330.0)</f>
        <v>330</v>
      </c>
      <c r="C52" s="329">
        <f>IFERROR(__xludf.DUMMYFUNCTION("""COMPUTED_VALUE"""),499.0)</f>
        <v>499</v>
      </c>
      <c r="D52" s="329">
        <f>IFERROR(__xludf.DUMMYFUNCTION("""COMPUTED_VALUE"""),45483.0)</f>
        <v>45483</v>
      </c>
      <c r="E52" s="329">
        <f>IFERROR(__xludf.DUMMYFUNCTION("""COMPUTED_VALUE"""),5092.0)</f>
        <v>5092</v>
      </c>
      <c r="F52" s="258">
        <f>IFERROR(__xludf.DUMMYFUNCTION("""COMPUTED_VALUE"""),1116452.0)</f>
        <v>1116452</v>
      </c>
      <c r="G52" s="258">
        <f>IFERROR(__xludf.DUMMYFUNCTION("""COMPUTED_VALUE"""),5422.0)</f>
        <v>5422</v>
      </c>
      <c r="H52" s="258">
        <f>IFERROR(__xludf.DUMMYFUNCTION("""COMPUTED_VALUE"""),1161935.0)</f>
        <v>1161935</v>
      </c>
      <c r="I52" s="329">
        <f>IFERROR(__xludf.DUMMYFUNCTION("""COMPUTED_VALUE"""),279.0)</f>
        <v>279</v>
      </c>
      <c r="J52" s="329">
        <f>IFERROR(__xludf.DUMMYFUNCTION("""COMPUTED_VALUE"""),414.0)</f>
        <v>414</v>
      </c>
      <c r="K52" s="329">
        <f>IFERROR(__xludf.DUMMYFUNCTION("""COMPUTED_VALUE"""),34231.0)</f>
        <v>34231</v>
      </c>
      <c r="L52" s="329">
        <f>IFERROR(__xludf.DUMMYFUNCTION("""COMPUTED_VALUE"""),1158.0)</f>
        <v>1158</v>
      </c>
      <c r="M52" s="329">
        <f>IFERROR(__xludf.DUMMYFUNCTION("""COMPUTED_VALUE"""),366492.0)</f>
        <v>366492</v>
      </c>
      <c r="N52" s="329">
        <f>IFERROR(__xludf.DUMMYFUNCTION("""COMPUTED_VALUE"""),400723.0)</f>
        <v>400723</v>
      </c>
      <c r="O52" s="329">
        <f>IFERROR(__xludf.DUMMYFUNCTION("""COMPUTED_VALUE"""),21.0)</f>
        <v>21</v>
      </c>
      <c r="P52" s="329">
        <f>IFERROR(__xludf.DUMMYFUNCTION("""COMPUTED_VALUE"""),3336.0)</f>
        <v>3336</v>
      </c>
      <c r="Q52" s="329">
        <f>IFERROR(__xludf.DUMMYFUNCTION("""COMPUTED_VALUE"""),15.0)</f>
        <v>15</v>
      </c>
      <c r="R52" s="329">
        <f>IFERROR(__xludf.DUMMYFUNCTION("""COMPUTED_VALUE"""),2727.0)</f>
        <v>2727</v>
      </c>
      <c r="S52" s="329">
        <f>IFERROR(__xludf.DUMMYFUNCTION("""COMPUTED_VALUE"""),1.0)</f>
        <v>1</v>
      </c>
      <c r="T52" s="329">
        <f>IFERROR(__xludf.DUMMYFUNCTION("""COMPUTED_VALUE"""),405.0)</f>
        <v>405</v>
      </c>
      <c r="U52" s="329">
        <f>IFERROR(__xludf.DUMMYFUNCTION("""COMPUTED_VALUE"""),204.0)</f>
        <v>204</v>
      </c>
      <c r="V52" s="329">
        <f>IFERROR(__xludf.DUMMYFUNCTION("""COMPUTED_VALUE"""),195.0)</f>
        <v>195</v>
      </c>
      <c r="W52" s="329">
        <f>IFERROR(__xludf.DUMMYFUNCTION("""COMPUTED_VALUE"""),28.0)</f>
        <v>28</v>
      </c>
      <c r="X52" s="329">
        <f>IFERROR(__xludf.DUMMYFUNCTION("""COMPUTED_VALUE"""),14.0)</f>
        <v>14</v>
      </c>
      <c r="Y52" s="329">
        <f>IFERROR(__xludf.DUMMYFUNCTION("""COMPUTED_VALUE"""),4.0)</f>
        <v>4</v>
      </c>
      <c r="Z52" s="329">
        <f>IFERROR(__xludf.DUMMYFUNCTION("""COMPUTED_VALUE"""),1220.0)</f>
        <v>1220</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IFERROR(__xludf.DUMMYFUNCTION("""COMPUTED_VALUE"""),44137.0)</f>
        <v>44137</v>
      </c>
      <c r="B53" s="329">
        <f>IFERROR(__xludf.DUMMYFUNCTION("""COMPUTED_VALUE"""),525.0)</f>
        <v>525</v>
      </c>
      <c r="C53" s="329">
        <f>IFERROR(__xludf.DUMMYFUNCTION("""COMPUTED_VALUE"""),486.0)</f>
        <v>486</v>
      </c>
      <c r="D53" s="329">
        <f>IFERROR(__xludf.DUMMYFUNCTION("""COMPUTED_VALUE"""),46008.0)</f>
        <v>46008</v>
      </c>
      <c r="E53" s="329">
        <f>IFERROR(__xludf.DUMMYFUNCTION("""COMPUTED_VALUE"""),9935.0)</f>
        <v>9935</v>
      </c>
      <c r="F53" s="258">
        <f>IFERROR(__xludf.DUMMYFUNCTION("""COMPUTED_VALUE"""),1126387.0)</f>
        <v>1126387</v>
      </c>
      <c r="G53" s="258">
        <f>IFERROR(__xludf.DUMMYFUNCTION("""COMPUTED_VALUE"""),10460.0)</f>
        <v>10460</v>
      </c>
      <c r="H53" s="258">
        <f>IFERROR(__xludf.DUMMYFUNCTION("""COMPUTED_VALUE"""),1172395.0)</f>
        <v>1172395</v>
      </c>
      <c r="I53" s="329">
        <f>IFERROR(__xludf.DUMMYFUNCTION("""COMPUTED_VALUE"""),432.0)</f>
        <v>432</v>
      </c>
      <c r="J53" s="329">
        <f>IFERROR(__xludf.DUMMYFUNCTION("""COMPUTED_VALUE"""),397.0)</f>
        <v>397</v>
      </c>
      <c r="K53" s="329">
        <f>IFERROR(__xludf.DUMMYFUNCTION("""COMPUTED_VALUE"""),34663.0)</f>
        <v>34663</v>
      </c>
      <c r="L53" s="329">
        <f>IFERROR(__xludf.DUMMYFUNCTION("""COMPUTED_VALUE"""),2729.0)</f>
        <v>2729</v>
      </c>
      <c r="M53" s="329">
        <f>IFERROR(__xludf.DUMMYFUNCTION("""COMPUTED_VALUE"""),369221.0)</f>
        <v>369221</v>
      </c>
      <c r="N53" s="329">
        <f>IFERROR(__xludf.DUMMYFUNCTION("""COMPUTED_VALUE"""),403884.0)</f>
        <v>403884</v>
      </c>
      <c r="O53" s="329">
        <f>IFERROR(__xludf.DUMMYFUNCTION("""COMPUTED_VALUE"""),38.0)</f>
        <v>38</v>
      </c>
      <c r="P53" s="329">
        <f>IFERROR(__xludf.DUMMYFUNCTION("""COMPUTED_VALUE"""),3374.0)</f>
        <v>3374</v>
      </c>
      <c r="Q53" s="329">
        <f>IFERROR(__xludf.DUMMYFUNCTION("""COMPUTED_VALUE"""),26.0)</f>
        <v>26</v>
      </c>
      <c r="R53" s="329">
        <f>IFERROR(__xludf.DUMMYFUNCTION("""COMPUTED_VALUE"""),2753.0)</f>
        <v>2753</v>
      </c>
      <c r="S53" s="329">
        <f>IFERROR(__xludf.DUMMYFUNCTION("""COMPUTED_VALUE"""),3.0)</f>
        <v>3</v>
      </c>
      <c r="T53" s="329">
        <f>IFERROR(__xludf.DUMMYFUNCTION("""COMPUTED_VALUE"""),408.0)</f>
        <v>408</v>
      </c>
      <c r="U53" s="329">
        <f>IFERROR(__xludf.DUMMYFUNCTION("""COMPUTED_VALUE"""),213.0)</f>
        <v>213</v>
      </c>
      <c r="V53" s="329">
        <f>IFERROR(__xludf.DUMMYFUNCTION("""COMPUTED_VALUE"""),205.0)</f>
        <v>205</v>
      </c>
      <c r="W53" s="329">
        <f>IFERROR(__xludf.DUMMYFUNCTION("""COMPUTED_VALUE"""),26.0)</f>
        <v>26</v>
      </c>
      <c r="X53" s="329">
        <f>IFERROR(__xludf.DUMMYFUNCTION("""COMPUTED_VALUE"""),14.0)</f>
        <v>14</v>
      </c>
      <c r="Y53" s="329">
        <f>IFERROR(__xludf.DUMMYFUNCTION("""COMPUTED_VALUE"""),6.0)</f>
        <v>6</v>
      </c>
      <c r="Z53" s="329">
        <f>IFERROR(__xludf.DUMMYFUNCTION("""COMPUTED_VALUE"""),1226.0)</f>
        <v>1226</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IFERROR(__xludf.DUMMYFUNCTION("""COMPUTED_VALUE"""),44138.0)</f>
        <v>44138</v>
      </c>
      <c r="B54" s="329">
        <f>IFERROR(__xludf.DUMMYFUNCTION("""COMPUTED_VALUE"""),601.0)</f>
        <v>601</v>
      </c>
      <c r="C54" s="329">
        <f>IFERROR(__xludf.DUMMYFUNCTION("""COMPUTED_VALUE"""),485.0)</f>
        <v>485</v>
      </c>
      <c r="D54" s="329">
        <f>IFERROR(__xludf.DUMMYFUNCTION("""COMPUTED_VALUE"""),46609.0)</f>
        <v>46609</v>
      </c>
      <c r="E54" s="329">
        <f>IFERROR(__xludf.DUMMYFUNCTION("""COMPUTED_VALUE"""),13041.0)</f>
        <v>13041</v>
      </c>
      <c r="F54" s="258">
        <f>IFERROR(__xludf.DUMMYFUNCTION("""COMPUTED_VALUE"""),1139428.0)</f>
        <v>1139428</v>
      </c>
      <c r="G54" s="258">
        <f>IFERROR(__xludf.DUMMYFUNCTION("""COMPUTED_VALUE"""),13642.0)</f>
        <v>13642</v>
      </c>
      <c r="H54" s="258">
        <f>IFERROR(__xludf.DUMMYFUNCTION("""COMPUTED_VALUE"""),1186037.0)</f>
        <v>1186037</v>
      </c>
      <c r="I54" s="329">
        <f>IFERROR(__xludf.DUMMYFUNCTION("""COMPUTED_VALUE"""),559.0)</f>
        <v>559</v>
      </c>
      <c r="J54" s="329">
        <f>IFERROR(__xludf.DUMMYFUNCTION("""COMPUTED_VALUE"""),423.0)</f>
        <v>423</v>
      </c>
      <c r="K54" s="329">
        <f>IFERROR(__xludf.DUMMYFUNCTION("""COMPUTED_VALUE"""),35222.0)</f>
        <v>35222</v>
      </c>
      <c r="L54" s="329">
        <f>IFERROR(__xludf.DUMMYFUNCTION("""COMPUTED_VALUE"""),2310.0)</f>
        <v>2310</v>
      </c>
      <c r="M54" s="329">
        <f>IFERROR(__xludf.DUMMYFUNCTION("""COMPUTED_VALUE"""),371531.0)</f>
        <v>371531</v>
      </c>
      <c r="N54" s="329">
        <f>IFERROR(__xludf.DUMMYFUNCTION("""COMPUTED_VALUE"""),406753.0)</f>
        <v>406753</v>
      </c>
      <c r="O54" s="329">
        <f>IFERROR(__xludf.DUMMYFUNCTION("""COMPUTED_VALUE"""),33.0)</f>
        <v>33</v>
      </c>
      <c r="P54" s="329">
        <f>IFERROR(__xludf.DUMMYFUNCTION("""COMPUTED_VALUE"""),3407.0)</f>
        <v>3407</v>
      </c>
      <c r="Q54" s="329">
        <f>IFERROR(__xludf.DUMMYFUNCTION("""COMPUTED_VALUE"""),25.0)</f>
        <v>25</v>
      </c>
      <c r="R54" s="329">
        <f>IFERROR(__xludf.DUMMYFUNCTION("""COMPUTED_VALUE"""),2778.0)</f>
        <v>2778</v>
      </c>
      <c r="S54" s="329">
        <f>IFERROR(__xludf.DUMMYFUNCTION("""COMPUTED_VALUE"""),1.0)</f>
        <v>1</v>
      </c>
      <c r="T54" s="329">
        <f>IFERROR(__xludf.DUMMYFUNCTION("""COMPUTED_VALUE"""),409.0)</f>
        <v>409</v>
      </c>
      <c r="U54" s="329">
        <f>IFERROR(__xludf.DUMMYFUNCTION("""COMPUTED_VALUE"""),220.0)</f>
        <v>220</v>
      </c>
      <c r="V54" s="329">
        <f>IFERROR(__xludf.DUMMYFUNCTION("""COMPUTED_VALUE"""),212.0)</f>
        <v>212</v>
      </c>
      <c r="W54" s="329">
        <f>IFERROR(__xludf.DUMMYFUNCTION("""COMPUTED_VALUE"""),26.0)</f>
        <v>26</v>
      </c>
      <c r="X54" s="329">
        <f>IFERROR(__xludf.DUMMYFUNCTION("""COMPUTED_VALUE"""),14.0)</f>
        <v>14</v>
      </c>
      <c r="Y54" s="329">
        <f>IFERROR(__xludf.DUMMYFUNCTION("""COMPUTED_VALUE"""),1.0)</f>
        <v>1</v>
      </c>
      <c r="Z54" s="329">
        <f>IFERROR(__xludf.DUMMYFUNCTION("""COMPUTED_VALUE"""),1227.0)</f>
        <v>1227</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IFERROR(__xludf.DUMMYFUNCTION("""COMPUTED_VALUE"""),44139.0)</f>
        <v>44139</v>
      </c>
      <c r="B55" s="329">
        <f>IFERROR(__xludf.DUMMYFUNCTION("""COMPUTED_VALUE"""),689.0)</f>
        <v>689</v>
      </c>
      <c r="C55" s="329">
        <f>IFERROR(__xludf.DUMMYFUNCTION("""COMPUTED_VALUE"""),605.0)</f>
        <v>605</v>
      </c>
      <c r="D55" s="329">
        <f>IFERROR(__xludf.DUMMYFUNCTION("""COMPUTED_VALUE"""),47298.0)</f>
        <v>47298</v>
      </c>
      <c r="E55" s="329">
        <f>IFERROR(__xludf.DUMMYFUNCTION("""COMPUTED_VALUE"""),16106.0)</f>
        <v>16106</v>
      </c>
      <c r="F55" s="258">
        <f>IFERROR(__xludf.DUMMYFUNCTION("""COMPUTED_VALUE"""),1155534.0)</f>
        <v>1155534</v>
      </c>
      <c r="G55" s="258">
        <f>IFERROR(__xludf.DUMMYFUNCTION("""COMPUTED_VALUE"""),16795.0)</f>
        <v>16795</v>
      </c>
      <c r="H55" s="258">
        <f>IFERROR(__xludf.DUMMYFUNCTION("""COMPUTED_VALUE"""),1202832.0)</f>
        <v>1202832</v>
      </c>
      <c r="I55" s="329">
        <f>IFERROR(__xludf.DUMMYFUNCTION("""COMPUTED_VALUE"""),635.0)</f>
        <v>635</v>
      </c>
      <c r="J55" s="329">
        <f>IFERROR(__xludf.DUMMYFUNCTION("""COMPUTED_VALUE"""),542.0)</f>
        <v>542</v>
      </c>
      <c r="K55" s="329">
        <f>IFERROR(__xludf.DUMMYFUNCTION("""COMPUTED_VALUE"""),35857.0)</f>
        <v>35857</v>
      </c>
      <c r="L55" s="329">
        <f>IFERROR(__xludf.DUMMYFUNCTION("""COMPUTED_VALUE"""),2708.0)</f>
        <v>2708</v>
      </c>
      <c r="M55" s="329">
        <f>IFERROR(__xludf.DUMMYFUNCTION("""COMPUTED_VALUE"""),374239.0)</f>
        <v>374239</v>
      </c>
      <c r="N55" s="329">
        <f>IFERROR(__xludf.DUMMYFUNCTION("""COMPUTED_VALUE"""),410096.0)</f>
        <v>410096</v>
      </c>
      <c r="O55" s="329">
        <f>IFERROR(__xludf.DUMMYFUNCTION("""COMPUTED_VALUE"""),32.0)</f>
        <v>32</v>
      </c>
      <c r="P55" s="329">
        <f>IFERROR(__xludf.DUMMYFUNCTION("""COMPUTED_VALUE"""),3439.0)</f>
        <v>3439</v>
      </c>
      <c r="Q55" s="329">
        <f>IFERROR(__xludf.DUMMYFUNCTION("""COMPUTED_VALUE"""),25.0)</f>
        <v>25</v>
      </c>
      <c r="R55" s="329">
        <f>IFERROR(__xludf.DUMMYFUNCTION("""COMPUTED_VALUE"""),2803.0)</f>
        <v>2803</v>
      </c>
      <c r="S55" s="329">
        <f>IFERROR(__xludf.DUMMYFUNCTION("""COMPUTED_VALUE"""),2.0)</f>
        <v>2</v>
      </c>
      <c r="T55" s="329">
        <f>IFERROR(__xludf.DUMMYFUNCTION("""COMPUTED_VALUE"""),411.0)</f>
        <v>411</v>
      </c>
      <c r="U55" s="329">
        <f>IFERROR(__xludf.DUMMYFUNCTION("""COMPUTED_VALUE"""),225.0)</f>
        <v>225</v>
      </c>
      <c r="V55" s="329">
        <f>IFERROR(__xludf.DUMMYFUNCTION("""COMPUTED_VALUE"""),219.0)</f>
        <v>219</v>
      </c>
      <c r="W55" s="329">
        <f>IFERROR(__xludf.DUMMYFUNCTION("""COMPUTED_VALUE"""),27.0)</f>
        <v>27</v>
      </c>
      <c r="X55" s="329">
        <f>IFERROR(__xludf.DUMMYFUNCTION("""COMPUTED_VALUE"""),13.0)</f>
        <v>13</v>
      </c>
      <c r="Y55" s="329">
        <f>IFERROR(__xludf.DUMMYFUNCTION("""COMPUTED_VALUE"""),4.0)</f>
        <v>4</v>
      </c>
      <c r="Z55" s="329">
        <f>IFERROR(__xludf.DUMMYFUNCTION("""COMPUTED_VALUE"""),1231.0)</f>
        <v>1231</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IFERROR(__xludf.DUMMYFUNCTION("""COMPUTED_VALUE"""),44140.0)</f>
        <v>44140</v>
      </c>
      <c r="B56" s="329">
        <f>IFERROR(__xludf.DUMMYFUNCTION("""COMPUTED_VALUE"""),768.0)</f>
        <v>768</v>
      </c>
      <c r="C56" s="329">
        <f>IFERROR(__xludf.DUMMYFUNCTION("""COMPUTED_VALUE"""),686.0)</f>
        <v>686</v>
      </c>
      <c r="D56" s="329">
        <f>IFERROR(__xludf.DUMMYFUNCTION("""COMPUTED_VALUE"""),48066.0)</f>
        <v>48066</v>
      </c>
      <c r="E56" s="329">
        <f>IFERROR(__xludf.DUMMYFUNCTION("""COMPUTED_VALUE"""),16597.0)</f>
        <v>16597</v>
      </c>
      <c r="F56" s="258">
        <f>IFERROR(__xludf.DUMMYFUNCTION("""COMPUTED_VALUE"""),1172131.0)</f>
        <v>1172131</v>
      </c>
      <c r="G56" s="258">
        <f>IFERROR(__xludf.DUMMYFUNCTION("""COMPUTED_VALUE"""),17365.0)</f>
        <v>17365</v>
      </c>
      <c r="H56" s="258">
        <f>IFERROR(__xludf.DUMMYFUNCTION("""COMPUTED_VALUE"""),1220197.0)</f>
        <v>1220197</v>
      </c>
      <c r="I56" s="329">
        <f>IFERROR(__xludf.DUMMYFUNCTION("""COMPUTED_VALUE"""),681.0)</f>
        <v>681</v>
      </c>
      <c r="J56" s="329">
        <f>IFERROR(__xludf.DUMMYFUNCTION("""COMPUTED_VALUE"""),625.0)</f>
        <v>625</v>
      </c>
      <c r="K56" s="329">
        <f>IFERROR(__xludf.DUMMYFUNCTION("""COMPUTED_VALUE"""),36538.0)</f>
        <v>36538</v>
      </c>
      <c r="L56" s="329">
        <f>IFERROR(__xludf.DUMMYFUNCTION("""COMPUTED_VALUE"""),2633.0)</f>
        <v>2633</v>
      </c>
      <c r="M56" s="329">
        <f>IFERROR(__xludf.DUMMYFUNCTION("""COMPUTED_VALUE"""),376872.0)</f>
        <v>376872</v>
      </c>
      <c r="N56" s="329">
        <f>IFERROR(__xludf.DUMMYFUNCTION("""COMPUTED_VALUE"""),413410.0)</f>
        <v>413410</v>
      </c>
      <c r="O56" s="329">
        <f>IFERROR(__xludf.DUMMYFUNCTION("""COMPUTED_VALUE"""),46.0)</f>
        <v>46</v>
      </c>
      <c r="P56" s="329">
        <f>IFERROR(__xludf.DUMMYFUNCTION("""COMPUTED_VALUE"""),3485.0)</f>
        <v>3485</v>
      </c>
      <c r="Q56" s="329">
        <f>IFERROR(__xludf.DUMMYFUNCTION("""COMPUTED_VALUE"""),35.0)</f>
        <v>35</v>
      </c>
      <c r="R56" s="329">
        <f>IFERROR(__xludf.DUMMYFUNCTION("""COMPUTED_VALUE"""),2838.0)</f>
        <v>2838</v>
      </c>
      <c r="S56" s="329">
        <f>IFERROR(__xludf.DUMMYFUNCTION("""COMPUTED_VALUE"""),1.0)</f>
        <v>1</v>
      </c>
      <c r="T56" s="329">
        <f>IFERROR(__xludf.DUMMYFUNCTION("""COMPUTED_VALUE"""),412.0)</f>
        <v>412</v>
      </c>
      <c r="U56" s="329">
        <f>IFERROR(__xludf.DUMMYFUNCTION("""COMPUTED_VALUE"""),235.0)</f>
        <v>235</v>
      </c>
      <c r="V56" s="329">
        <f>IFERROR(__xludf.DUMMYFUNCTION("""COMPUTED_VALUE"""),227.0)</f>
        <v>227</v>
      </c>
      <c r="W56" s="329">
        <f>IFERROR(__xludf.DUMMYFUNCTION("""COMPUTED_VALUE"""),26.0)</f>
        <v>26</v>
      </c>
      <c r="X56" s="329">
        <f>IFERROR(__xludf.DUMMYFUNCTION("""COMPUTED_VALUE"""),15.0)</f>
        <v>15</v>
      </c>
      <c r="Y56" s="329">
        <f>IFERROR(__xludf.DUMMYFUNCTION("""COMPUTED_VALUE"""),4.0)</f>
        <v>4</v>
      </c>
      <c r="Z56" s="329">
        <f>IFERROR(__xludf.DUMMYFUNCTION("""COMPUTED_VALUE"""),1235.0)</f>
        <v>1235</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IFERROR(__xludf.DUMMYFUNCTION("""COMPUTED_VALUE"""),44141.0)</f>
        <v>44141</v>
      </c>
      <c r="B57" s="329">
        <f>IFERROR(__xludf.DUMMYFUNCTION("""COMPUTED_VALUE"""),774.0)</f>
        <v>774</v>
      </c>
      <c r="C57" s="329">
        <f>IFERROR(__xludf.DUMMYFUNCTION("""COMPUTED_VALUE"""),744.0)</f>
        <v>744</v>
      </c>
      <c r="D57" s="329">
        <f>IFERROR(__xludf.DUMMYFUNCTION("""COMPUTED_VALUE"""),48840.0)</f>
        <v>48840</v>
      </c>
      <c r="E57" s="329">
        <f>IFERROR(__xludf.DUMMYFUNCTION("""COMPUTED_VALUE"""),16029.0)</f>
        <v>16029</v>
      </c>
      <c r="F57" s="258">
        <f>IFERROR(__xludf.DUMMYFUNCTION("""COMPUTED_VALUE"""),1188160.0)</f>
        <v>1188160</v>
      </c>
      <c r="G57" s="258">
        <f>IFERROR(__xludf.DUMMYFUNCTION("""COMPUTED_VALUE"""),16803.0)</f>
        <v>16803</v>
      </c>
      <c r="H57" s="258">
        <f>IFERROR(__xludf.DUMMYFUNCTION("""COMPUTED_VALUE"""),1237000.0)</f>
        <v>1237000</v>
      </c>
      <c r="I57" s="329">
        <f>IFERROR(__xludf.DUMMYFUNCTION("""COMPUTED_VALUE"""),702.0)</f>
        <v>702</v>
      </c>
      <c r="J57" s="329">
        <f>IFERROR(__xludf.DUMMYFUNCTION("""COMPUTED_VALUE"""),673.0)</f>
        <v>673</v>
      </c>
      <c r="K57" s="329">
        <f>IFERROR(__xludf.DUMMYFUNCTION("""COMPUTED_VALUE"""),37240.0)</f>
        <v>37240</v>
      </c>
      <c r="L57" s="329">
        <f>IFERROR(__xludf.DUMMYFUNCTION("""COMPUTED_VALUE"""),2813.0)</f>
        <v>2813</v>
      </c>
      <c r="M57" s="329">
        <f>IFERROR(__xludf.DUMMYFUNCTION("""COMPUTED_VALUE"""),379685.0)</f>
        <v>379685</v>
      </c>
      <c r="N57" s="329">
        <f>IFERROR(__xludf.DUMMYFUNCTION("""COMPUTED_VALUE"""),416925.0)</f>
        <v>416925</v>
      </c>
      <c r="O57" s="329">
        <f>IFERROR(__xludf.DUMMYFUNCTION("""COMPUTED_VALUE"""),43.0)</f>
        <v>43</v>
      </c>
      <c r="P57" s="329">
        <f>IFERROR(__xludf.DUMMYFUNCTION("""COMPUTED_VALUE"""),3528.0)</f>
        <v>3528</v>
      </c>
      <c r="Q57" s="329">
        <f>IFERROR(__xludf.DUMMYFUNCTION("""COMPUTED_VALUE"""),31.0)</f>
        <v>31</v>
      </c>
      <c r="R57" s="329">
        <f>IFERROR(__xludf.DUMMYFUNCTION("""COMPUTED_VALUE"""),2869.0)</f>
        <v>2869</v>
      </c>
      <c r="S57" s="329">
        <f>IFERROR(__xludf.DUMMYFUNCTION("""COMPUTED_VALUE"""),1.0)</f>
        <v>1</v>
      </c>
      <c r="T57" s="329">
        <f>IFERROR(__xludf.DUMMYFUNCTION("""COMPUTED_VALUE"""),413.0)</f>
        <v>413</v>
      </c>
      <c r="U57" s="329">
        <f>IFERROR(__xludf.DUMMYFUNCTION("""COMPUTED_VALUE"""),246.0)</f>
        <v>246</v>
      </c>
      <c r="V57" s="329">
        <f>IFERROR(__xludf.DUMMYFUNCTION("""COMPUTED_VALUE"""),235.0)</f>
        <v>235</v>
      </c>
      <c r="W57" s="329">
        <f>IFERROR(__xludf.DUMMYFUNCTION("""COMPUTED_VALUE"""),30.0)</f>
        <v>30</v>
      </c>
      <c r="X57" s="329">
        <f>IFERROR(__xludf.DUMMYFUNCTION("""COMPUTED_VALUE"""),18.0)</f>
        <v>18</v>
      </c>
      <c r="Y57" s="329">
        <f>IFERROR(__xludf.DUMMYFUNCTION("""COMPUTED_VALUE"""),5.0)</f>
        <v>5</v>
      </c>
      <c r="Z57" s="329">
        <f>IFERROR(__xludf.DUMMYFUNCTION("""COMPUTED_VALUE"""),1240.0)</f>
        <v>1240</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IFERROR(__xludf.DUMMYFUNCTION("""COMPUTED_VALUE"""),44142.0)</f>
        <v>44142</v>
      </c>
      <c r="B58" s="329">
        <f>IFERROR(__xludf.DUMMYFUNCTION("""COMPUTED_VALUE"""),603.0)</f>
        <v>603</v>
      </c>
      <c r="C58" s="329">
        <f>IFERROR(__xludf.DUMMYFUNCTION("""COMPUTED_VALUE"""),715.0)</f>
        <v>715</v>
      </c>
      <c r="D58" s="329">
        <f>IFERROR(__xludf.DUMMYFUNCTION("""COMPUTED_VALUE"""),49443.0)</f>
        <v>49443</v>
      </c>
      <c r="E58" s="329">
        <f>IFERROR(__xludf.DUMMYFUNCTION("""COMPUTED_VALUE"""),13652.0)</f>
        <v>13652</v>
      </c>
      <c r="F58" s="258">
        <f>IFERROR(__xludf.DUMMYFUNCTION("""COMPUTED_VALUE"""),1201812.0)</f>
        <v>1201812</v>
      </c>
      <c r="G58" s="258">
        <f>IFERROR(__xludf.DUMMYFUNCTION("""COMPUTED_VALUE"""),14255.0)</f>
        <v>14255</v>
      </c>
      <c r="H58" s="258">
        <f>IFERROR(__xludf.DUMMYFUNCTION("""COMPUTED_VALUE"""),1251255.0)</f>
        <v>1251255</v>
      </c>
      <c r="I58" s="329">
        <f>IFERROR(__xludf.DUMMYFUNCTION("""COMPUTED_VALUE"""),584.0)</f>
        <v>584</v>
      </c>
      <c r="J58" s="329">
        <f>IFERROR(__xludf.DUMMYFUNCTION("""COMPUTED_VALUE"""),656.0)</f>
        <v>656</v>
      </c>
      <c r="K58" s="329">
        <f>IFERROR(__xludf.DUMMYFUNCTION("""COMPUTED_VALUE"""),37824.0)</f>
        <v>37824</v>
      </c>
      <c r="L58" s="329">
        <f>IFERROR(__xludf.DUMMYFUNCTION("""COMPUTED_VALUE"""),2278.0)</f>
        <v>2278</v>
      </c>
      <c r="M58" s="329">
        <f>IFERROR(__xludf.DUMMYFUNCTION("""COMPUTED_VALUE"""),381963.0)</f>
        <v>381963</v>
      </c>
      <c r="N58" s="329">
        <f>IFERROR(__xludf.DUMMYFUNCTION("""COMPUTED_VALUE"""),419787.0)</f>
        <v>419787</v>
      </c>
      <c r="O58" s="329">
        <f>IFERROR(__xludf.DUMMYFUNCTION("""COMPUTED_VALUE"""),34.0)</f>
        <v>34</v>
      </c>
      <c r="P58" s="329">
        <f>IFERROR(__xludf.DUMMYFUNCTION("""COMPUTED_VALUE"""),3562.0)</f>
        <v>3562</v>
      </c>
      <c r="Q58" s="329">
        <f>IFERROR(__xludf.DUMMYFUNCTION("""COMPUTED_VALUE"""),25.0)</f>
        <v>25</v>
      </c>
      <c r="R58" s="329">
        <f>IFERROR(__xludf.DUMMYFUNCTION("""COMPUTED_VALUE"""),2894.0)</f>
        <v>2894</v>
      </c>
      <c r="S58" s="329">
        <f>IFERROR(__xludf.DUMMYFUNCTION("""COMPUTED_VALUE"""),1.0)</f>
        <v>1</v>
      </c>
      <c r="T58" s="329">
        <f>IFERROR(__xludf.DUMMYFUNCTION("""COMPUTED_VALUE"""),414.0)</f>
        <v>414</v>
      </c>
      <c r="U58" s="329">
        <f>IFERROR(__xludf.DUMMYFUNCTION("""COMPUTED_VALUE"""),254.0)</f>
        <v>254</v>
      </c>
      <c r="V58" s="329">
        <f>IFERROR(__xludf.DUMMYFUNCTION("""COMPUTED_VALUE"""),245.0)</f>
        <v>245</v>
      </c>
      <c r="W58" s="329">
        <f>IFERROR(__xludf.DUMMYFUNCTION("""COMPUTED_VALUE"""),33.0)</f>
        <v>33</v>
      </c>
      <c r="X58" s="329">
        <f>IFERROR(__xludf.DUMMYFUNCTION("""COMPUTED_VALUE"""),19.0)</f>
        <v>19</v>
      </c>
      <c r="Y58" s="329">
        <f>IFERROR(__xludf.DUMMYFUNCTION("""COMPUTED_VALUE"""),1.0)</f>
        <v>1</v>
      </c>
      <c r="Z58" s="329">
        <f>IFERROR(__xludf.DUMMYFUNCTION("""COMPUTED_VALUE"""),1241.0)</f>
        <v>1241</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IFERROR(__xludf.DUMMYFUNCTION("""COMPUTED_VALUE"""),44143.0)</f>
        <v>44143</v>
      </c>
      <c r="B59" s="329">
        <f>IFERROR(__xludf.DUMMYFUNCTION("""COMPUTED_VALUE"""),337.0)</f>
        <v>337</v>
      </c>
      <c r="C59" s="329">
        <f>IFERROR(__xludf.DUMMYFUNCTION("""COMPUTED_VALUE"""),571.0)</f>
        <v>571</v>
      </c>
      <c r="D59" s="329">
        <f>IFERROR(__xludf.DUMMYFUNCTION("""COMPUTED_VALUE"""),49780.0)</f>
        <v>49780</v>
      </c>
      <c r="E59" s="329">
        <f>IFERROR(__xludf.DUMMYFUNCTION("""COMPUTED_VALUE"""),4168.0)</f>
        <v>4168</v>
      </c>
      <c r="F59" s="258">
        <f>IFERROR(__xludf.DUMMYFUNCTION("""COMPUTED_VALUE"""),1205980.0)</f>
        <v>1205980</v>
      </c>
      <c r="G59" s="258">
        <f>IFERROR(__xludf.DUMMYFUNCTION("""COMPUTED_VALUE"""),4505.0)</f>
        <v>4505</v>
      </c>
      <c r="H59" s="258">
        <f>IFERROR(__xludf.DUMMYFUNCTION("""COMPUTED_VALUE"""),1255760.0)</f>
        <v>1255760</v>
      </c>
      <c r="I59" s="329">
        <f>IFERROR(__xludf.DUMMYFUNCTION("""COMPUTED_VALUE"""),295.0)</f>
        <v>295</v>
      </c>
      <c r="J59" s="329">
        <f>IFERROR(__xludf.DUMMYFUNCTION("""COMPUTED_VALUE"""),527.0)</f>
        <v>527</v>
      </c>
      <c r="K59" s="329">
        <f>IFERROR(__xludf.DUMMYFUNCTION("""COMPUTED_VALUE"""),38119.0)</f>
        <v>38119</v>
      </c>
      <c r="L59" s="329">
        <f>IFERROR(__xludf.DUMMYFUNCTION("""COMPUTED_VALUE"""),1194.0)</f>
        <v>1194</v>
      </c>
      <c r="M59" s="329">
        <f>IFERROR(__xludf.DUMMYFUNCTION("""COMPUTED_VALUE"""),383157.0)</f>
        <v>383157</v>
      </c>
      <c r="N59" s="329">
        <f>IFERROR(__xludf.DUMMYFUNCTION("""COMPUTED_VALUE"""),421276.0)</f>
        <v>421276</v>
      </c>
      <c r="O59" s="329">
        <f>IFERROR(__xludf.DUMMYFUNCTION("""COMPUTED_VALUE"""),33.0)</f>
        <v>33</v>
      </c>
      <c r="P59" s="329">
        <f>IFERROR(__xludf.DUMMYFUNCTION("""COMPUTED_VALUE"""),3595.0)</f>
        <v>3595</v>
      </c>
      <c r="Q59" s="329">
        <f>IFERROR(__xludf.DUMMYFUNCTION("""COMPUTED_VALUE"""),26.0)</f>
        <v>26</v>
      </c>
      <c r="R59" s="329">
        <f>IFERROR(__xludf.DUMMYFUNCTION("""COMPUTED_VALUE"""),2920.0)</f>
        <v>2920</v>
      </c>
      <c r="S59" s="329">
        <f>IFERROR(__xludf.DUMMYFUNCTION("""COMPUTED_VALUE"""),1.0)</f>
        <v>1</v>
      </c>
      <c r="T59" s="329">
        <f>IFERROR(__xludf.DUMMYFUNCTION("""COMPUTED_VALUE"""),415.0)</f>
        <v>415</v>
      </c>
      <c r="U59" s="329">
        <f>IFERROR(__xludf.DUMMYFUNCTION("""COMPUTED_VALUE"""),260.0)</f>
        <v>260</v>
      </c>
      <c r="V59" s="329">
        <f>IFERROR(__xludf.DUMMYFUNCTION("""COMPUTED_VALUE"""),253.0)</f>
        <v>253</v>
      </c>
      <c r="W59" s="329">
        <f>IFERROR(__xludf.DUMMYFUNCTION("""COMPUTED_VALUE"""),32.0)</f>
        <v>32</v>
      </c>
      <c r="X59" s="329">
        <f>IFERROR(__xludf.DUMMYFUNCTION("""COMPUTED_VALUE"""),20.0)</f>
        <v>20</v>
      </c>
      <c r="Y59" s="329">
        <f>IFERROR(__xludf.DUMMYFUNCTION("""COMPUTED_VALUE"""),6.0)</f>
        <v>6</v>
      </c>
      <c r="Z59" s="329">
        <f>IFERROR(__xludf.DUMMYFUNCTION("""COMPUTED_VALUE"""),1247.0)</f>
        <v>1247</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IFERROR(__xludf.DUMMYFUNCTION("""COMPUTED_VALUE"""),44144.0)</f>
        <v>44144</v>
      </c>
      <c r="B60" s="329">
        <f>IFERROR(__xludf.DUMMYFUNCTION("""COMPUTED_VALUE"""),809.0)</f>
        <v>809</v>
      </c>
      <c r="C60" s="329">
        <f>IFERROR(__xludf.DUMMYFUNCTION("""COMPUTED_VALUE"""),583.0)</f>
        <v>583</v>
      </c>
      <c r="D60" s="329">
        <f>IFERROR(__xludf.DUMMYFUNCTION("""COMPUTED_VALUE"""),50589.0)</f>
        <v>50589</v>
      </c>
      <c r="E60" s="329">
        <f>IFERROR(__xludf.DUMMYFUNCTION("""COMPUTED_VALUE"""),9063.0)</f>
        <v>9063</v>
      </c>
      <c r="F60" s="258">
        <f>IFERROR(__xludf.DUMMYFUNCTION("""COMPUTED_VALUE"""),1215043.0)</f>
        <v>1215043</v>
      </c>
      <c r="G60" s="258">
        <f>IFERROR(__xludf.DUMMYFUNCTION("""COMPUTED_VALUE"""),9872.0)</f>
        <v>9872</v>
      </c>
      <c r="H60" s="258">
        <f>IFERROR(__xludf.DUMMYFUNCTION("""COMPUTED_VALUE"""),1265632.0)</f>
        <v>1265632</v>
      </c>
      <c r="I60" s="329">
        <f>IFERROR(__xludf.DUMMYFUNCTION("""COMPUTED_VALUE"""),766.0)</f>
        <v>766</v>
      </c>
      <c r="J60" s="329">
        <f>IFERROR(__xludf.DUMMYFUNCTION("""COMPUTED_VALUE"""),548.0)</f>
        <v>548</v>
      </c>
      <c r="K60" s="329">
        <f>IFERROR(__xludf.DUMMYFUNCTION("""COMPUTED_VALUE"""),38885.0)</f>
        <v>38885</v>
      </c>
      <c r="L60" s="329">
        <f>IFERROR(__xludf.DUMMYFUNCTION("""COMPUTED_VALUE"""),2148.0)</f>
        <v>2148</v>
      </c>
      <c r="M60" s="329">
        <f>IFERROR(__xludf.DUMMYFUNCTION("""COMPUTED_VALUE"""),385305.0)</f>
        <v>385305</v>
      </c>
      <c r="N60" s="329">
        <f>IFERROR(__xludf.DUMMYFUNCTION("""COMPUTED_VALUE"""),424190.0)</f>
        <v>424190</v>
      </c>
      <c r="O60" s="329">
        <f>IFERROR(__xludf.DUMMYFUNCTION("""COMPUTED_VALUE"""),39.0)</f>
        <v>39</v>
      </c>
      <c r="P60" s="329">
        <f>IFERROR(__xludf.DUMMYFUNCTION("""COMPUTED_VALUE"""),3634.0)</f>
        <v>3634</v>
      </c>
      <c r="Q60" s="329">
        <f>IFERROR(__xludf.DUMMYFUNCTION("""COMPUTED_VALUE"""),33.0)</f>
        <v>33</v>
      </c>
      <c r="R60" s="329">
        <f>IFERROR(__xludf.DUMMYFUNCTION("""COMPUTED_VALUE"""),2953.0)</f>
        <v>2953</v>
      </c>
      <c r="S60" s="329">
        <f>IFERROR(__xludf.DUMMYFUNCTION("""COMPUTED_VALUE"""),2.0)</f>
        <v>2</v>
      </c>
      <c r="T60" s="329">
        <f>IFERROR(__xludf.DUMMYFUNCTION("""COMPUTED_VALUE"""),417.0)</f>
        <v>417</v>
      </c>
      <c r="U60" s="329">
        <f>IFERROR(__xludf.DUMMYFUNCTION("""COMPUTED_VALUE"""),264.0)</f>
        <v>264</v>
      </c>
      <c r="V60" s="329">
        <f>IFERROR(__xludf.DUMMYFUNCTION("""COMPUTED_VALUE"""),259.0)</f>
        <v>259</v>
      </c>
      <c r="W60" s="329">
        <f>IFERROR(__xludf.DUMMYFUNCTION("""COMPUTED_VALUE"""),30.0)</f>
        <v>30</v>
      </c>
      <c r="X60" s="329">
        <f>IFERROR(__xludf.DUMMYFUNCTION("""COMPUTED_VALUE"""),19.0)</f>
        <v>19</v>
      </c>
      <c r="Y60" s="329">
        <f>IFERROR(__xludf.DUMMYFUNCTION("""COMPUTED_VALUE"""),4.0)</f>
        <v>4</v>
      </c>
      <c r="Z60" s="329">
        <f>IFERROR(__xludf.DUMMYFUNCTION("""COMPUTED_VALUE"""),1251.0)</f>
        <v>1251</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IFERROR(__xludf.DUMMYFUNCTION("""COMPUTED_VALUE"""),44145.0)</f>
        <v>44145</v>
      </c>
      <c r="B61" s="329">
        <f>IFERROR(__xludf.DUMMYFUNCTION("""COMPUTED_VALUE"""),1058.0)</f>
        <v>1058</v>
      </c>
      <c r="C61" s="329">
        <f>IFERROR(__xludf.DUMMYFUNCTION("""COMPUTED_VALUE"""),735.0)</f>
        <v>735</v>
      </c>
      <c r="D61" s="329">
        <f>IFERROR(__xludf.DUMMYFUNCTION("""COMPUTED_VALUE"""),51647.0)</f>
        <v>51647</v>
      </c>
      <c r="E61" s="329">
        <f>IFERROR(__xludf.DUMMYFUNCTION("""COMPUTED_VALUE"""),12983.0)</f>
        <v>12983</v>
      </c>
      <c r="F61" s="258">
        <f>IFERROR(__xludf.DUMMYFUNCTION("""COMPUTED_VALUE"""),1228026.0)</f>
        <v>1228026</v>
      </c>
      <c r="G61" s="258">
        <f>IFERROR(__xludf.DUMMYFUNCTION("""COMPUTED_VALUE"""),14041.0)</f>
        <v>14041</v>
      </c>
      <c r="H61" s="258">
        <f>IFERROR(__xludf.DUMMYFUNCTION("""COMPUTED_VALUE"""),1279673.0)</f>
        <v>1279673</v>
      </c>
      <c r="I61" s="329">
        <f>IFERROR(__xludf.DUMMYFUNCTION("""COMPUTED_VALUE"""),995.0)</f>
        <v>995</v>
      </c>
      <c r="J61" s="329">
        <f>IFERROR(__xludf.DUMMYFUNCTION("""COMPUTED_VALUE"""),685.0)</f>
        <v>685</v>
      </c>
      <c r="K61" s="329">
        <f>IFERROR(__xludf.DUMMYFUNCTION("""COMPUTED_VALUE"""),39880.0)</f>
        <v>39880</v>
      </c>
      <c r="L61" s="329">
        <f>IFERROR(__xludf.DUMMYFUNCTION("""COMPUTED_VALUE"""),2657.0)</f>
        <v>2657</v>
      </c>
      <c r="M61" s="329">
        <f>IFERROR(__xludf.DUMMYFUNCTION("""COMPUTED_VALUE"""),387962.0)</f>
        <v>387962</v>
      </c>
      <c r="N61" s="329">
        <f>IFERROR(__xludf.DUMMYFUNCTION("""COMPUTED_VALUE"""),427842.0)</f>
        <v>427842</v>
      </c>
      <c r="O61" s="329">
        <f>IFERROR(__xludf.DUMMYFUNCTION("""COMPUTED_VALUE"""),44.0)</f>
        <v>44</v>
      </c>
      <c r="P61" s="329">
        <f>IFERROR(__xludf.DUMMYFUNCTION("""COMPUTED_VALUE"""),3678.0)</f>
        <v>3678</v>
      </c>
      <c r="Q61" s="329">
        <f>IFERROR(__xludf.DUMMYFUNCTION("""COMPUTED_VALUE"""),35.0)</f>
        <v>35</v>
      </c>
      <c r="R61" s="329">
        <f>IFERROR(__xludf.DUMMYFUNCTION("""COMPUTED_VALUE"""),2988.0)</f>
        <v>2988</v>
      </c>
      <c r="S61" s="329">
        <f>IFERROR(__xludf.DUMMYFUNCTION("""COMPUTED_VALUE"""),0.0)</f>
        <v>0</v>
      </c>
      <c r="T61" s="329">
        <f>IFERROR(__xludf.DUMMYFUNCTION("""COMPUTED_VALUE"""),417.0)</f>
        <v>417</v>
      </c>
      <c r="U61" s="329">
        <f>IFERROR(__xludf.DUMMYFUNCTION("""COMPUTED_VALUE"""),273.0)</f>
        <v>273</v>
      </c>
      <c r="V61" s="329">
        <f>IFERROR(__xludf.DUMMYFUNCTION("""COMPUTED_VALUE"""),266.0)</f>
        <v>266</v>
      </c>
      <c r="W61" s="329">
        <f>IFERROR(__xludf.DUMMYFUNCTION("""COMPUTED_VALUE"""),33.0)</f>
        <v>33</v>
      </c>
      <c r="X61" s="329">
        <f>IFERROR(__xludf.DUMMYFUNCTION("""COMPUTED_VALUE"""),19.0)</f>
        <v>19</v>
      </c>
      <c r="Y61" s="329">
        <f>IFERROR(__xludf.DUMMYFUNCTION("""COMPUTED_VALUE"""),6.0)</f>
        <v>6</v>
      </c>
      <c r="Z61" s="329">
        <f>IFERROR(__xludf.DUMMYFUNCTION("""COMPUTED_VALUE"""),1257.0)</f>
        <v>1257</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IFERROR(__xludf.DUMMYFUNCTION("""COMPUTED_VALUE"""),44146.0)</f>
        <v>44146</v>
      </c>
      <c r="B62" s="329">
        <f>IFERROR(__xludf.DUMMYFUNCTION("""COMPUTED_VALUE"""),1096.0)</f>
        <v>1096</v>
      </c>
      <c r="C62" s="329">
        <f>IFERROR(__xludf.DUMMYFUNCTION("""COMPUTED_VALUE"""),988.0)</f>
        <v>988</v>
      </c>
      <c r="D62" s="329">
        <f>IFERROR(__xludf.DUMMYFUNCTION("""COMPUTED_VALUE"""),52743.0)</f>
        <v>52743</v>
      </c>
      <c r="E62" s="329">
        <f>IFERROR(__xludf.DUMMYFUNCTION("""COMPUTED_VALUE"""),19821.0)</f>
        <v>19821</v>
      </c>
      <c r="F62" s="258">
        <f>IFERROR(__xludf.DUMMYFUNCTION("""COMPUTED_VALUE"""),1247847.0)</f>
        <v>1247847</v>
      </c>
      <c r="G62" s="258">
        <f>IFERROR(__xludf.DUMMYFUNCTION("""COMPUTED_VALUE"""),20917.0)</f>
        <v>20917</v>
      </c>
      <c r="H62" s="258">
        <f>IFERROR(__xludf.DUMMYFUNCTION("""COMPUTED_VALUE"""),1300590.0)</f>
        <v>1300590</v>
      </c>
      <c r="I62" s="329">
        <f>IFERROR(__xludf.DUMMYFUNCTION("""COMPUTED_VALUE"""),1037.0)</f>
        <v>1037</v>
      </c>
      <c r="J62" s="329">
        <f>IFERROR(__xludf.DUMMYFUNCTION("""COMPUTED_VALUE"""),933.0)</f>
        <v>933</v>
      </c>
      <c r="K62" s="329">
        <f>IFERROR(__xludf.DUMMYFUNCTION("""COMPUTED_VALUE"""),40917.0)</f>
        <v>40917</v>
      </c>
      <c r="L62" s="329">
        <f>IFERROR(__xludf.DUMMYFUNCTION("""COMPUTED_VALUE"""),2470.0)</f>
        <v>2470</v>
      </c>
      <c r="M62" s="329">
        <f>IFERROR(__xludf.DUMMYFUNCTION("""COMPUTED_VALUE"""),390432.0)</f>
        <v>390432</v>
      </c>
      <c r="N62" s="329">
        <f>IFERROR(__xludf.DUMMYFUNCTION("""COMPUTED_VALUE"""),431349.0)</f>
        <v>431349</v>
      </c>
      <c r="O62" s="329">
        <f>IFERROR(__xludf.DUMMYFUNCTION("""COMPUTED_VALUE"""),41.0)</f>
        <v>41</v>
      </c>
      <c r="P62" s="329">
        <f>IFERROR(__xludf.DUMMYFUNCTION("""COMPUTED_VALUE"""),3719.0)</f>
        <v>3719</v>
      </c>
      <c r="Q62" s="329">
        <f>IFERROR(__xludf.DUMMYFUNCTION("""COMPUTED_VALUE"""),24.0)</f>
        <v>24</v>
      </c>
      <c r="R62" s="329">
        <f>IFERROR(__xludf.DUMMYFUNCTION("""COMPUTED_VALUE"""),3012.0)</f>
        <v>3012</v>
      </c>
      <c r="S62" s="329">
        <f>IFERROR(__xludf.DUMMYFUNCTION("""COMPUTED_VALUE"""),5.0)</f>
        <v>5</v>
      </c>
      <c r="T62" s="329">
        <f>IFERROR(__xludf.DUMMYFUNCTION("""COMPUTED_VALUE"""),422.0)</f>
        <v>422</v>
      </c>
      <c r="U62" s="329">
        <f>IFERROR(__xludf.DUMMYFUNCTION("""COMPUTED_VALUE"""),285.0)</f>
        <v>285</v>
      </c>
      <c r="V62" s="329">
        <f>IFERROR(__xludf.DUMMYFUNCTION("""COMPUTED_VALUE"""),274.0)</f>
        <v>274</v>
      </c>
      <c r="W62" s="329">
        <f>IFERROR(__xludf.DUMMYFUNCTION("""COMPUTED_VALUE"""),32.0)</f>
        <v>32</v>
      </c>
      <c r="X62" s="329">
        <f>IFERROR(__xludf.DUMMYFUNCTION("""COMPUTED_VALUE"""),16.0)</f>
        <v>16</v>
      </c>
      <c r="Y62" s="329">
        <f>IFERROR(__xludf.DUMMYFUNCTION("""COMPUTED_VALUE"""),9.0)</f>
        <v>9</v>
      </c>
      <c r="Z62" s="329">
        <f>IFERROR(__xludf.DUMMYFUNCTION("""COMPUTED_VALUE"""),1266.0)</f>
        <v>1266</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IFERROR(__xludf.DUMMYFUNCTION("""COMPUTED_VALUE"""),44147.0)</f>
        <v>44147</v>
      </c>
      <c r="B63" s="329">
        <f>IFERROR(__xludf.DUMMYFUNCTION("""COMPUTED_VALUE"""),898.0)</f>
        <v>898</v>
      </c>
      <c r="C63" s="329">
        <f>IFERROR(__xludf.DUMMYFUNCTION("""COMPUTED_VALUE"""),1017.0)</f>
        <v>1017</v>
      </c>
      <c r="D63" s="329">
        <f>IFERROR(__xludf.DUMMYFUNCTION("""COMPUTED_VALUE"""),53641.0)</f>
        <v>53641</v>
      </c>
      <c r="E63" s="329">
        <f>IFERROR(__xludf.DUMMYFUNCTION("""COMPUTED_VALUE"""),13917.0)</f>
        <v>13917</v>
      </c>
      <c r="F63" s="258">
        <f>IFERROR(__xludf.DUMMYFUNCTION("""COMPUTED_VALUE"""),1261764.0)</f>
        <v>1261764</v>
      </c>
      <c r="G63" s="258">
        <f>IFERROR(__xludf.DUMMYFUNCTION("""COMPUTED_VALUE"""),14815.0)</f>
        <v>14815</v>
      </c>
      <c r="H63" s="258">
        <f>IFERROR(__xludf.DUMMYFUNCTION("""COMPUTED_VALUE"""),1315405.0)</f>
        <v>1315405</v>
      </c>
      <c r="I63" s="329">
        <f>IFERROR(__xludf.DUMMYFUNCTION("""COMPUTED_VALUE"""),792.0)</f>
        <v>792</v>
      </c>
      <c r="J63" s="329">
        <f>IFERROR(__xludf.DUMMYFUNCTION("""COMPUTED_VALUE"""),941.0)</f>
        <v>941</v>
      </c>
      <c r="K63" s="329">
        <f>IFERROR(__xludf.DUMMYFUNCTION("""COMPUTED_VALUE"""),41709.0)</f>
        <v>41709</v>
      </c>
      <c r="L63" s="329">
        <f>IFERROR(__xludf.DUMMYFUNCTION("""COMPUTED_VALUE"""),2048.0)</f>
        <v>2048</v>
      </c>
      <c r="M63" s="329">
        <f>IFERROR(__xludf.DUMMYFUNCTION("""COMPUTED_VALUE"""),392480.0)</f>
        <v>392480</v>
      </c>
      <c r="N63" s="329">
        <f>IFERROR(__xludf.DUMMYFUNCTION("""COMPUTED_VALUE"""),434189.0)</f>
        <v>434189</v>
      </c>
      <c r="O63" s="329">
        <f>IFERROR(__xludf.DUMMYFUNCTION("""COMPUTED_VALUE"""),39.0)</f>
        <v>39</v>
      </c>
      <c r="P63" s="329">
        <f>IFERROR(__xludf.DUMMYFUNCTION("""COMPUTED_VALUE"""),3758.0)</f>
        <v>3758</v>
      </c>
      <c r="Q63" s="329">
        <f>IFERROR(__xludf.DUMMYFUNCTION("""COMPUTED_VALUE"""),31.0)</f>
        <v>31</v>
      </c>
      <c r="R63" s="329">
        <f>IFERROR(__xludf.DUMMYFUNCTION("""COMPUTED_VALUE"""),3043.0)</f>
        <v>3043</v>
      </c>
      <c r="S63" s="329">
        <f>IFERROR(__xludf.DUMMYFUNCTION("""COMPUTED_VALUE"""),3.0)</f>
        <v>3</v>
      </c>
      <c r="T63" s="329">
        <f>IFERROR(__xludf.DUMMYFUNCTION("""COMPUTED_VALUE"""),425.0)</f>
        <v>425</v>
      </c>
      <c r="U63" s="329">
        <f>IFERROR(__xludf.DUMMYFUNCTION("""COMPUTED_VALUE"""),290.0)</f>
        <v>290</v>
      </c>
      <c r="V63" s="329">
        <f>IFERROR(__xludf.DUMMYFUNCTION("""COMPUTED_VALUE"""),283.0)</f>
        <v>283</v>
      </c>
      <c r="W63" s="329">
        <f>IFERROR(__xludf.DUMMYFUNCTION("""COMPUTED_VALUE"""),30.0)</f>
        <v>30</v>
      </c>
      <c r="X63" s="329">
        <f>IFERROR(__xludf.DUMMYFUNCTION("""COMPUTED_VALUE"""),16.0)</f>
        <v>16</v>
      </c>
      <c r="Y63" s="329">
        <f>IFERROR(__xludf.DUMMYFUNCTION("""COMPUTED_VALUE"""),5.0)</f>
        <v>5</v>
      </c>
      <c r="Z63" s="329">
        <f>IFERROR(__xludf.DUMMYFUNCTION("""COMPUTED_VALUE"""),1271.0)</f>
        <v>1271</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IFERROR(__xludf.DUMMYFUNCTION("""COMPUTED_VALUE"""),44148.0)</f>
        <v>44148</v>
      </c>
      <c r="B64" s="329">
        <f>IFERROR(__xludf.DUMMYFUNCTION("""COMPUTED_VALUE"""),1190.0)</f>
        <v>1190</v>
      </c>
      <c r="C64" s="329">
        <f>IFERROR(__xludf.DUMMYFUNCTION("""COMPUTED_VALUE"""),1061.0)</f>
        <v>1061</v>
      </c>
      <c r="D64" s="329">
        <f>IFERROR(__xludf.DUMMYFUNCTION("""COMPUTED_VALUE"""),54831.0)</f>
        <v>54831</v>
      </c>
      <c r="E64" s="329">
        <f>IFERROR(__xludf.DUMMYFUNCTION("""COMPUTED_VALUE"""),16393.0)</f>
        <v>16393</v>
      </c>
      <c r="F64" s="258">
        <f>IFERROR(__xludf.DUMMYFUNCTION("""COMPUTED_VALUE"""),1278157.0)</f>
        <v>1278157</v>
      </c>
      <c r="G64" s="258">
        <f>IFERROR(__xludf.DUMMYFUNCTION("""COMPUTED_VALUE"""),17583.0)</f>
        <v>17583</v>
      </c>
      <c r="H64" s="258">
        <f>IFERROR(__xludf.DUMMYFUNCTION("""COMPUTED_VALUE"""),1332988.0)</f>
        <v>1332988</v>
      </c>
      <c r="I64" s="329">
        <f>IFERROR(__xludf.DUMMYFUNCTION("""COMPUTED_VALUE"""),1084.0)</f>
        <v>1084</v>
      </c>
      <c r="J64" s="329">
        <f>IFERROR(__xludf.DUMMYFUNCTION("""COMPUTED_VALUE"""),971.0)</f>
        <v>971</v>
      </c>
      <c r="K64" s="329">
        <f>IFERROR(__xludf.DUMMYFUNCTION("""COMPUTED_VALUE"""),42793.0)</f>
        <v>42793</v>
      </c>
      <c r="L64" s="329">
        <f>IFERROR(__xludf.DUMMYFUNCTION("""COMPUTED_VALUE"""),2863.0)</f>
        <v>2863</v>
      </c>
      <c r="M64" s="329">
        <f>IFERROR(__xludf.DUMMYFUNCTION("""COMPUTED_VALUE"""),395343.0)</f>
        <v>395343</v>
      </c>
      <c r="N64" s="329">
        <f>IFERROR(__xludf.DUMMYFUNCTION("""COMPUTED_VALUE"""),438136.0)</f>
        <v>438136</v>
      </c>
      <c r="O64" s="329">
        <f>IFERROR(__xludf.DUMMYFUNCTION("""COMPUTED_VALUE"""),41.0)</f>
        <v>41</v>
      </c>
      <c r="P64" s="329">
        <f>IFERROR(__xludf.DUMMYFUNCTION("""COMPUTED_VALUE"""),3799.0)</f>
        <v>3799</v>
      </c>
      <c r="Q64" s="329">
        <f>IFERROR(__xludf.DUMMYFUNCTION("""COMPUTED_VALUE"""),31.0)</f>
        <v>31</v>
      </c>
      <c r="R64" s="329">
        <f>IFERROR(__xludf.DUMMYFUNCTION("""COMPUTED_VALUE"""),3074.0)</f>
        <v>3074</v>
      </c>
      <c r="S64" s="329">
        <f>IFERROR(__xludf.DUMMYFUNCTION("""COMPUTED_VALUE"""),0.0)</f>
        <v>0</v>
      </c>
      <c r="T64" s="329">
        <f>IFERROR(__xludf.DUMMYFUNCTION("""COMPUTED_VALUE"""),425.0)</f>
        <v>425</v>
      </c>
      <c r="U64" s="329">
        <f>IFERROR(__xludf.DUMMYFUNCTION("""COMPUTED_VALUE"""),300.0)</f>
        <v>300</v>
      </c>
      <c r="V64" s="329">
        <f>IFERROR(__xludf.DUMMYFUNCTION("""COMPUTED_VALUE"""),292.0)</f>
        <v>292</v>
      </c>
      <c r="W64" s="329">
        <f>IFERROR(__xludf.DUMMYFUNCTION("""COMPUTED_VALUE"""),29.0)</f>
        <v>29</v>
      </c>
      <c r="X64" s="329">
        <f>IFERROR(__xludf.DUMMYFUNCTION("""COMPUTED_VALUE"""),16.0)</f>
        <v>16</v>
      </c>
      <c r="Y64" s="329">
        <f>IFERROR(__xludf.DUMMYFUNCTION("""COMPUTED_VALUE"""),2.0)</f>
        <v>2</v>
      </c>
      <c r="Z64" s="329">
        <f>IFERROR(__xludf.DUMMYFUNCTION("""COMPUTED_VALUE"""),1273.0)</f>
        <v>1273</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IFERROR(__xludf.DUMMYFUNCTION("""COMPUTED_VALUE"""),44149.0)</f>
        <v>44149</v>
      </c>
      <c r="B65" s="329">
        <f>IFERROR(__xludf.DUMMYFUNCTION("""COMPUTED_VALUE"""),802.0)</f>
        <v>802</v>
      </c>
      <c r="C65" s="329">
        <f>IFERROR(__xludf.DUMMYFUNCTION("""COMPUTED_VALUE"""),963.0)</f>
        <v>963</v>
      </c>
      <c r="D65" s="329">
        <f>IFERROR(__xludf.DUMMYFUNCTION("""COMPUTED_VALUE"""),55633.0)</f>
        <v>55633</v>
      </c>
      <c r="E65" s="329">
        <f>IFERROR(__xludf.DUMMYFUNCTION("""COMPUTED_VALUE"""),13527.0)</f>
        <v>13527</v>
      </c>
      <c r="F65" s="258">
        <f>IFERROR(__xludf.DUMMYFUNCTION("""COMPUTED_VALUE"""),1291684.0)</f>
        <v>1291684</v>
      </c>
      <c r="G65" s="258">
        <f>IFERROR(__xludf.DUMMYFUNCTION("""COMPUTED_VALUE"""),14329.0)</f>
        <v>14329</v>
      </c>
      <c r="H65" s="258">
        <f>IFERROR(__xludf.DUMMYFUNCTION("""COMPUTED_VALUE"""),1347317.0)</f>
        <v>1347317</v>
      </c>
      <c r="I65" s="329">
        <f>IFERROR(__xludf.DUMMYFUNCTION("""COMPUTED_VALUE"""),765.0)</f>
        <v>765</v>
      </c>
      <c r="J65" s="329">
        <f>IFERROR(__xludf.DUMMYFUNCTION("""COMPUTED_VALUE"""),880.0)</f>
        <v>880</v>
      </c>
      <c r="K65" s="329">
        <f>IFERROR(__xludf.DUMMYFUNCTION("""COMPUTED_VALUE"""),43558.0)</f>
        <v>43558</v>
      </c>
      <c r="L65" s="329">
        <f>IFERROR(__xludf.DUMMYFUNCTION("""COMPUTED_VALUE"""),2299.0)</f>
        <v>2299</v>
      </c>
      <c r="M65" s="329">
        <f>IFERROR(__xludf.DUMMYFUNCTION("""COMPUTED_VALUE"""),397642.0)</f>
        <v>397642</v>
      </c>
      <c r="N65" s="329">
        <f>IFERROR(__xludf.DUMMYFUNCTION("""COMPUTED_VALUE"""),441200.0)</f>
        <v>441200</v>
      </c>
      <c r="O65" s="329">
        <f>IFERROR(__xludf.DUMMYFUNCTION("""COMPUTED_VALUE"""),41.0)</f>
        <v>41</v>
      </c>
      <c r="P65" s="329">
        <f>IFERROR(__xludf.DUMMYFUNCTION("""COMPUTED_VALUE"""),3840.0)</f>
        <v>3840</v>
      </c>
      <c r="Q65" s="329">
        <f>IFERROR(__xludf.DUMMYFUNCTION("""COMPUTED_VALUE"""),25.0)</f>
        <v>25</v>
      </c>
      <c r="R65" s="329">
        <f>IFERROR(__xludf.DUMMYFUNCTION("""COMPUTED_VALUE"""),3099.0)</f>
        <v>3099</v>
      </c>
      <c r="S65" s="329">
        <f>IFERROR(__xludf.DUMMYFUNCTION("""COMPUTED_VALUE"""),5.0)</f>
        <v>5</v>
      </c>
      <c r="T65" s="329">
        <f>IFERROR(__xludf.DUMMYFUNCTION("""COMPUTED_VALUE"""),430.0)</f>
        <v>430</v>
      </c>
      <c r="U65" s="329">
        <f>IFERROR(__xludf.DUMMYFUNCTION("""COMPUTED_VALUE"""),311.0)</f>
        <v>311</v>
      </c>
      <c r="V65" s="329">
        <f>IFERROR(__xludf.DUMMYFUNCTION("""COMPUTED_VALUE"""),300.0)</f>
        <v>300</v>
      </c>
      <c r="W65" s="329">
        <f>IFERROR(__xludf.DUMMYFUNCTION("""COMPUTED_VALUE"""),27.0)</f>
        <v>27</v>
      </c>
      <c r="X65" s="329">
        <f>IFERROR(__xludf.DUMMYFUNCTION("""COMPUTED_VALUE"""),14.0)</f>
        <v>14</v>
      </c>
      <c r="Y65" s="329">
        <f>IFERROR(__xludf.DUMMYFUNCTION("""COMPUTED_VALUE"""),10.0)</f>
        <v>10</v>
      </c>
      <c r="Z65" s="329">
        <f>IFERROR(__xludf.DUMMYFUNCTION("""COMPUTED_VALUE"""),1283.0)</f>
        <v>1283</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IFERROR(__xludf.DUMMYFUNCTION("""COMPUTED_VALUE"""),44150.0)</f>
        <v>44150</v>
      </c>
      <c r="B66" s="329">
        <f>IFERROR(__xludf.DUMMYFUNCTION("""COMPUTED_VALUE"""),584.0)</f>
        <v>584</v>
      </c>
      <c r="C66" s="329">
        <f>IFERROR(__xludf.DUMMYFUNCTION("""COMPUTED_VALUE"""),859.0)</f>
        <v>859</v>
      </c>
      <c r="D66" s="329">
        <f>IFERROR(__xludf.DUMMYFUNCTION("""COMPUTED_VALUE"""),56217.0)</f>
        <v>56217</v>
      </c>
      <c r="E66" s="329">
        <f>IFERROR(__xludf.DUMMYFUNCTION("""COMPUTED_VALUE"""),6178.0)</f>
        <v>6178</v>
      </c>
      <c r="F66" s="258">
        <f>IFERROR(__xludf.DUMMYFUNCTION("""COMPUTED_VALUE"""),1297862.0)</f>
        <v>1297862</v>
      </c>
      <c r="G66" s="258">
        <f>IFERROR(__xludf.DUMMYFUNCTION("""COMPUTED_VALUE"""),6762.0)</f>
        <v>6762</v>
      </c>
      <c r="H66" s="258">
        <f>IFERROR(__xludf.DUMMYFUNCTION("""COMPUTED_VALUE"""),1354079.0)</f>
        <v>1354079</v>
      </c>
      <c r="I66" s="329">
        <f>IFERROR(__xludf.DUMMYFUNCTION("""COMPUTED_VALUE"""),506.0)</f>
        <v>506</v>
      </c>
      <c r="J66" s="329">
        <f>IFERROR(__xludf.DUMMYFUNCTION("""COMPUTED_VALUE"""),785.0)</f>
        <v>785</v>
      </c>
      <c r="K66" s="329">
        <f>IFERROR(__xludf.DUMMYFUNCTION("""COMPUTED_VALUE"""),44064.0)</f>
        <v>44064</v>
      </c>
      <c r="L66" s="329">
        <f>IFERROR(__xludf.DUMMYFUNCTION("""COMPUTED_VALUE"""),1330.0)</f>
        <v>1330</v>
      </c>
      <c r="M66" s="329">
        <f>IFERROR(__xludf.DUMMYFUNCTION("""COMPUTED_VALUE"""),398972.0)</f>
        <v>398972</v>
      </c>
      <c r="N66" s="329">
        <f>IFERROR(__xludf.DUMMYFUNCTION("""COMPUTED_VALUE"""),443036.0)</f>
        <v>443036</v>
      </c>
      <c r="O66" s="329">
        <f>IFERROR(__xludf.DUMMYFUNCTION("""COMPUTED_VALUE"""),47.0)</f>
        <v>47</v>
      </c>
      <c r="P66" s="329">
        <f>IFERROR(__xludf.DUMMYFUNCTION("""COMPUTED_VALUE"""),3887.0)</f>
        <v>3887</v>
      </c>
      <c r="Q66" s="329">
        <f>IFERROR(__xludf.DUMMYFUNCTION("""COMPUTED_VALUE"""),20.0)</f>
        <v>20</v>
      </c>
      <c r="R66" s="329">
        <f>IFERROR(__xludf.DUMMYFUNCTION("""COMPUTED_VALUE"""),3119.0)</f>
        <v>3119</v>
      </c>
      <c r="S66" s="329">
        <f>IFERROR(__xludf.DUMMYFUNCTION("""COMPUTED_VALUE"""),5.0)</f>
        <v>5</v>
      </c>
      <c r="T66" s="329">
        <f>IFERROR(__xludf.DUMMYFUNCTION("""COMPUTED_VALUE"""),435.0)</f>
        <v>435</v>
      </c>
      <c r="U66" s="329">
        <f>IFERROR(__xludf.DUMMYFUNCTION("""COMPUTED_VALUE"""),333.0)</f>
        <v>333</v>
      </c>
      <c r="V66" s="329">
        <f>IFERROR(__xludf.DUMMYFUNCTION("""COMPUTED_VALUE"""),315.0)</f>
        <v>315</v>
      </c>
      <c r="W66" s="329">
        <f>IFERROR(__xludf.DUMMYFUNCTION("""COMPUTED_VALUE"""),30.0)</f>
        <v>30</v>
      </c>
      <c r="X66" s="329">
        <f>IFERROR(__xludf.DUMMYFUNCTION("""COMPUTED_VALUE"""),12.0)</f>
        <v>12</v>
      </c>
      <c r="Y66" s="329">
        <f>IFERROR(__xludf.DUMMYFUNCTION("""COMPUTED_VALUE"""),8.0)</f>
        <v>8</v>
      </c>
      <c r="Z66" s="329">
        <f>IFERROR(__xludf.DUMMYFUNCTION("""COMPUTED_VALUE"""),1291.0)</f>
        <v>1291</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IFERROR(__xludf.DUMMYFUNCTION("""COMPUTED_VALUE"""),44151.0)</f>
        <v>44151</v>
      </c>
      <c r="B67" s="329">
        <f>IFERROR(__xludf.DUMMYFUNCTION("""COMPUTED_VALUE"""),748.0)</f>
        <v>748</v>
      </c>
      <c r="C67" s="329">
        <f>IFERROR(__xludf.DUMMYFUNCTION("""COMPUTED_VALUE"""),711.0)</f>
        <v>711</v>
      </c>
      <c r="D67" s="329">
        <f>IFERROR(__xludf.DUMMYFUNCTION("""COMPUTED_VALUE"""),56965.0)</f>
        <v>56965</v>
      </c>
      <c r="E67" s="329">
        <f>IFERROR(__xludf.DUMMYFUNCTION("""COMPUTED_VALUE"""),9650.0)</f>
        <v>9650</v>
      </c>
      <c r="F67" s="258">
        <f>IFERROR(__xludf.DUMMYFUNCTION("""COMPUTED_VALUE"""),1307512.0)</f>
        <v>1307512</v>
      </c>
      <c r="G67" s="258">
        <f>IFERROR(__xludf.DUMMYFUNCTION("""COMPUTED_VALUE"""),10398.0)</f>
        <v>10398</v>
      </c>
      <c r="H67" s="258">
        <f>IFERROR(__xludf.DUMMYFUNCTION("""COMPUTED_VALUE"""),1364477.0)</f>
        <v>1364477</v>
      </c>
      <c r="I67" s="329">
        <f>IFERROR(__xludf.DUMMYFUNCTION("""COMPUTED_VALUE"""),670.0)</f>
        <v>670</v>
      </c>
      <c r="J67" s="329">
        <f>IFERROR(__xludf.DUMMYFUNCTION("""COMPUTED_VALUE"""),647.0)</f>
        <v>647</v>
      </c>
      <c r="K67" s="329">
        <f>IFERROR(__xludf.DUMMYFUNCTION("""COMPUTED_VALUE"""),44734.0)</f>
        <v>44734</v>
      </c>
      <c r="L67" s="329">
        <f>IFERROR(__xludf.DUMMYFUNCTION("""COMPUTED_VALUE"""),2466.0)</f>
        <v>2466</v>
      </c>
      <c r="M67" s="329">
        <f>IFERROR(__xludf.DUMMYFUNCTION("""COMPUTED_VALUE"""),401438.0)</f>
        <v>401438</v>
      </c>
      <c r="N67" s="329">
        <f>IFERROR(__xludf.DUMMYFUNCTION("""COMPUTED_VALUE"""),446172.0)</f>
        <v>446172</v>
      </c>
      <c r="O67" s="329">
        <f>IFERROR(__xludf.DUMMYFUNCTION("""COMPUTED_VALUE"""),56.0)</f>
        <v>56</v>
      </c>
      <c r="P67" s="329">
        <f>IFERROR(__xludf.DUMMYFUNCTION("""COMPUTED_VALUE"""),3943.0)</f>
        <v>3943</v>
      </c>
      <c r="Q67" s="329">
        <f>IFERROR(__xludf.DUMMYFUNCTION("""COMPUTED_VALUE"""),39.0)</f>
        <v>39</v>
      </c>
      <c r="R67" s="329">
        <f>IFERROR(__xludf.DUMMYFUNCTION("""COMPUTED_VALUE"""),3158.0)</f>
        <v>3158</v>
      </c>
      <c r="S67" s="329">
        <f>IFERROR(__xludf.DUMMYFUNCTION("""COMPUTED_VALUE"""),3.0)</f>
        <v>3</v>
      </c>
      <c r="T67" s="329">
        <f>IFERROR(__xludf.DUMMYFUNCTION("""COMPUTED_VALUE"""),438.0)</f>
        <v>438</v>
      </c>
      <c r="U67" s="329">
        <f>IFERROR(__xludf.DUMMYFUNCTION("""COMPUTED_VALUE"""),347.0)</f>
        <v>347</v>
      </c>
      <c r="V67" s="329">
        <f>IFERROR(__xludf.DUMMYFUNCTION("""COMPUTED_VALUE"""),330.0)</f>
        <v>330</v>
      </c>
      <c r="W67" s="329">
        <f>IFERROR(__xludf.DUMMYFUNCTION("""COMPUTED_VALUE"""),28.0)</f>
        <v>28</v>
      </c>
      <c r="X67" s="329">
        <f>IFERROR(__xludf.DUMMYFUNCTION("""COMPUTED_VALUE"""),14.0)</f>
        <v>14</v>
      </c>
      <c r="Y67" s="329">
        <f>IFERROR(__xludf.DUMMYFUNCTION("""COMPUTED_VALUE"""),6.0)</f>
        <v>6</v>
      </c>
      <c r="Z67" s="329">
        <f>IFERROR(__xludf.DUMMYFUNCTION("""COMPUTED_VALUE"""),1297.0)</f>
        <v>1297</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IFERROR(__xludf.DUMMYFUNCTION("""COMPUTED_VALUE"""),44152.0)</f>
        <v>44152</v>
      </c>
      <c r="B68" s="329">
        <f>IFERROR(__xludf.DUMMYFUNCTION("""COMPUTED_VALUE"""),1569.0)</f>
        <v>1569</v>
      </c>
      <c r="C68" s="329">
        <f>IFERROR(__xludf.DUMMYFUNCTION("""COMPUTED_VALUE"""),967.0)</f>
        <v>967</v>
      </c>
      <c r="D68" s="329">
        <f>IFERROR(__xludf.DUMMYFUNCTION("""COMPUTED_VALUE"""),58534.0)</f>
        <v>58534</v>
      </c>
      <c r="E68" s="329">
        <f>IFERROR(__xludf.DUMMYFUNCTION("""COMPUTED_VALUE"""),18180.0)</f>
        <v>18180</v>
      </c>
      <c r="F68" s="258">
        <f>IFERROR(__xludf.DUMMYFUNCTION("""COMPUTED_VALUE"""),1325692.0)</f>
        <v>1325692</v>
      </c>
      <c r="G68" s="258">
        <f>IFERROR(__xludf.DUMMYFUNCTION("""COMPUTED_VALUE"""),19749.0)</f>
        <v>19749</v>
      </c>
      <c r="H68" s="258">
        <f>IFERROR(__xludf.DUMMYFUNCTION("""COMPUTED_VALUE"""),1384226.0)</f>
        <v>1384226</v>
      </c>
      <c r="I68" s="329">
        <f>IFERROR(__xludf.DUMMYFUNCTION("""COMPUTED_VALUE"""),1405.0)</f>
        <v>1405</v>
      </c>
      <c r="J68" s="329">
        <f>IFERROR(__xludf.DUMMYFUNCTION("""COMPUTED_VALUE"""),860.0)</f>
        <v>860</v>
      </c>
      <c r="K68" s="329">
        <f>IFERROR(__xludf.DUMMYFUNCTION("""COMPUTED_VALUE"""),46139.0)</f>
        <v>46139</v>
      </c>
      <c r="L68" s="329">
        <f>IFERROR(__xludf.DUMMYFUNCTION("""COMPUTED_VALUE"""),3848.0)</f>
        <v>3848</v>
      </c>
      <c r="M68" s="329">
        <f>IFERROR(__xludf.DUMMYFUNCTION("""COMPUTED_VALUE"""),405286.0)</f>
        <v>405286</v>
      </c>
      <c r="N68" s="329">
        <f>IFERROR(__xludf.DUMMYFUNCTION("""COMPUTED_VALUE"""),451425.0)</f>
        <v>451425</v>
      </c>
      <c r="O68" s="329">
        <f>IFERROR(__xludf.DUMMYFUNCTION("""COMPUTED_VALUE"""),58.0)</f>
        <v>58</v>
      </c>
      <c r="P68" s="329">
        <f>IFERROR(__xludf.DUMMYFUNCTION("""COMPUTED_VALUE"""),4001.0)</f>
        <v>4001</v>
      </c>
      <c r="Q68" s="329">
        <f>IFERROR(__xludf.DUMMYFUNCTION("""COMPUTED_VALUE"""),44.0)</f>
        <v>44</v>
      </c>
      <c r="R68" s="329">
        <f>IFERROR(__xludf.DUMMYFUNCTION("""COMPUTED_VALUE"""),3202.0)</f>
        <v>3202</v>
      </c>
      <c r="S68" s="329">
        <f>IFERROR(__xludf.DUMMYFUNCTION("""COMPUTED_VALUE"""),2.0)</f>
        <v>2</v>
      </c>
      <c r="T68" s="329">
        <f>IFERROR(__xludf.DUMMYFUNCTION("""COMPUTED_VALUE"""),440.0)</f>
        <v>440</v>
      </c>
      <c r="U68" s="329">
        <f>IFERROR(__xludf.DUMMYFUNCTION("""COMPUTED_VALUE"""),359.0)</f>
        <v>359</v>
      </c>
      <c r="V68" s="329">
        <f>IFERROR(__xludf.DUMMYFUNCTION("""COMPUTED_VALUE"""),346.0)</f>
        <v>346</v>
      </c>
      <c r="W68" s="329">
        <f>IFERROR(__xludf.DUMMYFUNCTION("""COMPUTED_VALUE"""),32.0)</f>
        <v>32</v>
      </c>
      <c r="X68" s="329">
        <f>IFERROR(__xludf.DUMMYFUNCTION("""COMPUTED_VALUE"""),14.0)</f>
        <v>14</v>
      </c>
      <c r="Y68" s="329">
        <f>IFERROR(__xludf.DUMMYFUNCTION("""COMPUTED_VALUE"""),5.0)</f>
        <v>5</v>
      </c>
      <c r="Z68" s="329">
        <f>IFERROR(__xludf.DUMMYFUNCTION("""COMPUTED_VALUE"""),1302.0)</f>
        <v>1302</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IFERROR(__xludf.DUMMYFUNCTION("""COMPUTED_VALUE"""),44153.0)</f>
        <v>44153</v>
      </c>
      <c r="B69" s="329">
        <f>IFERROR(__xludf.DUMMYFUNCTION("""COMPUTED_VALUE"""),1146.0)</f>
        <v>1146</v>
      </c>
      <c r="C69" s="329">
        <f>IFERROR(__xludf.DUMMYFUNCTION("""COMPUTED_VALUE"""),1154.0)</f>
        <v>1154</v>
      </c>
      <c r="D69" s="329">
        <f>IFERROR(__xludf.DUMMYFUNCTION("""COMPUTED_VALUE"""),59680.0)</f>
        <v>59680</v>
      </c>
      <c r="E69" s="329">
        <f>IFERROR(__xludf.DUMMYFUNCTION("""COMPUTED_VALUE"""),16079.0)</f>
        <v>16079</v>
      </c>
      <c r="F69" s="258">
        <f>IFERROR(__xludf.DUMMYFUNCTION("""COMPUTED_VALUE"""),1341771.0)</f>
        <v>1341771</v>
      </c>
      <c r="G69" s="258">
        <f>IFERROR(__xludf.DUMMYFUNCTION("""COMPUTED_VALUE"""),17225.0)</f>
        <v>17225</v>
      </c>
      <c r="H69" s="258">
        <f>IFERROR(__xludf.DUMMYFUNCTION("""COMPUTED_VALUE"""),1401451.0)</f>
        <v>1401451</v>
      </c>
      <c r="I69" s="329">
        <f>IFERROR(__xludf.DUMMYFUNCTION("""COMPUTED_VALUE"""),1014.0)</f>
        <v>1014</v>
      </c>
      <c r="J69" s="329">
        <f>IFERROR(__xludf.DUMMYFUNCTION("""COMPUTED_VALUE"""),1030.0)</f>
        <v>1030</v>
      </c>
      <c r="K69" s="329">
        <f>IFERROR(__xludf.DUMMYFUNCTION("""COMPUTED_VALUE"""),47153.0)</f>
        <v>47153</v>
      </c>
      <c r="L69" s="329">
        <f>IFERROR(__xludf.DUMMYFUNCTION("""COMPUTED_VALUE"""),2991.0)</f>
        <v>2991</v>
      </c>
      <c r="M69" s="329">
        <f>IFERROR(__xludf.DUMMYFUNCTION("""COMPUTED_VALUE"""),408277.0)</f>
        <v>408277</v>
      </c>
      <c r="N69" s="329">
        <f>IFERROR(__xludf.DUMMYFUNCTION("""COMPUTED_VALUE"""),455430.0)</f>
        <v>455430</v>
      </c>
      <c r="O69" s="329">
        <f>IFERROR(__xludf.DUMMYFUNCTION("""COMPUTED_VALUE"""),39.0)</f>
        <v>39</v>
      </c>
      <c r="P69" s="329">
        <f>IFERROR(__xludf.DUMMYFUNCTION("""COMPUTED_VALUE"""),4040.0)</f>
        <v>4040</v>
      </c>
      <c r="Q69" s="329">
        <f>IFERROR(__xludf.DUMMYFUNCTION("""COMPUTED_VALUE"""),38.0)</f>
        <v>38</v>
      </c>
      <c r="R69" s="329">
        <f>IFERROR(__xludf.DUMMYFUNCTION("""COMPUTED_VALUE"""),3240.0)</f>
        <v>3240</v>
      </c>
      <c r="S69" s="329">
        <f>IFERROR(__xludf.DUMMYFUNCTION("""COMPUTED_VALUE"""),5.0)</f>
        <v>5</v>
      </c>
      <c r="T69" s="329">
        <f>IFERROR(__xludf.DUMMYFUNCTION("""COMPUTED_VALUE"""),445.0)</f>
        <v>445</v>
      </c>
      <c r="U69" s="329">
        <f>IFERROR(__xludf.DUMMYFUNCTION("""COMPUTED_VALUE"""),355.0)</f>
        <v>355</v>
      </c>
      <c r="V69" s="329">
        <f>IFERROR(__xludf.DUMMYFUNCTION("""COMPUTED_VALUE"""),354.0)</f>
        <v>354</v>
      </c>
      <c r="W69" s="329">
        <f>IFERROR(__xludf.DUMMYFUNCTION("""COMPUTED_VALUE"""),31.0)</f>
        <v>31</v>
      </c>
      <c r="X69" s="329">
        <f>IFERROR(__xludf.DUMMYFUNCTION("""COMPUTED_VALUE"""),16.0)</f>
        <v>16</v>
      </c>
      <c r="Y69" s="329">
        <f>IFERROR(__xludf.DUMMYFUNCTION("""COMPUTED_VALUE"""),7.0)</f>
        <v>7</v>
      </c>
      <c r="Z69" s="329">
        <f>IFERROR(__xludf.DUMMYFUNCTION("""COMPUTED_VALUE"""),1309.0)</f>
        <v>1309</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IFERROR(__xludf.DUMMYFUNCTION("""COMPUTED_VALUE"""),44154.0)</f>
        <v>44154</v>
      </c>
      <c r="B70" s="329">
        <f>IFERROR(__xludf.DUMMYFUNCTION("""COMPUTED_VALUE"""),1139.0)</f>
        <v>1139</v>
      </c>
      <c r="C70" s="329">
        <f>IFERROR(__xludf.DUMMYFUNCTION("""COMPUTED_VALUE"""),1285.0)</f>
        <v>1285</v>
      </c>
      <c r="D70" s="329">
        <f>IFERROR(__xludf.DUMMYFUNCTION("""COMPUTED_VALUE"""),60819.0)</f>
        <v>60819</v>
      </c>
      <c r="E70" s="329">
        <f>IFERROR(__xludf.DUMMYFUNCTION("""COMPUTED_VALUE"""),13186.0)</f>
        <v>13186</v>
      </c>
      <c r="F70" s="258">
        <f>IFERROR(__xludf.DUMMYFUNCTION("""COMPUTED_VALUE"""),1354957.0)</f>
        <v>1354957</v>
      </c>
      <c r="G70" s="258">
        <f>IFERROR(__xludf.DUMMYFUNCTION("""COMPUTED_VALUE"""),14325.0)</f>
        <v>14325</v>
      </c>
      <c r="H70" s="258">
        <f>IFERROR(__xludf.DUMMYFUNCTION("""COMPUTED_VALUE"""),1415776.0)</f>
        <v>1415776</v>
      </c>
      <c r="I70" s="329">
        <f>IFERROR(__xludf.DUMMYFUNCTION("""COMPUTED_VALUE"""),1035.0)</f>
        <v>1035</v>
      </c>
      <c r="J70" s="329">
        <f>IFERROR(__xludf.DUMMYFUNCTION("""COMPUTED_VALUE"""),1151.0)</f>
        <v>1151</v>
      </c>
      <c r="K70" s="329">
        <f>IFERROR(__xludf.DUMMYFUNCTION("""COMPUTED_VALUE"""),48188.0)</f>
        <v>48188</v>
      </c>
      <c r="L70" s="329">
        <f>IFERROR(__xludf.DUMMYFUNCTION("""COMPUTED_VALUE"""),3152.0)</f>
        <v>3152</v>
      </c>
      <c r="M70" s="329">
        <f>IFERROR(__xludf.DUMMYFUNCTION("""COMPUTED_VALUE"""),411429.0)</f>
        <v>411429</v>
      </c>
      <c r="N70" s="329">
        <f>IFERROR(__xludf.DUMMYFUNCTION("""COMPUTED_VALUE"""),459617.0)</f>
        <v>459617</v>
      </c>
      <c r="O70" s="329">
        <f>IFERROR(__xludf.DUMMYFUNCTION("""COMPUTED_VALUE"""),47.0)</f>
        <v>47</v>
      </c>
      <c r="P70" s="329">
        <f>IFERROR(__xludf.DUMMYFUNCTION("""COMPUTED_VALUE"""),4087.0)</f>
        <v>4087</v>
      </c>
      <c r="Q70" s="329">
        <f>IFERROR(__xludf.DUMMYFUNCTION("""COMPUTED_VALUE"""),42.0)</f>
        <v>42</v>
      </c>
      <c r="R70" s="329">
        <f>IFERROR(__xludf.DUMMYFUNCTION("""COMPUTED_VALUE"""),3282.0)</f>
        <v>3282</v>
      </c>
      <c r="S70" s="329">
        <f>IFERROR(__xludf.DUMMYFUNCTION("""COMPUTED_VALUE"""),4.0)</f>
        <v>4</v>
      </c>
      <c r="T70" s="329">
        <f>IFERROR(__xludf.DUMMYFUNCTION("""COMPUTED_VALUE"""),449.0)</f>
        <v>449</v>
      </c>
      <c r="U70" s="329">
        <f>IFERROR(__xludf.DUMMYFUNCTION("""COMPUTED_VALUE"""),356.0)</f>
        <v>356</v>
      </c>
      <c r="V70" s="329">
        <f>IFERROR(__xludf.DUMMYFUNCTION("""COMPUTED_VALUE"""),357.0)</f>
        <v>357</v>
      </c>
      <c r="W70" s="329">
        <f>IFERROR(__xludf.DUMMYFUNCTION("""COMPUTED_VALUE"""),32.0)</f>
        <v>32</v>
      </c>
      <c r="X70" s="329">
        <f>IFERROR(__xludf.DUMMYFUNCTION("""COMPUTED_VALUE"""),19.0)</f>
        <v>19</v>
      </c>
      <c r="Y70" s="329">
        <f>IFERROR(__xludf.DUMMYFUNCTION("""COMPUTED_VALUE"""),6.0)</f>
        <v>6</v>
      </c>
      <c r="Z70" s="329">
        <f>IFERROR(__xludf.DUMMYFUNCTION("""COMPUTED_VALUE"""),1315.0)</f>
        <v>1315</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IFERROR(__xludf.DUMMYFUNCTION("""COMPUTED_VALUE"""),44155.0)</f>
        <v>44155</v>
      </c>
      <c r="B71" s="329">
        <f>IFERROR(__xludf.DUMMYFUNCTION("""COMPUTED_VALUE"""),1463.0)</f>
        <v>1463</v>
      </c>
      <c r="C71" s="329">
        <f>IFERROR(__xludf.DUMMYFUNCTION("""COMPUTED_VALUE"""),1249.0)</f>
        <v>1249</v>
      </c>
      <c r="D71" s="329">
        <f>IFERROR(__xludf.DUMMYFUNCTION("""COMPUTED_VALUE"""),62282.0)</f>
        <v>62282</v>
      </c>
      <c r="E71" s="329">
        <f>IFERROR(__xludf.DUMMYFUNCTION("""COMPUTED_VALUE"""),22228.0)</f>
        <v>22228</v>
      </c>
      <c r="F71" s="258">
        <f>IFERROR(__xludf.DUMMYFUNCTION("""COMPUTED_VALUE"""),1377185.0)</f>
        <v>1377185</v>
      </c>
      <c r="G71" s="258">
        <f>IFERROR(__xludf.DUMMYFUNCTION("""COMPUTED_VALUE"""),23691.0)</f>
        <v>23691</v>
      </c>
      <c r="H71" s="258">
        <f>IFERROR(__xludf.DUMMYFUNCTION("""COMPUTED_VALUE"""),1439467.0)</f>
        <v>1439467</v>
      </c>
      <c r="I71" s="329">
        <f>IFERROR(__xludf.DUMMYFUNCTION("""COMPUTED_VALUE"""),1288.0)</f>
        <v>1288</v>
      </c>
      <c r="J71" s="329">
        <f>IFERROR(__xludf.DUMMYFUNCTION("""COMPUTED_VALUE"""),1112.0)</f>
        <v>1112</v>
      </c>
      <c r="K71" s="329">
        <f>IFERROR(__xludf.DUMMYFUNCTION("""COMPUTED_VALUE"""),49476.0)</f>
        <v>49476</v>
      </c>
      <c r="L71" s="329">
        <f>IFERROR(__xludf.DUMMYFUNCTION("""COMPUTED_VALUE"""),4056.0)</f>
        <v>4056</v>
      </c>
      <c r="M71" s="329">
        <f>IFERROR(__xludf.DUMMYFUNCTION("""COMPUTED_VALUE"""),415485.0)</f>
        <v>415485</v>
      </c>
      <c r="N71" s="329">
        <f>IFERROR(__xludf.DUMMYFUNCTION("""COMPUTED_VALUE"""),464961.0)</f>
        <v>464961</v>
      </c>
      <c r="O71" s="329">
        <f>IFERROR(__xludf.DUMMYFUNCTION("""COMPUTED_VALUE"""),48.0)</f>
        <v>48</v>
      </c>
      <c r="P71" s="329">
        <f>IFERROR(__xludf.DUMMYFUNCTION("""COMPUTED_VALUE"""),4135.0)</f>
        <v>4135</v>
      </c>
      <c r="Q71" s="329">
        <f>IFERROR(__xludf.DUMMYFUNCTION("""COMPUTED_VALUE"""),47.0)</f>
        <v>47</v>
      </c>
      <c r="R71" s="329">
        <f>IFERROR(__xludf.DUMMYFUNCTION("""COMPUTED_VALUE"""),3329.0)</f>
        <v>3329</v>
      </c>
      <c r="S71" s="329">
        <f>IFERROR(__xludf.DUMMYFUNCTION("""COMPUTED_VALUE"""),3.0)</f>
        <v>3</v>
      </c>
      <c r="T71" s="329">
        <f>IFERROR(__xludf.DUMMYFUNCTION("""COMPUTED_VALUE"""),452.0)</f>
        <v>452</v>
      </c>
      <c r="U71" s="329">
        <f>IFERROR(__xludf.DUMMYFUNCTION("""COMPUTED_VALUE"""),354.0)</f>
        <v>354</v>
      </c>
      <c r="V71" s="329">
        <f>IFERROR(__xludf.DUMMYFUNCTION("""COMPUTED_VALUE"""),355.0)</f>
        <v>355</v>
      </c>
      <c r="W71" s="329">
        <f>IFERROR(__xludf.DUMMYFUNCTION("""COMPUTED_VALUE"""),35.0)</f>
        <v>35</v>
      </c>
      <c r="X71" s="329">
        <f>IFERROR(__xludf.DUMMYFUNCTION("""COMPUTED_VALUE"""),15.0)</f>
        <v>15</v>
      </c>
      <c r="Y71" s="329">
        <f>IFERROR(__xludf.DUMMYFUNCTION("""COMPUTED_VALUE"""),7.0)</f>
        <v>7</v>
      </c>
      <c r="Z71" s="329">
        <f>IFERROR(__xludf.DUMMYFUNCTION("""COMPUTED_VALUE"""),1322.0)</f>
        <v>1322</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IFERROR(__xludf.DUMMYFUNCTION("""COMPUTED_VALUE"""),44156.0)</f>
        <v>44156</v>
      </c>
      <c r="B72" s="329">
        <f>IFERROR(__xludf.DUMMYFUNCTION("""COMPUTED_VALUE"""),853.0)</f>
        <v>853</v>
      </c>
      <c r="C72" s="329">
        <f>IFERROR(__xludf.DUMMYFUNCTION("""COMPUTED_VALUE"""),1152.0)</f>
        <v>1152</v>
      </c>
      <c r="D72" s="329">
        <f>IFERROR(__xludf.DUMMYFUNCTION("""COMPUTED_VALUE"""),63135.0)</f>
        <v>63135</v>
      </c>
      <c r="E72" s="329">
        <f>IFERROR(__xludf.DUMMYFUNCTION("""COMPUTED_VALUE"""),17381.0)</f>
        <v>17381</v>
      </c>
      <c r="F72" s="258">
        <f>IFERROR(__xludf.DUMMYFUNCTION("""COMPUTED_VALUE"""),1394566.0)</f>
        <v>1394566</v>
      </c>
      <c r="G72" s="258">
        <f>IFERROR(__xludf.DUMMYFUNCTION("""COMPUTED_VALUE"""),18234.0)</f>
        <v>18234</v>
      </c>
      <c r="H72" s="258">
        <f>IFERROR(__xludf.DUMMYFUNCTION("""COMPUTED_VALUE"""),1457701.0)</f>
        <v>1457701</v>
      </c>
      <c r="I72" s="329">
        <f>IFERROR(__xludf.DUMMYFUNCTION("""COMPUTED_VALUE"""),743.0)</f>
        <v>743</v>
      </c>
      <c r="J72" s="329">
        <f>IFERROR(__xludf.DUMMYFUNCTION("""COMPUTED_VALUE"""),1022.0)</f>
        <v>1022</v>
      </c>
      <c r="K72" s="329">
        <f>IFERROR(__xludf.DUMMYFUNCTION("""COMPUTED_VALUE"""),50219.0)</f>
        <v>50219</v>
      </c>
      <c r="L72" s="329">
        <f>IFERROR(__xludf.DUMMYFUNCTION("""COMPUTED_VALUE"""),2942.0)</f>
        <v>2942</v>
      </c>
      <c r="M72" s="329">
        <f>IFERROR(__xludf.DUMMYFUNCTION("""COMPUTED_VALUE"""),418427.0)</f>
        <v>418427</v>
      </c>
      <c r="N72" s="329">
        <f>IFERROR(__xludf.DUMMYFUNCTION("""COMPUTED_VALUE"""),468646.0)</f>
        <v>468646</v>
      </c>
      <c r="O72" s="329">
        <f>IFERROR(__xludf.DUMMYFUNCTION("""COMPUTED_VALUE"""),42.0)</f>
        <v>42</v>
      </c>
      <c r="P72" s="329">
        <f>IFERROR(__xludf.DUMMYFUNCTION("""COMPUTED_VALUE"""),4177.0)</f>
        <v>4177</v>
      </c>
      <c r="Q72" s="329">
        <f>IFERROR(__xludf.DUMMYFUNCTION("""COMPUTED_VALUE"""),33.0)</f>
        <v>33</v>
      </c>
      <c r="R72" s="329">
        <f>IFERROR(__xludf.DUMMYFUNCTION("""COMPUTED_VALUE"""),3362.0)</f>
        <v>3362</v>
      </c>
      <c r="S72" s="329">
        <f>IFERROR(__xludf.DUMMYFUNCTION("""COMPUTED_VALUE"""),5.0)</f>
        <v>5</v>
      </c>
      <c r="T72" s="329">
        <f>IFERROR(__xludf.DUMMYFUNCTION("""COMPUTED_VALUE"""),457.0)</f>
        <v>457</v>
      </c>
      <c r="U72" s="329">
        <f>IFERROR(__xludf.DUMMYFUNCTION("""COMPUTED_VALUE"""),358.0)</f>
        <v>358</v>
      </c>
      <c r="V72" s="329">
        <f>IFERROR(__xludf.DUMMYFUNCTION("""COMPUTED_VALUE"""),356.0)</f>
        <v>356</v>
      </c>
      <c r="W72" s="329">
        <f>IFERROR(__xludf.DUMMYFUNCTION("""COMPUTED_VALUE"""),37.0)</f>
        <v>37</v>
      </c>
      <c r="X72" s="329">
        <f>IFERROR(__xludf.DUMMYFUNCTION("""COMPUTED_VALUE"""),15.0)</f>
        <v>15</v>
      </c>
      <c r="Y72" s="329">
        <f>IFERROR(__xludf.DUMMYFUNCTION("""COMPUTED_VALUE"""),10.0)</f>
        <v>10</v>
      </c>
      <c r="Z72" s="329">
        <f>IFERROR(__xludf.DUMMYFUNCTION("""COMPUTED_VALUE"""),1332.0)</f>
        <v>1332</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IFERROR(__xludf.DUMMYFUNCTION("""COMPUTED_VALUE"""),44157.0)</f>
        <v>44157</v>
      </c>
      <c r="B73" s="329">
        <f>IFERROR(__xludf.DUMMYFUNCTION("""COMPUTED_VALUE"""),573.0)</f>
        <v>573</v>
      </c>
      <c r="C73" s="329">
        <f>IFERROR(__xludf.DUMMYFUNCTION("""COMPUTED_VALUE"""),963.0)</f>
        <v>963</v>
      </c>
      <c r="D73" s="329">
        <f>IFERROR(__xludf.DUMMYFUNCTION("""COMPUTED_VALUE"""),63708.0)</f>
        <v>63708</v>
      </c>
      <c r="E73" s="329">
        <f>IFERROR(__xludf.DUMMYFUNCTION("""COMPUTED_VALUE"""),7525.0)</f>
        <v>7525</v>
      </c>
      <c r="F73" s="258">
        <f>IFERROR(__xludf.DUMMYFUNCTION("""COMPUTED_VALUE"""),1402091.0)</f>
        <v>1402091</v>
      </c>
      <c r="G73" s="258">
        <f>IFERROR(__xludf.DUMMYFUNCTION("""COMPUTED_VALUE"""),8098.0)</f>
        <v>8098</v>
      </c>
      <c r="H73" s="258">
        <f>IFERROR(__xludf.DUMMYFUNCTION("""COMPUTED_VALUE"""),1465799.0)</f>
        <v>1465799</v>
      </c>
      <c r="I73" s="329">
        <f>IFERROR(__xludf.DUMMYFUNCTION("""COMPUTED_VALUE"""),457.0)</f>
        <v>457</v>
      </c>
      <c r="J73" s="329">
        <f>IFERROR(__xludf.DUMMYFUNCTION("""COMPUTED_VALUE"""),829.0)</f>
        <v>829</v>
      </c>
      <c r="K73" s="329">
        <f>IFERROR(__xludf.DUMMYFUNCTION("""COMPUTED_VALUE"""),50676.0)</f>
        <v>50676</v>
      </c>
      <c r="L73" s="329">
        <f>IFERROR(__xludf.DUMMYFUNCTION("""COMPUTED_VALUE"""),1677.0)</f>
        <v>1677</v>
      </c>
      <c r="M73" s="329">
        <f>IFERROR(__xludf.DUMMYFUNCTION("""COMPUTED_VALUE"""),420104.0)</f>
        <v>420104</v>
      </c>
      <c r="N73" s="329">
        <f>IFERROR(__xludf.DUMMYFUNCTION("""COMPUTED_VALUE"""),470780.0)</f>
        <v>470780</v>
      </c>
      <c r="O73" s="329">
        <f>IFERROR(__xludf.DUMMYFUNCTION("""COMPUTED_VALUE"""),64.0)</f>
        <v>64</v>
      </c>
      <c r="P73" s="329">
        <f>IFERROR(__xludf.DUMMYFUNCTION("""COMPUTED_VALUE"""),4241.0)</f>
        <v>4241</v>
      </c>
      <c r="Q73" s="329">
        <f>IFERROR(__xludf.DUMMYFUNCTION("""COMPUTED_VALUE"""),27.0)</f>
        <v>27</v>
      </c>
      <c r="R73" s="329">
        <f>IFERROR(__xludf.DUMMYFUNCTION("""COMPUTED_VALUE"""),3389.0)</f>
        <v>3389</v>
      </c>
      <c r="S73" s="329">
        <f>IFERROR(__xludf.DUMMYFUNCTION("""COMPUTED_VALUE"""),4.0)</f>
        <v>4</v>
      </c>
      <c r="T73" s="329">
        <f>IFERROR(__xludf.DUMMYFUNCTION("""COMPUTED_VALUE"""),461.0)</f>
        <v>461</v>
      </c>
      <c r="U73" s="329">
        <f>IFERROR(__xludf.DUMMYFUNCTION("""COMPUTED_VALUE"""),391.0)</f>
        <v>391</v>
      </c>
      <c r="V73" s="329">
        <f>IFERROR(__xludf.DUMMYFUNCTION("""COMPUTED_VALUE"""),368.0)</f>
        <v>368</v>
      </c>
      <c r="W73" s="329">
        <f>IFERROR(__xludf.DUMMYFUNCTION("""COMPUTED_VALUE"""),35.0)</f>
        <v>35</v>
      </c>
      <c r="X73" s="329">
        <f>IFERROR(__xludf.DUMMYFUNCTION("""COMPUTED_VALUE"""),16.0)</f>
        <v>16</v>
      </c>
      <c r="Y73" s="329">
        <f>IFERROR(__xludf.DUMMYFUNCTION("""COMPUTED_VALUE"""),12.0)</f>
        <v>12</v>
      </c>
      <c r="Z73" s="329">
        <f>IFERROR(__xludf.DUMMYFUNCTION("""COMPUTED_VALUE"""),1344.0)</f>
        <v>1344</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IFERROR(__xludf.DUMMYFUNCTION("""COMPUTED_VALUE"""),44158.0)</f>
        <v>44158</v>
      </c>
      <c r="B74" s="329">
        <f>IFERROR(__xludf.DUMMYFUNCTION("""COMPUTED_VALUE"""),998.0)</f>
        <v>998</v>
      </c>
      <c r="C74" s="329">
        <f>IFERROR(__xludf.DUMMYFUNCTION("""COMPUTED_VALUE"""),808.0)</f>
        <v>808</v>
      </c>
      <c r="D74" s="329">
        <f>IFERROR(__xludf.DUMMYFUNCTION("""COMPUTED_VALUE"""),64706.0)</f>
        <v>64706</v>
      </c>
      <c r="E74" s="329">
        <f>IFERROR(__xludf.DUMMYFUNCTION("""COMPUTED_VALUE"""),11036.0)</f>
        <v>11036</v>
      </c>
      <c r="F74" s="258">
        <f>IFERROR(__xludf.DUMMYFUNCTION("""COMPUTED_VALUE"""),1413127.0)</f>
        <v>1413127</v>
      </c>
      <c r="G74" s="258">
        <f>IFERROR(__xludf.DUMMYFUNCTION("""COMPUTED_VALUE"""),12034.0)</f>
        <v>12034</v>
      </c>
      <c r="H74" s="258">
        <f>IFERROR(__xludf.DUMMYFUNCTION("""COMPUTED_VALUE"""),1477833.0)</f>
        <v>1477833</v>
      </c>
      <c r="I74" s="329">
        <f>IFERROR(__xludf.DUMMYFUNCTION("""COMPUTED_VALUE"""),906.0)</f>
        <v>906</v>
      </c>
      <c r="J74" s="329">
        <f>IFERROR(__xludf.DUMMYFUNCTION("""COMPUTED_VALUE"""),702.0)</f>
        <v>702</v>
      </c>
      <c r="K74" s="329">
        <f>IFERROR(__xludf.DUMMYFUNCTION("""COMPUTED_VALUE"""),51582.0)</f>
        <v>51582</v>
      </c>
      <c r="L74" s="329">
        <f>IFERROR(__xludf.DUMMYFUNCTION("""COMPUTED_VALUE"""),3181.0)</f>
        <v>3181</v>
      </c>
      <c r="M74" s="329">
        <f>IFERROR(__xludf.DUMMYFUNCTION("""COMPUTED_VALUE"""),423285.0)</f>
        <v>423285</v>
      </c>
      <c r="N74" s="329">
        <f>IFERROR(__xludf.DUMMYFUNCTION("""COMPUTED_VALUE"""),474867.0)</f>
        <v>474867</v>
      </c>
      <c r="O74" s="329">
        <f>IFERROR(__xludf.DUMMYFUNCTION("""COMPUTED_VALUE"""),74.0)</f>
        <v>74</v>
      </c>
      <c r="P74" s="329">
        <f>IFERROR(__xludf.DUMMYFUNCTION("""COMPUTED_VALUE"""),4315.0)</f>
        <v>4315</v>
      </c>
      <c r="Q74" s="329">
        <f>IFERROR(__xludf.DUMMYFUNCTION("""COMPUTED_VALUE"""),39.0)</f>
        <v>39</v>
      </c>
      <c r="R74" s="329">
        <f>IFERROR(__xludf.DUMMYFUNCTION("""COMPUTED_VALUE"""),3428.0)</f>
        <v>3428</v>
      </c>
      <c r="S74" s="329">
        <f>IFERROR(__xludf.DUMMYFUNCTION("""COMPUTED_VALUE"""),0.0)</f>
        <v>0</v>
      </c>
      <c r="T74" s="329">
        <f>IFERROR(__xludf.DUMMYFUNCTION("""COMPUTED_VALUE"""),461.0)</f>
        <v>461</v>
      </c>
      <c r="U74" s="329">
        <f>IFERROR(__xludf.DUMMYFUNCTION("""COMPUTED_VALUE"""),426.0)</f>
        <v>426</v>
      </c>
      <c r="V74" s="329">
        <f>IFERROR(__xludf.DUMMYFUNCTION("""COMPUTED_VALUE"""),392.0)</f>
        <v>392</v>
      </c>
      <c r="W74" s="329">
        <f>IFERROR(__xludf.DUMMYFUNCTION("""COMPUTED_VALUE"""),42.0)</f>
        <v>42</v>
      </c>
      <c r="X74" s="329">
        <f>IFERROR(__xludf.DUMMYFUNCTION("""COMPUTED_VALUE"""),19.0)</f>
        <v>19</v>
      </c>
      <c r="Y74" s="329">
        <f>IFERROR(__xludf.DUMMYFUNCTION("""COMPUTED_VALUE"""),12.0)</f>
        <v>12</v>
      </c>
      <c r="Z74" s="329">
        <f>IFERROR(__xludf.DUMMYFUNCTION("""COMPUTED_VALUE"""),1356.0)</f>
        <v>1356</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IFERROR(__xludf.DUMMYFUNCTION("""COMPUTED_VALUE"""),44159.0)</f>
        <v>44159</v>
      </c>
      <c r="B75" s="329">
        <f>IFERROR(__xludf.DUMMYFUNCTION("""COMPUTED_VALUE"""),1054.0)</f>
        <v>1054</v>
      </c>
      <c r="C75" s="329">
        <f>IFERROR(__xludf.DUMMYFUNCTION("""COMPUTED_VALUE"""),875.0)</f>
        <v>875</v>
      </c>
      <c r="D75" s="329">
        <f>IFERROR(__xludf.DUMMYFUNCTION("""COMPUTED_VALUE"""),65760.0)</f>
        <v>65760</v>
      </c>
      <c r="E75" s="329">
        <f>IFERROR(__xludf.DUMMYFUNCTION("""COMPUTED_VALUE"""),14581.0)</f>
        <v>14581</v>
      </c>
      <c r="F75" s="258">
        <f>IFERROR(__xludf.DUMMYFUNCTION("""COMPUTED_VALUE"""),1427708.0)</f>
        <v>1427708</v>
      </c>
      <c r="G75" s="258">
        <f>IFERROR(__xludf.DUMMYFUNCTION("""COMPUTED_VALUE"""),15635.0)</f>
        <v>15635</v>
      </c>
      <c r="H75" s="258">
        <f>IFERROR(__xludf.DUMMYFUNCTION("""COMPUTED_VALUE"""),1493468.0)</f>
        <v>1493468</v>
      </c>
      <c r="I75" s="329">
        <f>IFERROR(__xludf.DUMMYFUNCTION("""COMPUTED_VALUE"""),950.0)</f>
        <v>950</v>
      </c>
      <c r="J75" s="329">
        <f>IFERROR(__xludf.DUMMYFUNCTION("""COMPUTED_VALUE"""),771.0)</f>
        <v>771</v>
      </c>
      <c r="K75" s="329">
        <f>IFERROR(__xludf.DUMMYFUNCTION("""COMPUTED_VALUE"""),52532.0)</f>
        <v>52532</v>
      </c>
      <c r="L75" s="329">
        <f>IFERROR(__xludf.DUMMYFUNCTION("""COMPUTED_VALUE"""),2571.0)</f>
        <v>2571</v>
      </c>
      <c r="M75" s="329">
        <f>IFERROR(__xludf.DUMMYFUNCTION("""COMPUTED_VALUE"""),425856.0)</f>
        <v>425856</v>
      </c>
      <c r="N75" s="329">
        <f>IFERROR(__xludf.DUMMYFUNCTION("""COMPUTED_VALUE"""),478388.0)</f>
        <v>478388</v>
      </c>
      <c r="O75" s="329">
        <f>IFERROR(__xludf.DUMMYFUNCTION("""COMPUTED_VALUE"""),45.0)</f>
        <v>45</v>
      </c>
      <c r="P75" s="329">
        <f>IFERROR(__xludf.DUMMYFUNCTION("""COMPUTED_VALUE"""),4360.0)</f>
        <v>4360</v>
      </c>
      <c r="Q75" s="329">
        <f>IFERROR(__xludf.DUMMYFUNCTION("""COMPUTED_VALUE"""),59.0)</f>
        <v>59</v>
      </c>
      <c r="R75" s="329">
        <f>IFERROR(__xludf.DUMMYFUNCTION("""COMPUTED_VALUE"""),3487.0)</f>
        <v>3487</v>
      </c>
      <c r="S75" s="329">
        <f>IFERROR(__xludf.DUMMYFUNCTION("""COMPUTED_VALUE"""),6.0)</f>
        <v>6</v>
      </c>
      <c r="T75" s="329">
        <f>IFERROR(__xludf.DUMMYFUNCTION("""COMPUTED_VALUE"""),467.0)</f>
        <v>467</v>
      </c>
      <c r="U75" s="329">
        <f>IFERROR(__xludf.DUMMYFUNCTION("""COMPUTED_VALUE"""),406.0)</f>
        <v>406</v>
      </c>
      <c r="V75" s="329">
        <f>IFERROR(__xludf.DUMMYFUNCTION("""COMPUTED_VALUE"""),408.0)</f>
        <v>408</v>
      </c>
      <c r="W75" s="329">
        <f>IFERROR(__xludf.DUMMYFUNCTION("""COMPUTED_VALUE"""),43.0)</f>
        <v>43</v>
      </c>
      <c r="X75" s="329">
        <f>IFERROR(__xludf.DUMMYFUNCTION("""COMPUTED_VALUE"""),22.0)</f>
        <v>22</v>
      </c>
      <c r="Y75" s="329">
        <f>IFERROR(__xludf.DUMMYFUNCTION("""COMPUTED_VALUE"""),12.0)</f>
        <v>12</v>
      </c>
      <c r="Z75" s="329">
        <f>IFERROR(__xludf.DUMMYFUNCTION("""COMPUTED_VALUE"""),1368.0)</f>
        <v>1368</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IFERROR(__xludf.DUMMYFUNCTION("""COMPUTED_VALUE"""),44160.0)</f>
        <v>44160</v>
      </c>
      <c r="B76" s="329">
        <f>IFERROR(__xludf.DUMMYFUNCTION("""COMPUTED_VALUE"""),1269.0)</f>
        <v>1269</v>
      </c>
      <c r="C76" s="329">
        <f>IFERROR(__xludf.DUMMYFUNCTION("""COMPUTED_VALUE"""),1107.0)</f>
        <v>1107</v>
      </c>
      <c r="D76" s="329">
        <f>IFERROR(__xludf.DUMMYFUNCTION("""COMPUTED_VALUE"""),67029.0)</f>
        <v>67029</v>
      </c>
      <c r="E76" s="329">
        <f>IFERROR(__xludf.DUMMYFUNCTION("""COMPUTED_VALUE"""),18807.0)</f>
        <v>18807</v>
      </c>
      <c r="F76" s="258">
        <f>IFERROR(__xludf.DUMMYFUNCTION("""COMPUTED_VALUE"""),1446515.0)</f>
        <v>1446515</v>
      </c>
      <c r="G76" s="258">
        <f>IFERROR(__xludf.DUMMYFUNCTION("""COMPUTED_VALUE"""),20076.0)</f>
        <v>20076</v>
      </c>
      <c r="H76" s="258">
        <f>IFERROR(__xludf.DUMMYFUNCTION("""COMPUTED_VALUE"""),1513544.0)</f>
        <v>1513544</v>
      </c>
      <c r="I76" s="329">
        <f>IFERROR(__xludf.DUMMYFUNCTION("""COMPUTED_VALUE"""),1210.0)</f>
        <v>1210</v>
      </c>
      <c r="J76" s="329">
        <f>IFERROR(__xludf.DUMMYFUNCTION("""COMPUTED_VALUE"""),1022.0)</f>
        <v>1022</v>
      </c>
      <c r="K76" s="329">
        <f>IFERROR(__xludf.DUMMYFUNCTION("""COMPUTED_VALUE"""),53742.0)</f>
        <v>53742</v>
      </c>
      <c r="L76" s="329">
        <f>IFERROR(__xludf.DUMMYFUNCTION("""COMPUTED_VALUE"""),3223.0)</f>
        <v>3223</v>
      </c>
      <c r="M76" s="329">
        <f>IFERROR(__xludf.DUMMYFUNCTION("""COMPUTED_VALUE"""),429079.0)</f>
        <v>429079</v>
      </c>
      <c r="N76" s="329">
        <f>IFERROR(__xludf.DUMMYFUNCTION("""COMPUTED_VALUE"""),482821.0)</f>
        <v>482821</v>
      </c>
      <c r="O76" s="329">
        <f>IFERROR(__xludf.DUMMYFUNCTION("""COMPUTED_VALUE"""),59.0)</f>
        <v>59</v>
      </c>
      <c r="P76" s="329">
        <f>IFERROR(__xludf.DUMMYFUNCTION("""COMPUTED_VALUE"""),4419.0)</f>
        <v>4419</v>
      </c>
      <c r="Q76" s="329">
        <f>IFERROR(__xludf.DUMMYFUNCTION("""COMPUTED_VALUE"""),59.0)</f>
        <v>59</v>
      </c>
      <c r="R76" s="329">
        <f>IFERROR(__xludf.DUMMYFUNCTION("""COMPUTED_VALUE"""),3546.0)</f>
        <v>3546</v>
      </c>
      <c r="S76" s="329">
        <f>IFERROR(__xludf.DUMMYFUNCTION("""COMPUTED_VALUE"""),4.0)</f>
        <v>4</v>
      </c>
      <c r="T76" s="329">
        <f>IFERROR(__xludf.DUMMYFUNCTION("""COMPUTED_VALUE"""),471.0)</f>
        <v>471</v>
      </c>
      <c r="U76" s="329">
        <f>IFERROR(__xludf.DUMMYFUNCTION("""COMPUTED_VALUE"""),402.0)</f>
        <v>402</v>
      </c>
      <c r="V76" s="329">
        <f>IFERROR(__xludf.DUMMYFUNCTION("""COMPUTED_VALUE"""),411.0)</f>
        <v>411</v>
      </c>
      <c r="W76" s="329">
        <f>IFERROR(__xludf.DUMMYFUNCTION("""COMPUTED_VALUE"""),44.0)</f>
        <v>44</v>
      </c>
      <c r="X76" s="329">
        <f>IFERROR(__xludf.DUMMYFUNCTION("""COMPUTED_VALUE"""),26.0)</f>
        <v>26</v>
      </c>
      <c r="Y76" s="329">
        <f>IFERROR(__xludf.DUMMYFUNCTION("""COMPUTED_VALUE"""),7.0)</f>
        <v>7</v>
      </c>
      <c r="Z76" s="329">
        <f>IFERROR(__xludf.DUMMYFUNCTION("""COMPUTED_VALUE"""),1375.0)</f>
        <v>1375</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IFERROR(__xludf.DUMMYFUNCTION("""COMPUTED_VALUE"""),44161.0)</f>
        <v>44161</v>
      </c>
      <c r="B77" s="329">
        <f>IFERROR(__xludf.DUMMYFUNCTION("""COMPUTED_VALUE"""),553.0)</f>
        <v>553</v>
      </c>
      <c r="C77" s="329">
        <f>IFERROR(__xludf.DUMMYFUNCTION("""COMPUTED_VALUE"""),959.0)</f>
        <v>959</v>
      </c>
      <c r="D77" s="329">
        <f>IFERROR(__xludf.DUMMYFUNCTION("""COMPUTED_VALUE"""),67582.0)</f>
        <v>67582</v>
      </c>
      <c r="E77" s="329">
        <f>IFERROR(__xludf.DUMMYFUNCTION("""COMPUTED_VALUE"""),6489.0)</f>
        <v>6489</v>
      </c>
      <c r="F77" s="258">
        <f>IFERROR(__xludf.DUMMYFUNCTION("""COMPUTED_VALUE"""),1453004.0)</f>
        <v>1453004</v>
      </c>
      <c r="G77" s="258">
        <f>IFERROR(__xludf.DUMMYFUNCTION("""COMPUTED_VALUE"""),7042.0)</f>
        <v>7042</v>
      </c>
      <c r="H77" s="258">
        <f>IFERROR(__xludf.DUMMYFUNCTION("""COMPUTED_VALUE"""),1520586.0)</f>
        <v>1520586</v>
      </c>
      <c r="I77" s="329">
        <f>IFERROR(__xludf.DUMMYFUNCTION("""COMPUTED_VALUE"""),415.0)</f>
        <v>415</v>
      </c>
      <c r="J77" s="329">
        <f>IFERROR(__xludf.DUMMYFUNCTION("""COMPUTED_VALUE"""),858.0)</f>
        <v>858</v>
      </c>
      <c r="K77" s="329">
        <f>IFERROR(__xludf.DUMMYFUNCTION("""COMPUTED_VALUE"""),54157.0)</f>
        <v>54157</v>
      </c>
      <c r="L77" s="329">
        <f>IFERROR(__xludf.DUMMYFUNCTION("""COMPUTED_VALUE"""),1427.0)</f>
        <v>1427</v>
      </c>
      <c r="M77" s="329">
        <f>IFERROR(__xludf.DUMMYFUNCTION("""COMPUTED_VALUE"""),430506.0)</f>
        <v>430506</v>
      </c>
      <c r="N77" s="329">
        <f>IFERROR(__xludf.DUMMYFUNCTION("""COMPUTED_VALUE"""),484663.0)</f>
        <v>484663</v>
      </c>
      <c r="O77" s="329">
        <f>IFERROR(__xludf.DUMMYFUNCTION("""COMPUTED_VALUE"""),50.0)</f>
        <v>50</v>
      </c>
      <c r="P77" s="329">
        <f>IFERROR(__xludf.DUMMYFUNCTION("""COMPUTED_VALUE"""),4469.0)</f>
        <v>4469</v>
      </c>
      <c r="Q77" s="329">
        <f>IFERROR(__xludf.DUMMYFUNCTION("""COMPUTED_VALUE"""),34.0)</f>
        <v>34</v>
      </c>
      <c r="R77" s="329">
        <f>IFERROR(__xludf.DUMMYFUNCTION("""COMPUTED_VALUE"""),3580.0)</f>
        <v>3580</v>
      </c>
      <c r="S77" s="329">
        <f>IFERROR(__xludf.DUMMYFUNCTION("""COMPUTED_VALUE"""),4.0)</f>
        <v>4</v>
      </c>
      <c r="T77" s="329">
        <f>IFERROR(__xludf.DUMMYFUNCTION("""COMPUTED_VALUE"""),475.0)</f>
        <v>475</v>
      </c>
      <c r="U77" s="329">
        <f>IFERROR(__xludf.DUMMYFUNCTION("""COMPUTED_VALUE"""),414.0)</f>
        <v>414</v>
      </c>
      <c r="V77" s="329">
        <f>IFERROR(__xludf.DUMMYFUNCTION("""COMPUTED_VALUE"""),407.0)</f>
        <v>407</v>
      </c>
      <c r="W77" s="329">
        <f>IFERROR(__xludf.DUMMYFUNCTION("""COMPUTED_VALUE"""),47.0)</f>
        <v>47</v>
      </c>
      <c r="X77" s="329">
        <f>IFERROR(__xludf.DUMMYFUNCTION("""COMPUTED_VALUE"""),25.0)</f>
        <v>25</v>
      </c>
      <c r="Y77" s="329">
        <f>IFERROR(__xludf.DUMMYFUNCTION("""COMPUTED_VALUE"""),12.0)</f>
        <v>12</v>
      </c>
      <c r="Z77" s="329">
        <f>IFERROR(__xludf.DUMMYFUNCTION("""COMPUTED_VALUE"""),1387.0)</f>
        <v>1387</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IFERROR(__xludf.DUMMYFUNCTION("""COMPUTED_VALUE"""),44162.0)</f>
        <v>44162</v>
      </c>
      <c r="B78" s="329">
        <f>IFERROR(__xludf.DUMMYFUNCTION("""COMPUTED_VALUE"""),1044.0)</f>
        <v>1044</v>
      </c>
      <c r="C78" s="329">
        <f>IFERROR(__xludf.DUMMYFUNCTION("""COMPUTED_VALUE"""),955.0)</f>
        <v>955</v>
      </c>
      <c r="D78" s="329">
        <f>IFERROR(__xludf.DUMMYFUNCTION("""COMPUTED_VALUE"""),68626.0)</f>
        <v>68626</v>
      </c>
      <c r="E78" s="329">
        <f>IFERROR(__xludf.DUMMYFUNCTION("""COMPUTED_VALUE"""),9727.0)</f>
        <v>9727</v>
      </c>
      <c r="F78" s="258">
        <f>IFERROR(__xludf.DUMMYFUNCTION("""COMPUTED_VALUE"""),1462731.0)</f>
        <v>1462731</v>
      </c>
      <c r="G78" s="258">
        <f>IFERROR(__xludf.DUMMYFUNCTION("""COMPUTED_VALUE"""),10771.0)</f>
        <v>10771</v>
      </c>
      <c r="H78" s="258">
        <f>IFERROR(__xludf.DUMMYFUNCTION("""COMPUTED_VALUE"""),1531357.0)</f>
        <v>1531357</v>
      </c>
      <c r="I78" s="329">
        <f>IFERROR(__xludf.DUMMYFUNCTION("""COMPUTED_VALUE"""),981.0)</f>
        <v>981</v>
      </c>
      <c r="J78" s="329">
        <f>IFERROR(__xludf.DUMMYFUNCTION("""COMPUTED_VALUE"""),869.0)</f>
        <v>869</v>
      </c>
      <c r="K78" s="329">
        <f>IFERROR(__xludf.DUMMYFUNCTION("""COMPUTED_VALUE"""),55138.0)</f>
        <v>55138</v>
      </c>
      <c r="L78" s="329">
        <f>IFERROR(__xludf.DUMMYFUNCTION("""COMPUTED_VALUE"""),2371.0)</f>
        <v>2371</v>
      </c>
      <c r="M78" s="329">
        <f>IFERROR(__xludf.DUMMYFUNCTION("""COMPUTED_VALUE"""),432877.0)</f>
        <v>432877</v>
      </c>
      <c r="N78" s="329">
        <f>IFERROR(__xludf.DUMMYFUNCTION("""COMPUTED_VALUE"""),488015.0)</f>
        <v>488015</v>
      </c>
      <c r="O78" s="329">
        <f>IFERROR(__xludf.DUMMYFUNCTION("""COMPUTED_VALUE"""),52.0)</f>
        <v>52</v>
      </c>
      <c r="P78" s="329">
        <f>IFERROR(__xludf.DUMMYFUNCTION("""COMPUTED_VALUE"""),4521.0)</f>
        <v>4521</v>
      </c>
      <c r="Q78" s="329">
        <f>IFERROR(__xludf.DUMMYFUNCTION("""COMPUTED_VALUE"""),47.0)</f>
        <v>47</v>
      </c>
      <c r="R78" s="329">
        <f>IFERROR(__xludf.DUMMYFUNCTION("""COMPUTED_VALUE"""),3627.0)</f>
        <v>3627</v>
      </c>
      <c r="S78" s="329">
        <f>IFERROR(__xludf.DUMMYFUNCTION("""COMPUTED_VALUE"""),7.0)</f>
        <v>7</v>
      </c>
      <c r="T78" s="329">
        <f>IFERROR(__xludf.DUMMYFUNCTION("""COMPUTED_VALUE"""),482.0)</f>
        <v>482</v>
      </c>
      <c r="U78" s="329">
        <f>IFERROR(__xludf.DUMMYFUNCTION("""COMPUTED_VALUE"""),412.0)</f>
        <v>412</v>
      </c>
      <c r="V78" s="329">
        <f>IFERROR(__xludf.DUMMYFUNCTION("""COMPUTED_VALUE"""),409.0)</f>
        <v>409</v>
      </c>
      <c r="W78" s="329">
        <f>IFERROR(__xludf.DUMMYFUNCTION("""COMPUTED_VALUE"""),48.0)</f>
        <v>48</v>
      </c>
      <c r="X78" s="329">
        <f>IFERROR(__xludf.DUMMYFUNCTION("""COMPUTED_VALUE"""),22.0)</f>
        <v>22</v>
      </c>
      <c r="Y78" s="329">
        <f>IFERROR(__xludf.DUMMYFUNCTION("""COMPUTED_VALUE"""),9.0)</f>
        <v>9</v>
      </c>
      <c r="Z78" s="329">
        <f>IFERROR(__xludf.DUMMYFUNCTION("""COMPUTED_VALUE"""),1396.0)</f>
        <v>1396</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IFERROR(__xludf.DUMMYFUNCTION("""COMPUTED_VALUE"""),44163.0)</f>
        <v>44163</v>
      </c>
      <c r="B79" s="329">
        <f>IFERROR(__xludf.DUMMYFUNCTION("""COMPUTED_VALUE"""),1192.0)</f>
        <v>1192</v>
      </c>
      <c r="C79" s="329">
        <f>IFERROR(__xludf.DUMMYFUNCTION("""COMPUTED_VALUE"""),930.0)</f>
        <v>930</v>
      </c>
      <c r="D79" s="329">
        <f>IFERROR(__xludf.DUMMYFUNCTION("""COMPUTED_VALUE"""),69818.0)</f>
        <v>69818</v>
      </c>
      <c r="E79" s="329">
        <f>IFERROR(__xludf.DUMMYFUNCTION("""COMPUTED_VALUE"""),11963.0)</f>
        <v>11963</v>
      </c>
      <c r="F79" s="258">
        <f>IFERROR(__xludf.DUMMYFUNCTION("""COMPUTED_VALUE"""),1474694.0)</f>
        <v>1474694</v>
      </c>
      <c r="G79" s="258">
        <f>IFERROR(__xludf.DUMMYFUNCTION("""COMPUTED_VALUE"""),13155.0)</f>
        <v>13155</v>
      </c>
      <c r="H79" s="258">
        <f>IFERROR(__xludf.DUMMYFUNCTION("""COMPUTED_VALUE"""),1544512.0)</f>
        <v>1544512</v>
      </c>
      <c r="I79" s="329">
        <f>IFERROR(__xludf.DUMMYFUNCTION("""COMPUTED_VALUE"""),1083.0)</f>
        <v>1083</v>
      </c>
      <c r="J79" s="329">
        <f>IFERROR(__xludf.DUMMYFUNCTION("""COMPUTED_VALUE"""),826.0)</f>
        <v>826</v>
      </c>
      <c r="K79" s="329">
        <f>IFERROR(__xludf.DUMMYFUNCTION("""COMPUTED_VALUE"""),56221.0)</f>
        <v>56221</v>
      </c>
      <c r="L79" s="329">
        <f>IFERROR(__xludf.DUMMYFUNCTION("""COMPUTED_VALUE"""),2655.0)</f>
        <v>2655</v>
      </c>
      <c r="M79" s="329">
        <f>IFERROR(__xludf.DUMMYFUNCTION("""COMPUTED_VALUE"""),435532.0)</f>
        <v>435532</v>
      </c>
      <c r="N79" s="329">
        <f>IFERROR(__xludf.DUMMYFUNCTION("""COMPUTED_VALUE"""),491753.0)</f>
        <v>491753</v>
      </c>
      <c r="O79" s="329">
        <f>IFERROR(__xludf.DUMMYFUNCTION("""COMPUTED_VALUE"""),64.0)</f>
        <v>64</v>
      </c>
      <c r="P79" s="329">
        <f>IFERROR(__xludf.DUMMYFUNCTION("""COMPUTED_VALUE"""),4585.0)</f>
        <v>4585</v>
      </c>
      <c r="Q79" s="329">
        <f>IFERROR(__xludf.DUMMYFUNCTION("""COMPUTED_VALUE"""),38.0)</f>
        <v>38</v>
      </c>
      <c r="R79" s="329">
        <f>IFERROR(__xludf.DUMMYFUNCTION("""COMPUTED_VALUE"""),3665.0)</f>
        <v>3665</v>
      </c>
      <c r="S79" s="329">
        <f>IFERROR(__xludf.DUMMYFUNCTION("""COMPUTED_VALUE"""),0.0)</f>
        <v>0</v>
      </c>
      <c r="T79" s="329">
        <f>IFERROR(__xludf.DUMMYFUNCTION("""COMPUTED_VALUE"""),482.0)</f>
        <v>482</v>
      </c>
      <c r="U79" s="329">
        <f>IFERROR(__xludf.DUMMYFUNCTION("""COMPUTED_VALUE"""),438.0)</f>
        <v>438</v>
      </c>
      <c r="V79" s="329">
        <f>IFERROR(__xludf.DUMMYFUNCTION("""COMPUTED_VALUE"""),421.0)</f>
        <v>421</v>
      </c>
      <c r="W79" s="329">
        <f>IFERROR(__xludf.DUMMYFUNCTION("""COMPUTED_VALUE"""),49.0)</f>
        <v>49</v>
      </c>
      <c r="X79" s="329">
        <f>IFERROR(__xludf.DUMMYFUNCTION("""COMPUTED_VALUE"""),22.0)</f>
        <v>22</v>
      </c>
      <c r="Y79" s="329">
        <f>IFERROR(__xludf.DUMMYFUNCTION("""COMPUTED_VALUE"""),4.0)</f>
        <v>4</v>
      </c>
      <c r="Z79" s="329">
        <f>IFERROR(__xludf.DUMMYFUNCTION("""COMPUTED_VALUE"""),1400.0)</f>
        <v>1400</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IFERROR(__xludf.DUMMYFUNCTION("""COMPUTED_VALUE"""),44164.0)</f>
        <v>44164</v>
      </c>
      <c r="B80" s="329">
        <f>IFERROR(__xludf.DUMMYFUNCTION("""COMPUTED_VALUE"""),828.0)</f>
        <v>828</v>
      </c>
      <c r="C80" s="329">
        <f>IFERROR(__xludf.DUMMYFUNCTION("""COMPUTED_VALUE"""),1021.0)</f>
        <v>1021</v>
      </c>
      <c r="D80" s="329">
        <f>IFERROR(__xludf.DUMMYFUNCTION("""COMPUTED_VALUE"""),70646.0)</f>
        <v>70646</v>
      </c>
      <c r="E80" s="329">
        <f>IFERROR(__xludf.DUMMYFUNCTION("""COMPUTED_VALUE"""),6935.0)</f>
        <v>6935</v>
      </c>
      <c r="F80" s="258">
        <f>IFERROR(__xludf.DUMMYFUNCTION("""COMPUTED_VALUE"""),1481629.0)</f>
        <v>1481629</v>
      </c>
      <c r="G80" s="258">
        <f>IFERROR(__xludf.DUMMYFUNCTION("""COMPUTED_VALUE"""),7763.0)</f>
        <v>7763</v>
      </c>
      <c r="H80" s="258">
        <f>IFERROR(__xludf.DUMMYFUNCTION("""COMPUTED_VALUE"""),1552275.0)</f>
        <v>1552275</v>
      </c>
      <c r="I80" s="329">
        <f>IFERROR(__xludf.DUMMYFUNCTION("""COMPUTED_VALUE"""),759.0)</f>
        <v>759</v>
      </c>
      <c r="J80" s="329">
        <f>IFERROR(__xludf.DUMMYFUNCTION("""COMPUTED_VALUE"""),941.0)</f>
        <v>941</v>
      </c>
      <c r="K80" s="329">
        <f>IFERROR(__xludf.DUMMYFUNCTION("""COMPUTED_VALUE"""),56980.0)</f>
        <v>56980</v>
      </c>
      <c r="L80" s="329">
        <f>IFERROR(__xludf.DUMMYFUNCTION("""COMPUTED_VALUE"""),2192.0)</f>
        <v>2192</v>
      </c>
      <c r="M80" s="329">
        <f>IFERROR(__xludf.DUMMYFUNCTION("""COMPUTED_VALUE"""),437724.0)</f>
        <v>437724</v>
      </c>
      <c r="N80" s="329">
        <f>IFERROR(__xludf.DUMMYFUNCTION("""COMPUTED_VALUE"""),494704.0)</f>
        <v>494704</v>
      </c>
      <c r="O80" s="329">
        <f>IFERROR(__xludf.DUMMYFUNCTION("""COMPUTED_VALUE"""),62.0)</f>
        <v>62</v>
      </c>
      <c r="P80" s="329">
        <f>IFERROR(__xludf.DUMMYFUNCTION("""COMPUTED_VALUE"""),4647.0)</f>
        <v>4647</v>
      </c>
      <c r="Q80" s="329">
        <f>IFERROR(__xludf.DUMMYFUNCTION("""COMPUTED_VALUE"""),35.0)</f>
        <v>35</v>
      </c>
      <c r="R80" s="329">
        <f>IFERROR(__xludf.DUMMYFUNCTION("""COMPUTED_VALUE"""),3700.0)</f>
        <v>3700</v>
      </c>
      <c r="S80" s="329">
        <f>IFERROR(__xludf.DUMMYFUNCTION("""COMPUTED_VALUE"""),3.0)</f>
        <v>3</v>
      </c>
      <c r="T80" s="329">
        <f>IFERROR(__xludf.DUMMYFUNCTION("""COMPUTED_VALUE"""),485.0)</f>
        <v>485</v>
      </c>
      <c r="U80" s="329">
        <f>IFERROR(__xludf.DUMMYFUNCTION("""COMPUTED_VALUE"""),462.0)</f>
        <v>462</v>
      </c>
      <c r="V80" s="329">
        <f>IFERROR(__xludf.DUMMYFUNCTION("""COMPUTED_VALUE"""),437.0)</f>
        <v>437</v>
      </c>
      <c r="W80" s="329">
        <f>IFERROR(__xludf.DUMMYFUNCTION("""COMPUTED_VALUE"""),50.0)</f>
        <v>50</v>
      </c>
      <c r="X80" s="329">
        <f>IFERROR(__xludf.DUMMYFUNCTION("""COMPUTED_VALUE"""),24.0)</f>
        <v>24</v>
      </c>
      <c r="Y80" s="329">
        <f>IFERROR(__xludf.DUMMYFUNCTION("""COMPUTED_VALUE"""),9.0)</f>
        <v>9</v>
      </c>
      <c r="Z80" s="329">
        <f>IFERROR(__xludf.DUMMYFUNCTION("""COMPUTED_VALUE"""),1409.0)</f>
        <v>1409</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IFERROR(__xludf.DUMMYFUNCTION("""COMPUTED_VALUE"""),44165.0)</f>
        <v>44165</v>
      </c>
      <c r="B81" s="329">
        <f>IFERROR(__xludf.DUMMYFUNCTION("""COMPUTED_VALUE"""),1294.0)</f>
        <v>1294</v>
      </c>
      <c r="C81" s="329">
        <f>IFERROR(__xludf.DUMMYFUNCTION("""COMPUTED_VALUE"""),1105.0)</f>
        <v>1105</v>
      </c>
      <c r="D81" s="329">
        <f>IFERROR(__xludf.DUMMYFUNCTION("""COMPUTED_VALUE"""),71940.0)</f>
        <v>71940</v>
      </c>
      <c r="E81" s="329">
        <f>IFERROR(__xludf.DUMMYFUNCTION("""COMPUTED_VALUE"""),9934.0)</f>
        <v>9934</v>
      </c>
      <c r="F81" s="258">
        <f>IFERROR(__xludf.DUMMYFUNCTION("""COMPUTED_VALUE"""),1491563.0)</f>
        <v>1491563</v>
      </c>
      <c r="G81" s="258">
        <f>IFERROR(__xludf.DUMMYFUNCTION("""COMPUTED_VALUE"""),11228.0)</f>
        <v>11228</v>
      </c>
      <c r="H81" s="258">
        <f>IFERROR(__xludf.DUMMYFUNCTION("""COMPUTED_VALUE"""),1563503.0)</f>
        <v>1563503</v>
      </c>
      <c r="I81" s="329">
        <f>IFERROR(__xludf.DUMMYFUNCTION("""COMPUTED_VALUE"""),1184.0)</f>
        <v>1184</v>
      </c>
      <c r="J81" s="329">
        <f>IFERROR(__xludf.DUMMYFUNCTION("""COMPUTED_VALUE"""),1009.0)</f>
        <v>1009</v>
      </c>
      <c r="K81" s="329">
        <f>IFERROR(__xludf.DUMMYFUNCTION("""COMPUTED_VALUE"""),58164.0)</f>
        <v>58164</v>
      </c>
      <c r="L81" s="329">
        <f>IFERROR(__xludf.DUMMYFUNCTION("""COMPUTED_VALUE"""),2625.0)</f>
        <v>2625</v>
      </c>
      <c r="M81" s="329">
        <f>IFERROR(__xludf.DUMMYFUNCTION("""COMPUTED_VALUE"""),440349.0)</f>
        <v>440349</v>
      </c>
      <c r="N81" s="329">
        <f>IFERROR(__xludf.DUMMYFUNCTION("""COMPUTED_VALUE"""),498513.0)</f>
        <v>498513</v>
      </c>
      <c r="O81" s="329">
        <f>IFERROR(__xludf.DUMMYFUNCTION("""COMPUTED_VALUE"""),66.0)</f>
        <v>66</v>
      </c>
      <c r="P81" s="329">
        <f>IFERROR(__xludf.DUMMYFUNCTION("""COMPUTED_VALUE"""),4713.0)</f>
        <v>4713</v>
      </c>
      <c r="Q81" s="329">
        <f>IFERROR(__xludf.DUMMYFUNCTION("""COMPUTED_VALUE"""),58.0)</f>
        <v>58</v>
      </c>
      <c r="R81" s="329">
        <f>IFERROR(__xludf.DUMMYFUNCTION("""COMPUTED_VALUE"""),3758.0)</f>
        <v>3758</v>
      </c>
      <c r="S81" s="329">
        <f>IFERROR(__xludf.DUMMYFUNCTION("""COMPUTED_VALUE"""),2.0)</f>
        <v>2</v>
      </c>
      <c r="T81" s="329">
        <f>IFERROR(__xludf.DUMMYFUNCTION("""COMPUTED_VALUE"""),487.0)</f>
        <v>487</v>
      </c>
      <c r="U81" s="329">
        <f>IFERROR(__xludf.DUMMYFUNCTION("""COMPUTED_VALUE"""),468.0)</f>
        <v>468</v>
      </c>
      <c r="V81" s="329">
        <f>IFERROR(__xludf.DUMMYFUNCTION("""COMPUTED_VALUE"""),456.0)</f>
        <v>456</v>
      </c>
      <c r="W81" s="329">
        <f>IFERROR(__xludf.DUMMYFUNCTION("""COMPUTED_VALUE"""),53.0)</f>
        <v>53</v>
      </c>
      <c r="X81" s="329">
        <f>IFERROR(__xludf.DUMMYFUNCTION("""COMPUTED_VALUE"""),30.0)</f>
        <v>30</v>
      </c>
      <c r="Y81" s="329">
        <f>IFERROR(__xludf.DUMMYFUNCTION("""COMPUTED_VALUE"""),7.0)</f>
        <v>7</v>
      </c>
      <c r="Z81" s="329">
        <f>IFERROR(__xludf.DUMMYFUNCTION("""COMPUTED_VALUE"""),1416.0)</f>
        <v>1416</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IFERROR(__xludf.DUMMYFUNCTION("""COMPUTED_VALUE"""),44166.0)</f>
        <v>44166</v>
      </c>
      <c r="B82" s="329">
        <f>IFERROR(__xludf.DUMMYFUNCTION("""COMPUTED_VALUE"""),1567.0)</f>
        <v>1567</v>
      </c>
      <c r="C82" s="329">
        <f>IFERROR(__xludf.DUMMYFUNCTION("""COMPUTED_VALUE"""),1230.0)</f>
        <v>1230</v>
      </c>
      <c r="D82" s="329">
        <f>IFERROR(__xludf.DUMMYFUNCTION("""COMPUTED_VALUE"""),73507.0)</f>
        <v>73507</v>
      </c>
      <c r="E82" s="329">
        <f>IFERROR(__xludf.DUMMYFUNCTION("""COMPUTED_VALUE"""),14023.0)</f>
        <v>14023</v>
      </c>
      <c r="F82" s="258">
        <f>IFERROR(__xludf.DUMMYFUNCTION("""COMPUTED_VALUE"""),1505586.0)</f>
        <v>1505586</v>
      </c>
      <c r="G82" s="258">
        <f>IFERROR(__xludf.DUMMYFUNCTION("""COMPUTED_VALUE"""),15590.0)</f>
        <v>15590</v>
      </c>
      <c r="H82" s="258">
        <f>IFERROR(__xludf.DUMMYFUNCTION("""COMPUTED_VALUE"""),1579093.0)</f>
        <v>1579093</v>
      </c>
      <c r="I82" s="329">
        <f>IFERROR(__xludf.DUMMYFUNCTION("""COMPUTED_VALUE"""),1447.0)</f>
        <v>1447</v>
      </c>
      <c r="J82" s="329">
        <f>IFERROR(__xludf.DUMMYFUNCTION("""COMPUTED_VALUE"""),1130.0)</f>
        <v>1130</v>
      </c>
      <c r="K82" s="329">
        <f>IFERROR(__xludf.DUMMYFUNCTION("""COMPUTED_VALUE"""),59611.0)</f>
        <v>59611</v>
      </c>
      <c r="L82" s="329">
        <f>IFERROR(__xludf.DUMMYFUNCTION("""COMPUTED_VALUE"""),3209.0)</f>
        <v>3209</v>
      </c>
      <c r="M82" s="329">
        <f>IFERROR(__xludf.DUMMYFUNCTION("""COMPUTED_VALUE"""),443558.0)</f>
        <v>443558</v>
      </c>
      <c r="N82" s="329">
        <f>IFERROR(__xludf.DUMMYFUNCTION("""COMPUTED_VALUE"""),503169.0)</f>
        <v>503169</v>
      </c>
      <c r="O82" s="329">
        <f>IFERROR(__xludf.DUMMYFUNCTION("""COMPUTED_VALUE"""),62.0)</f>
        <v>62</v>
      </c>
      <c r="P82" s="329">
        <f>IFERROR(__xludf.DUMMYFUNCTION("""COMPUTED_VALUE"""),4775.0)</f>
        <v>4775</v>
      </c>
      <c r="Q82" s="329">
        <f>IFERROR(__xludf.DUMMYFUNCTION("""COMPUTED_VALUE"""),55.0)</f>
        <v>55</v>
      </c>
      <c r="R82" s="329">
        <f>IFERROR(__xludf.DUMMYFUNCTION("""COMPUTED_VALUE"""),3813.0)</f>
        <v>3813</v>
      </c>
      <c r="S82" s="329">
        <f>IFERROR(__xludf.DUMMYFUNCTION("""COMPUTED_VALUE"""),4.0)</f>
        <v>4</v>
      </c>
      <c r="T82" s="329">
        <f>IFERROR(__xludf.DUMMYFUNCTION("""COMPUTED_VALUE"""),491.0)</f>
        <v>491</v>
      </c>
      <c r="U82" s="329">
        <f>IFERROR(__xludf.DUMMYFUNCTION("""COMPUTED_VALUE"""),471.0)</f>
        <v>471</v>
      </c>
      <c r="V82" s="329">
        <f>IFERROR(__xludf.DUMMYFUNCTION("""COMPUTED_VALUE"""),467.0)</f>
        <v>467</v>
      </c>
      <c r="W82" s="329">
        <f>IFERROR(__xludf.DUMMYFUNCTION("""COMPUTED_VALUE"""),52.0)</f>
        <v>52</v>
      </c>
      <c r="X82" s="329">
        <f>IFERROR(__xludf.DUMMYFUNCTION("""COMPUTED_VALUE"""),31.0)</f>
        <v>31</v>
      </c>
      <c r="Y82" s="329">
        <f>IFERROR(__xludf.DUMMYFUNCTION("""COMPUTED_VALUE"""),13.0)</f>
        <v>13</v>
      </c>
      <c r="Z82" s="329">
        <f>IFERROR(__xludf.DUMMYFUNCTION("""COMPUTED_VALUE"""),1429.0)</f>
        <v>1429</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IFERROR(__xludf.DUMMYFUNCTION("""COMPUTED_VALUE"""),44167.0)</f>
        <v>44167</v>
      </c>
      <c r="B83" s="329">
        <f>IFERROR(__xludf.DUMMYFUNCTION("""COMPUTED_VALUE"""),1572.0)</f>
        <v>1572</v>
      </c>
      <c r="C83" s="329">
        <f>IFERROR(__xludf.DUMMYFUNCTION("""COMPUTED_VALUE"""),1478.0)</f>
        <v>1478</v>
      </c>
      <c r="D83" s="329">
        <f>IFERROR(__xludf.DUMMYFUNCTION("""COMPUTED_VALUE"""),75079.0)</f>
        <v>75079</v>
      </c>
      <c r="E83" s="329">
        <f>IFERROR(__xludf.DUMMYFUNCTION("""COMPUTED_VALUE"""),15522.0)</f>
        <v>15522</v>
      </c>
      <c r="F83" s="258">
        <f>IFERROR(__xludf.DUMMYFUNCTION("""COMPUTED_VALUE"""),1521108.0)</f>
        <v>1521108</v>
      </c>
      <c r="G83" s="258">
        <f>IFERROR(__xludf.DUMMYFUNCTION("""COMPUTED_VALUE"""),17094.0)</f>
        <v>17094</v>
      </c>
      <c r="H83" s="258">
        <f>IFERROR(__xludf.DUMMYFUNCTION("""COMPUTED_VALUE"""),1596187.0)</f>
        <v>1596187</v>
      </c>
      <c r="I83" s="329">
        <f>IFERROR(__xludf.DUMMYFUNCTION("""COMPUTED_VALUE"""),1471.0)</f>
        <v>1471</v>
      </c>
      <c r="J83" s="329">
        <f>IFERROR(__xludf.DUMMYFUNCTION("""COMPUTED_VALUE"""),1367.0)</f>
        <v>1367</v>
      </c>
      <c r="K83" s="329">
        <f>IFERROR(__xludf.DUMMYFUNCTION("""COMPUTED_VALUE"""),61082.0)</f>
        <v>61082</v>
      </c>
      <c r="L83" s="329">
        <f>IFERROR(__xludf.DUMMYFUNCTION("""COMPUTED_VALUE"""),3042.0)</f>
        <v>3042</v>
      </c>
      <c r="M83" s="329">
        <f>IFERROR(__xludf.DUMMYFUNCTION("""COMPUTED_VALUE"""),446600.0)</f>
        <v>446600</v>
      </c>
      <c r="N83" s="329">
        <f>IFERROR(__xludf.DUMMYFUNCTION("""COMPUTED_VALUE"""),507682.0)</f>
        <v>507682</v>
      </c>
      <c r="O83" s="329">
        <f>IFERROR(__xludf.DUMMYFUNCTION("""COMPUTED_VALUE"""),55.0)</f>
        <v>55</v>
      </c>
      <c r="P83" s="329">
        <f>IFERROR(__xludf.DUMMYFUNCTION("""COMPUTED_VALUE"""),4830.0)</f>
        <v>4830</v>
      </c>
      <c r="Q83" s="329">
        <f>IFERROR(__xludf.DUMMYFUNCTION("""COMPUTED_VALUE"""),51.0)</f>
        <v>51</v>
      </c>
      <c r="R83" s="329">
        <f>IFERROR(__xludf.DUMMYFUNCTION("""COMPUTED_VALUE"""),3864.0)</f>
        <v>3864</v>
      </c>
      <c r="S83" s="329">
        <f>IFERROR(__xludf.DUMMYFUNCTION("""COMPUTED_VALUE"""),7.0)</f>
        <v>7</v>
      </c>
      <c r="T83" s="329">
        <f>IFERROR(__xludf.DUMMYFUNCTION("""COMPUTED_VALUE"""),498.0)</f>
        <v>498</v>
      </c>
      <c r="U83" s="329">
        <f>IFERROR(__xludf.DUMMYFUNCTION("""COMPUTED_VALUE"""),468.0)</f>
        <v>468</v>
      </c>
      <c r="V83" s="329">
        <f>IFERROR(__xludf.DUMMYFUNCTION("""COMPUTED_VALUE"""),469.0)</f>
        <v>469</v>
      </c>
      <c r="W83" s="329">
        <f>IFERROR(__xludf.DUMMYFUNCTION("""COMPUTED_VALUE"""),53.0)</f>
        <v>53</v>
      </c>
      <c r="X83" s="329">
        <f>IFERROR(__xludf.DUMMYFUNCTION("""COMPUTED_VALUE"""),30.0)</f>
        <v>30</v>
      </c>
      <c r="Y83" s="329">
        <f>IFERROR(__xludf.DUMMYFUNCTION("""COMPUTED_VALUE"""),14.0)</f>
        <v>14</v>
      </c>
      <c r="Z83" s="329">
        <f>IFERROR(__xludf.DUMMYFUNCTION("""COMPUTED_VALUE"""),1443.0)</f>
        <v>1443</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IFERROR(__xludf.DUMMYFUNCTION("""COMPUTED_VALUE"""),44168.0)</f>
        <v>44168</v>
      </c>
      <c r="B84" s="329">
        <f>IFERROR(__xludf.DUMMYFUNCTION("""COMPUTED_VALUE"""),1776.0)</f>
        <v>1776</v>
      </c>
      <c r="C84" s="329">
        <f>IFERROR(__xludf.DUMMYFUNCTION("""COMPUTED_VALUE"""),1638.0)</f>
        <v>1638</v>
      </c>
      <c r="D84" s="329">
        <f>IFERROR(__xludf.DUMMYFUNCTION("""COMPUTED_VALUE"""),76855.0)</f>
        <v>76855</v>
      </c>
      <c r="E84" s="329">
        <f>IFERROR(__xludf.DUMMYFUNCTION("""COMPUTED_VALUE"""),14627.0)</f>
        <v>14627</v>
      </c>
      <c r="F84" s="258">
        <f>IFERROR(__xludf.DUMMYFUNCTION("""COMPUTED_VALUE"""),1535735.0)</f>
        <v>1535735</v>
      </c>
      <c r="G84" s="258">
        <f>IFERROR(__xludf.DUMMYFUNCTION("""COMPUTED_VALUE"""),16403.0)</f>
        <v>16403</v>
      </c>
      <c r="H84" s="258">
        <f>IFERROR(__xludf.DUMMYFUNCTION("""COMPUTED_VALUE"""),1612590.0)</f>
        <v>1612590</v>
      </c>
      <c r="I84" s="329">
        <f>IFERROR(__xludf.DUMMYFUNCTION("""COMPUTED_VALUE"""),1608.0)</f>
        <v>1608</v>
      </c>
      <c r="J84" s="329">
        <f>IFERROR(__xludf.DUMMYFUNCTION("""COMPUTED_VALUE"""),1509.0)</f>
        <v>1509</v>
      </c>
      <c r="K84" s="329">
        <f>IFERROR(__xludf.DUMMYFUNCTION("""COMPUTED_VALUE"""),62690.0)</f>
        <v>62690</v>
      </c>
      <c r="L84" s="329">
        <f>IFERROR(__xludf.DUMMYFUNCTION("""COMPUTED_VALUE"""),3115.0)</f>
        <v>3115</v>
      </c>
      <c r="M84" s="329">
        <f>IFERROR(__xludf.DUMMYFUNCTION("""COMPUTED_VALUE"""),449715.0)</f>
        <v>449715</v>
      </c>
      <c r="N84" s="329">
        <f>IFERROR(__xludf.DUMMYFUNCTION("""COMPUTED_VALUE"""),512405.0)</f>
        <v>512405</v>
      </c>
      <c r="O84" s="329">
        <f>IFERROR(__xludf.DUMMYFUNCTION("""COMPUTED_VALUE"""),64.0)</f>
        <v>64</v>
      </c>
      <c r="P84" s="329">
        <f>IFERROR(__xludf.DUMMYFUNCTION("""COMPUTED_VALUE"""),4894.0)</f>
        <v>4894</v>
      </c>
      <c r="Q84" s="329">
        <f>IFERROR(__xludf.DUMMYFUNCTION("""COMPUTED_VALUE"""),76.0)</f>
        <v>76</v>
      </c>
      <c r="R84" s="329">
        <f>IFERROR(__xludf.DUMMYFUNCTION("""COMPUTED_VALUE"""),3940.0)</f>
        <v>3940</v>
      </c>
      <c r="S84" s="329">
        <f>IFERROR(__xludf.DUMMYFUNCTION("""COMPUTED_VALUE"""),5.0)</f>
        <v>5</v>
      </c>
      <c r="T84" s="329">
        <f>IFERROR(__xludf.DUMMYFUNCTION("""COMPUTED_VALUE"""),503.0)</f>
        <v>503</v>
      </c>
      <c r="U84" s="329">
        <f>IFERROR(__xludf.DUMMYFUNCTION("""COMPUTED_VALUE"""),451.0)</f>
        <v>451</v>
      </c>
      <c r="V84" s="329">
        <f>IFERROR(__xludf.DUMMYFUNCTION("""COMPUTED_VALUE"""),463.0)</f>
        <v>463</v>
      </c>
      <c r="W84" s="329">
        <f>IFERROR(__xludf.DUMMYFUNCTION("""COMPUTED_VALUE"""),49.0)</f>
        <v>49</v>
      </c>
      <c r="X84" s="329">
        <f>IFERROR(__xludf.DUMMYFUNCTION("""COMPUTED_VALUE"""),31.0)</f>
        <v>31</v>
      </c>
      <c r="Y84" s="329">
        <f>IFERROR(__xludf.DUMMYFUNCTION("""COMPUTED_VALUE"""),12.0)</f>
        <v>12</v>
      </c>
      <c r="Z84" s="329">
        <f>IFERROR(__xludf.DUMMYFUNCTION("""COMPUTED_VALUE"""),1455.0)</f>
        <v>1455</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IFERROR(__xludf.DUMMYFUNCTION("""COMPUTED_VALUE"""),44169.0)</f>
        <v>44169</v>
      </c>
      <c r="B85" s="329">
        <f>IFERROR(__xludf.DUMMYFUNCTION("""COMPUTED_VALUE"""),1656.0)</f>
        <v>1656</v>
      </c>
      <c r="C85" s="329">
        <f>IFERROR(__xludf.DUMMYFUNCTION("""COMPUTED_VALUE"""),1668.0)</f>
        <v>1668</v>
      </c>
      <c r="D85" s="329">
        <f>IFERROR(__xludf.DUMMYFUNCTION("""COMPUTED_VALUE"""),78511.0)</f>
        <v>78511</v>
      </c>
      <c r="E85" s="329">
        <f>IFERROR(__xludf.DUMMYFUNCTION("""COMPUTED_VALUE"""),16510.0)</f>
        <v>16510</v>
      </c>
      <c r="F85" s="258">
        <f>IFERROR(__xludf.DUMMYFUNCTION("""COMPUTED_VALUE"""),1552245.0)</f>
        <v>1552245</v>
      </c>
      <c r="G85" s="258">
        <f>IFERROR(__xludf.DUMMYFUNCTION("""COMPUTED_VALUE"""),18166.0)</f>
        <v>18166</v>
      </c>
      <c r="H85" s="258">
        <f>IFERROR(__xludf.DUMMYFUNCTION("""COMPUTED_VALUE"""),1630756.0)</f>
        <v>1630756</v>
      </c>
      <c r="I85" s="329">
        <f>IFERROR(__xludf.DUMMYFUNCTION("""COMPUTED_VALUE"""),1501.0)</f>
        <v>1501</v>
      </c>
      <c r="J85" s="329">
        <f>IFERROR(__xludf.DUMMYFUNCTION("""COMPUTED_VALUE"""),1527.0)</f>
        <v>1527</v>
      </c>
      <c r="K85" s="329">
        <f>IFERROR(__xludf.DUMMYFUNCTION("""COMPUTED_VALUE"""),64191.0)</f>
        <v>64191</v>
      </c>
      <c r="L85" s="329">
        <f>IFERROR(__xludf.DUMMYFUNCTION("""COMPUTED_VALUE"""),3557.0)</f>
        <v>3557</v>
      </c>
      <c r="M85" s="329">
        <f>IFERROR(__xludf.DUMMYFUNCTION("""COMPUTED_VALUE"""),453272.0)</f>
        <v>453272</v>
      </c>
      <c r="N85" s="329">
        <f>IFERROR(__xludf.DUMMYFUNCTION("""COMPUTED_VALUE"""),517463.0)</f>
        <v>517463</v>
      </c>
      <c r="O85" s="329">
        <f>IFERROR(__xludf.DUMMYFUNCTION("""COMPUTED_VALUE"""),70.0)</f>
        <v>70</v>
      </c>
      <c r="P85" s="329">
        <f>IFERROR(__xludf.DUMMYFUNCTION("""COMPUTED_VALUE"""),4964.0)</f>
        <v>4964</v>
      </c>
      <c r="Q85" s="329">
        <f>IFERROR(__xludf.DUMMYFUNCTION("""COMPUTED_VALUE"""),48.0)</f>
        <v>48</v>
      </c>
      <c r="R85" s="329">
        <f>IFERROR(__xludf.DUMMYFUNCTION("""COMPUTED_VALUE"""),3988.0)</f>
        <v>3988</v>
      </c>
      <c r="S85" s="329">
        <f>IFERROR(__xludf.DUMMYFUNCTION("""COMPUTED_VALUE"""),7.0)</f>
        <v>7</v>
      </c>
      <c r="T85" s="329">
        <f>IFERROR(__xludf.DUMMYFUNCTION("""COMPUTED_VALUE"""),510.0)</f>
        <v>510</v>
      </c>
      <c r="U85" s="329">
        <f>IFERROR(__xludf.DUMMYFUNCTION("""COMPUTED_VALUE"""),466.0)</f>
        <v>466</v>
      </c>
      <c r="V85" s="329">
        <f>IFERROR(__xludf.DUMMYFUNCTION("""COMPUTED_VALUE"""),462.0)</f>
        <v>462</v>
      </c>
      <c r="W85" s="329">
        <f>IFERROR(__xludf.DUMMYFUNCTION("""COMPUTED_VALUE"""),46.0)</f>
        <v>46</v>
      </c>
      <c r="X85" s="329">
        <f>IFERROR(__xludf.DUMMYFUNCTION("""COMPUTED_VALUE"""),29.0)</f>
        <v>29</v>
      </c>
      <c r="Y85" s="329">
        <f>IFERROR(__xludf.DUMMYFUNCTION("""COMPUTED_VALUE"""),12.0)</f>
        <v>12</v>
      </c>
      <c r="Z85" s="329">
        <f>IFERROR(__xludf.DUMMYFUNCTION("""COMPUTED_VALUE"""),1467.0)</f>
        <v>1467</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IFERROR(__xludf.DUMMYFUNCTION("""COMPUTED_VALUE"""),44170.0)</f>
        <v>44170</v>
      </c>
      <c r="B86" s="329">
        <f>IFERROR(__xludf.DUMMYFUNCTION("""COMPUTED_VALUE"""),1200.0)</f>
        <v>1200</v>
      </c>
      <c r="C86" s="329">
        <f>IFERROR(__xludf.DUMMYFUNCTION("""COMPUTED_VALUE"""),1544.0)</f>
        <v>1544</v>
      </c>
      <c r="D86" s="329">
        <f>IFERROR(__xludf.DUMMYFUNCTION("""COMPUTED_VALUE"""),79711.0)</f>
        <v>79711</v>
      </c>
      <c r="E86" s="329">
        <f>IFERROR(__xludf.DUMMYFUNCTION("""COMPUTED_VALUE"""),12613.0)</f>
        <v>12613</v>
      </c>
      <c r="F86" s="258">
        <f>IFERROR(__xludf.DUMMYFUNCTION("""COMPUTED_VALUE"""),1564858.0)</f>
        <v>1564858</v>
      </c>
      <c r="G86" s="258">
        <f>IFERROR(__xludf.DUMMYFUNCTION("""COMPUTED_VALUE"""),13813.0)</f>
        <v>13813</v>
      </c>
      <c r="H86" s="258">
        <f>IFERROR(__xludf.DUMMYFUNCTION("""COMPUTED_VALUE"""),1644569.0)</f>
        <v>1644569</v>
      </c>
      <c r="I86" s="329">
        <f>IFERROR(__xludf.DUMMYFUNCTION("""COMPUTED_VALUE"""),1098.0)</f>
        <v>1098</v>
      </c>
      <c r="J86" s="329">
        <f>IFERROR(__xludf.DUMMYFUNCTION("""COMPUTED_VALUE"""),1402.0)</f>
        <v>1402</v>
      </c>
      <c r="K86" s="329">
        <f>IFERROR(__xludf.DUMMYFUNCTION("""COMPUTED_VALUE"""),65289.0)</f>
        <v>65289</v>
      </c>
      <c r="L86" s="329">
        <f>IFERROR(__xludf.DUMMYFUNCTION("""COMPUTED_VALUE"""),2721.0)</f>
        <v>2721</v>
      </c>
      <c r="M86" s="329">
        <f>IFERROR(__xludf.DUMMYFUNCTION("""COMPUTED_VALUE"""),455993.0)</f>
        <v>455993</v>
      </c>
      <c r="N86" s="329">
        <f>IFERROR(__xludf.DUMMYFUNCTION("""COMPUTED_VALUE"""),521282.0)</f>
        <v>521282</v>
      </c>
      <c r="O86" s="329">
        <f>IFERROR(__xludf.DUMMYFUNCTION("""COMPUTED_VALUE"""),67.0)</f>
        <v>67</v>
      </c>
      <c r="P86" s="329">
        <f>IFERROR(__xludf.DUMMYFUNCTION("""COMPUTED_VALUE"""),5031.0)</f>
        <v>5031</v>
      </c>
      <c r="Q86" s="329">
        <f>IFERROR(__xludf.DUMMYFUNCTION("""COMPUTED_VALUE"""),39.0)</f>
        <v>39</v>
      </c>
      <c r="R86" s="329">
        <f>IFERROR(__xludf.DUMMYFUNCTION("""COMPUTED_VALUE"""),4027.0)</f>
        <v>4027</v>
      </c>
      <c r="S86" s="329">
        <f>IFERROR(__xludf.DUMMYFUNCTION("""COMPUTED_VALUE"""),4.0)</f>
        <v>4</v>
      </c>
      <c r="T86" s="329">
        <f>IFERROR(__xludf.DUMMYFUNCTION("""COMPUTED_VALUE"""),514.0)</f>
        <v>514</v>
      </c>
      <c r="U86" s="329">
        <f>IFERROR(__xludf.DUMMYFUNCTION("""COMPUTED_VALUE"""),490.0)</f>
        <v>490</v>
      </c>
      <c r="V86" s="329">
        <f>IFERROR(__xludf.DUMMYFUNCTION("""COMPUTED_VALUE"""),469.0)</f>
        <v>469</v>
      </c>
      <c r="W86" s="329">
        <f>IFERROR(__xludf.DUMMYFUNCTION("""COMPUTED_VALUE"""),48.0)</f>
        <v>48</v>
      </c>
      <c r="X86" s="329">
        <f>IFERROR(__xludf.DUMMYFUNCTION("""COMPUTED_VALUE"""),29.0)</f>
        <v>29</v>
      </c>
      <c r="Y86" s="329">
        <f>IFERROR(__xludf.DUMMYFUNCTION("""COMPUTED_VALUE"""),16.0)</f>
        <v>16</v>
      </c>
      <c r="Z86" s="329">
        <f>IFERROR(__xludf.DUMMYFUNCTION("""COMPUTED_VALUE"""),1483.0)</f>
        <v>1483</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IFERROR(__xludf.DUMMYFUNCTION("""COMPUTED_VALUE"""),44171.0)</f>
        <v>44171</v>
      </c>
      <c r="B87" s="329">
        <f>IFERROR(__xludf.DUMMYFUNCTION("""COMPUTED_VALUE"""),1127.0)</f>
        <v>1127</v>
      </c>
      <c r="C87" s="329">
        <f>IFERROR(__xludf.DUMMYFUNCTION("""COMPUTED_VALUE"""),1328.0)</f>
        <v>1328</v>
      </c>
      <c r="D87" s="329">
        <f>IFERROR(__xludf.DUMMYFUNCTION("""COMPUTED_VALUE"""),80838.0)</f>
        <v>80838</v>
      </c>
      <c r="E87" s="329">
        <f>IFERROR(__xludf.DUMMYFUNCTION("""COMPUTED_VALUE"""),7849.0)</f>
        <v>7849</v>
      </c>
      <c r="F87" s="258">
        <f>IFERROR(__xludf.DUMMYFUNCTION("""COMPUTED_VALUE"""),1572707.0)</f>
        <v>1572707</v>
      </c>
      <c r="G87" s="258">
        <f>IFERROR(__xludf.DUMMYFUNCTION("""COMPUTED_VALUE"""),8976.0)</f>
        <v>8976</v>
      </c>
      <c r="H87" s="258">
        <f>IFERROR(__xludf.DUMMYFUNCTION("""COMPUTED_VALUE"""),1653545.0)</f>
        <v>1653545</v>
      </c>
      <c r="I87" s="329">
        <f>IFERROR(__xludf.DUMMYFUNCTION("""COMPUTED_VALUE"""),963.0)</f>
        <v>963</v>
      </c>
      <c r="J87" s="329">
        <f>IFERROR(__xludf.DUMMYFUNCTION("""COMPUTED_VALUE"""),1187.0)</f>
        <v>1187</v>
      </c>
      <c r="K87" s="329">
        <f>IFERROR(__xludf.DUMMYFUNCTION("""COMPUTED_VALUE"""),66252.0)</f>
        <v>66252</v>
      </c>
      <c r="L87" s="329">
        <f>IFERROR(__xludf.DUMMYFUNCTION("""COMPUTED_VALUE"""),2309.0)</f>
        <v>2309</v>
      </c>
      <c r="M87" s="329">
        <f>IFERROR(__xludf.DUMMYFUNCTION("""COMPUTED_VALUE"""),458302.0)</f>
        <v>458302</v>
      </c>
      <c r="N87" s="329">
        <f>IFERROR(__xludf.DUMMYFUNCTION("""COMPUTED_VALUE"""),524554.0)</f>
        <v>524554</v>
      </c>
      <c r="O87" s="329">
        <f>IFERROR(__xludf.DUMMYFUNCTION("""COMPUTED_VALUE"""),59.0)</f>
        <v>59</v>
      </c>
      <c r="P87" s="329">
        <f>IFERROR(__xludf.DUMMYFUNCTION("""COMPUTED_VALUE"""),5090.0)</f>
        <v>5090</v>
      </c>
      <c r="Q87" s="329">
        <f>IFERROR(__xludf.DUMMYFUNCTION("""COMPUTED_VALUE"""),45.0)</f>
        <v>45</v>
      </c>
      <c r="R87" s="329">
        <f>IFERROR(__xludf.DUMMYFUNCTION("""COMPUTED_VALUE"""),4072.0)</f>
        <v>4072</v>
      </c>
      <c r="S87" s="329">
        <f>IFERROR(__xludf.DUMMYFUNCTION("""COMPUTED_VALUE"""),10.0)</f>
        <v>10</v>
      </c>
      <c r="T87" s="329">
        <f>IFERROR(__xludf.DUMMYFUNCTION("""COMPUTED_VALUE"""),524.0)</f>
        <v>524</v>
      </c>
      <c r="U87" s="329">
        <f>IFERROR(__xludf.DUMMYFUNCTION("""COMPUTED_VALUE"""),494.0)</f>
        <v>494</v>
      </c>
      <c r="V87" s="329">
        <f>IFERROR(__xludf.DUMMYFUNCTION("""COMPUTED_VALUE"""),483.0)</f>
        <v>483</v>
      </c>
      <c r="W87" s="329">
        <f>IFERROR(__xludf.DUMMYFUNCTION("""COMPUTED_VALUE"""),48.0)</f>
        <v>48</v>
      </c>
      <c r="X87" s="329">
        <f>IFERROR(__xludf.DUMMYFUNCTION("""COMPUTED_VALUE"""),25.0)</f>
        <v>25</v>
      </c>
      <c r="Y87" s="329">
        <f>IFERROR(__xludf.DUMMYFUNCTION("""COMPUTED_VALUE"""),15.0)</f>
        <v>15</v>
      </c>
      <c r="Z87" s="329">
        <f>IFERROR(__xludf.DUMMYFUNCTION("""COMPUTED_VALUE"""),1498.0)</f>
        <v>1498</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IFERROR(__xludf.DUMMYFUNCTION("""COMPUTED_VALUE"""),44172.0)</f>
        <v>44172</v>
      </c>
      <c r="B88" s="329">
        <f>IFERROR(__xludf.DUMMYFUNCTION("""COMPUTED_VALUE"""),1397.0)</f>
        <v>1397</v>
      </c>
      <c r="C88" s="329">
        <f>IFERROR(__xludf.DUMMYFUNCTION("""COMPUTED_VALUE"""),1241.0)</f>
        <v>1241</v>
      </c>
      <c r="D88" s="329">
        <f>IFERROR(__xludf.DUMMYFUNCTION("""COMPUTED_VALUE"""),82235.0)</f>
        <v>82235</v>
      </c>
      <c r="E88" s="329">
        <f>IFERROR(__xludf.DUMMYFUNCTION("""COMPUTED_VALUE"""),10704.0)</f>
        <v>10704</v>
      </c>
      <c r="F88" s="258">
        <f>IFERROR(__xludf.DUMMYFUNCTION("""COMPUTED_VALUE"""),1583411.0)</f>
        <v>1583411</v>
      </c>
      <c r="G88" s="258">
        <f>IFERROR(__xludf.DUMMYFUNCTION("""COMPUTED_VALUE"""),12101.0)</f>
        <v>12101</v>
      </c>
      <c r="H88" s="258">
        <f>IFERROR(__xludf.DUMMYFUNCTION("""COMPUTED_VALUE"""),1665646.0)</f>
        <v>1665646</v>
      </c>
      <c r="I88" s="329">
        <f>IFERROR(__xludf.DUMMYFUNCTION("""COMPUTED_VALUE"""),1269.0)</f>
        <v>1269</v>
      </c>
      <c r="J88" s="329">
        <f>IFERROR(__xludf.DUMMYFUNCTION("""COMPUTED_VALUE"""),1110.0)</f>
        <v>1110</v>
      </c>
      <c r="K88" s="329">
        <f>IFERROR(__xludf.DUMMYFUNCTION("""COMPUTED_VALUE"""),67521.0)</f>
        <v>67521</v>
      </c>
      <c r="L88" s="329">
        <f>IFERROR(__xludf.DUMMYFUNCTION("""COMPUTED_VALUE"""),3155.0)</f>
        <v>3155</v>
      </c>
      <c r="M88" s="329">
        <f>IFERROR(__xludf.DUMMYFUNCTION("""COMPUTED_VALUE"""),461457.0)</f>
        <v>461457</v>
      </c>
      <c r="N88" s="329">
        <f>IFERROR(__xludf.DUMMYFUNCTION("""COMPUTED_VALUE"""),528978.0)</f>
        <v>528978</v>
      </c>
      <c r="O88" s="329">
        <f>IFERROR(__xludf.DUMMYFUNCTION("""COMPUTED_VALUE"""),71.0)</f>
        <v>71</v>
      </c>
      <c r="P88" s="329">
        <f>IFERROR(__xludf.DUMMYFUNCTION("""COMPUTED_VALUE"""),5161.0)</f>
        <v>5161</v>
      </c>
      <c r="Q88" s="329">
        <f>IFERROR(__xludf.DUMMYFUNCTION("""COMPUTED_VALUE"""),54.0)</f>
        <v>54</v>
      </c>
      <c r="R88" s="329">
        <f>IFERROR(__xludf.DUMMYFUNCTION("""COMPUTED_VALUE"""),4126.0)</f>
        <v>4126</v>
      </c>
      <c r="S88" s="329">
        <f>IFERROR(__xludf.DUMMYFUNCTION("""COMPUTED_VALUE"""),5.0)</f>
        <v>5</v>
      </c>
      <c r="T88" s="329">
        <f>IFERROR(__xludf.DUMMYFUNCTION("""COMPUTED_VALUE"""),529.0)</f>
        <v>529</v>
      </c>
      <c r="U88" s="329">
        <f>IFERROR(__xludf.DUMMYFUNCTION("""COMPUTED_VALUE"""),506.0)</f>
        <v>506</v>
      </c>
      <c r="V88" s="329">
        <f>IFERROR(__xludf.DUMMYFUNCTION("""COMPUTED_VALUE"""),497.0)</f>
        <v>497</v>
      </c>
      <c r="W88" s="329">
        <f>IFERROR(__xludf.DUMMYFUNCTION("""COMPUTED_VALUE"""),47.0)</f>
        <v>47</v>
      </c>
      <c r="X88" s="329">
        <f>IFERROR(__xludf.DUMMYFUNCTION("""COMPUTED_VALUE"""),25.0)</f>
        <v>25</v>
      </c>
      <c r="Y88" s="329">
        <f>IFERROR(__xludf.DUMMYFUNCTION("""COMPUTED_VALUE"""),24.0)</f>
        <v>24</v>
      </c>
      <c r="Z88" s="329">
        <f>IFERROR(__xludf.DUMMYFUNCTION("""COMPUTED_VALUE"""),1522.0)</f>
        <v>1522</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IFERROR(__xludf.DUMMYFUNCTION("""COMPUTED_VALUE"""),44173.0)</f>
        <v>44173</v>
      </c>
      <c r="B89" s="329">
        <f>IFERROR(__xludf.DUMMYFUNCTION("""COMPUTED_VALUE"""),1466.0)</f>
        <v>1466</v>
      </c>
      <c r="C89" s="329">
        <f>IFERROR(__xludf.DUMMYFUNCTION("""COMPUTED_VALUE"""),1330.0)</f>
        <v>1330</v>
      </c>
      <c r="D89" s="329">
        <f>IFERROR(__xludf.DUMMYFUNCTION("""COMPUTED_VALUE"""),83701.0)</f>
        <v>83701</v>
      </c>
      <c r="E89" s="329">
        <f>IFERROR(__xludf.DUMMYFUNCTION("""COMPUTED_VALUE"""),15324.0)</f>
        <v>15324</v>
      </c>
      <c r="F89" s="258">
        <f>IFERROR(__xludf.DUMMYFUNCTION("""COMPUTED_VALUE"""),1598735.0)</f>
        <v>1598735</v>
      </c>
      <c r="G89" s="258">
        <f>IFERROR(__xludf.DUMMYFUNCTION("""COMPUTED_VALUE"""),16790.0)</f>
        <v>16790</v>
      </c>
      <c r="H89" s="258">
        <f>IFERROR(__xludf.DUMMYFUNCTION("""COMPUTED_VALUE"""),1682436.0)</f>
        <v>1682436</v>
      </c>
      <c r="I89" s="329">
        <f>IFERROR(__xludf.DUMMYFUNCTION("""COMPUTED_VALUE"""),1360.0)</f>
        <v>1360</v>
      </c>
      <c r="J89" s="329">
        <f>IFERROR(__xludf.DUMMYFUNCTION("""COMPUTED_VALUE"""),1197.0)</f>
        <v>1197</v>
      </c>
      <c r="K89" s="329">
        <f>IFERROR(__xludf.DUMMYFUNCTION("""COMPUTED_VALUE"""),68881.0)</f>
        <v>68881</v>
      </c>
      <c r="L89" s="329">
        <f>IFERROR(__xludf.DUMMYFUNCTION("""COMPUTED_VALUE"""),3372.0)</f>
        <v>3372</v>
      </c>
      <c r="M89" s="329">
        <f>IFERROR(__xludf.DUMMYFUNCTION("""COMPUTED_VALUE"""),464829.0)</f>
        <v>464829</v>
      </c>
      <c r="N89" s="329">
        <f>IFERROR(__xludf.DUMMYFUNCTION("""COMPUTED_VALUE"""),533710.0)</f>
        <v>533710</v>
      </c>
      <c r="O89" s="329">
        <f>IFERROR(__xludf.DUMMYFUNCTION("""COMPUTED_VALUE"""),61.0)</f>
        <v>61</v>
      </c>
      <c r="P89" s="329">
        <f>IFERROR(__xludf.DUMMYFUNCTION("""COMPUTED_VALUE"""),5222.0)</f>
        <v>5222</v>
      </c>
      <c r="Q89" s="329">
        <f>IFERROR(__xludf.DUMMYFUNCTION("""COMPUTED_VALUE"""),59.0)</f>
        <v>59</v>
      </c>
      <c r="R89" s="329">
        <f>IFERROR(__xludf.DUMMYFUNCTION("""COMPUTED_VALUE"""),4185.0)</f>
        <v>4185</v>
      </c>
      <c r="S89" s="329">
        <f>IFERROR(__xludf.DUMMYFUNCTION("""COMPUTED_VALUE"""),5.0)</f>
        <v>5</v>
      </c>
      <c r="T89" s="329">
        <f>IFERROR(__xludf.DUMMYFUNCTION("""COMPUTED_VALUE"""),534.0)</f>
        <v>534</v>
      </c>
      <c r="U89" s="329">
        <f>IFERROR(__xludf.DUMMYFUNCTION("""COMPUTED_VALUE"""),503.0)</f>
        <v>503</v>
      </c>
      <c r="V89" s="329">
        <f>IFERROR(__xludf.DUMMYFUNCTION("""COMPUTED_VALUE"""),501.0)</f>
        <v>501</v>
      </c>
      <c r="W89" s="329">
        <f>IFERROR(__xludf.DUMMYFUNCTION("""COMPUTED_VALUE"""),52.0)</f>
        <v>52</v>
      </c>
      <c r="X89" s="329">
        <f>IFERROR(__xludf.DUMMYFUNCTION("""COMPUTED_VALUE"""),29.0)</f>
        <v>29</v>
      </c>
      <c r="Y89" s="329">
        <f>IFERROR(__xludf.DUMMYFUNCTION("""COMPUTED_VALUE"""),21.0)</f>
        <v>21</v>
      </c>
      <c r="Z89" s="329">
        <f>IFERROR(__xludf.DUMMYFUNCTION("""COMPUTED_VALUE"""),1543.0)</f>
        <v>1543</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IFERROR(__xludf.DUMMYFUNCTION("""COMPUTED_VALUE"""),44174.0)</f>
        <v>44174</v>
      </c>
      <c r="B90" s="329">
        <f>IFERROR(__xludf.DUMMYFUNCTION("""COMPUTED_VALUE"""),1500.0)</f>
        <v>1500</v>
      </c>
      <c r="C90" s="329">
        <f>IFERROR(__xludf.DUMMYFUNCTION("""COMPUTED_VALUE"""),1454.0)</f>
        <v>1454</v>
      </c>
      <c r="D90" s="329">
        <f>IFERROR(__xludf.DUMMYFUNCTION("""COMPUTED_VALUE"""),85201.0)</f>
        <v>85201</v>
      </c>
      <c r="E90" s="329">
        <f>IFERROR(__xludf.DUMMYFUNCTION("""COMPUTED_VALUE"""),16357.0)</f>
        <v>16357</v>
      </c>
      <c r="F90" s="258">
        <f>IFERROR(__xludf.DUMMYFUNCTION("""COMPUTED_VALUE"""),1615092.0)</f>
        <v>1615092</v>
      </c>
      <c r="G90" s="258">
        <f>IFERROR(__xludf.DUMMYFUNCTION("""COMPUTED_VALUE"""),17857.0)</f>
        <v>17857</v>
      </c>
      <c r="H90" s="258">
        <f>IFERROR(__xludf.DUMMYFUNCTION("""COMPUTED_VALUE"""),1700293.0)</f>
        <v>1700293</v>
      </c>
      <c r="I90" s="329">
        <f>IFERROR(__xludf.DUMMYFUNCTION("""COMPUTED_VALUE"""),1398.0)</f>
        <v>1398</v>
      </c>
      <c r="J90" s="329">
        <f>IFERROR(__xludf.DUMMYFUNCTION("""COMPUTED_VALUE"""),1342.0)</f>
        <v>1342</v>
      </c>
      <c r="K90" s="329">
        <f>IFERROR(__xludf.DUMMYFUNCTION("""COMPUTED_VALUE"""),70279.0)</f>
        <v>70279</v>
      </c>
      <c r="L90" s="329">
        <f>IFERROR(__xludf.DUMMYFUNCTION("""COMPUTED_VALUE"""),3035.0)</f>
        <v>3035</v>
      </c>
      <c r="M90" s="329">
        <f>IFERROR(__xludf.DUMMYFUNCTION("""COMPUTED_VALUE"""),467864.0)</f>
        <v>467864</v>
      </c>
      <c r="N90" s="329">
        <f>IFERROR(__xludf.DUMMYFUNCTION("""COMPUTED_VALUE"""),538143.0)</f>
        <v>538143</v>
      </c>
      <c r="O90" s="329">
        <f>IFERROR(__xludf.DUMMYFUNCTION("""COMPUTED_VALUE"""),56.0)</f>
        <v>56</v>
      </c>
      <c r="P90" s="329">
        <f>IFERROR(__xludf.DUMMYFUNCTION("""COMPUTED_VALUE"""),5278.0)</f>
        <v>5278</v>
      </c>
      <c r="Q90" s="329">
        <f>IFERROR(__xludf.DUMMYFUNCTION("""COMPUTED_VALUE"""),62.0)</f>
        <v>62</v>
      </c>
      <c r="R90" s="329">
        <f>IFERROR(__xludf.DUMMYFUNCTION("""COMPUTED_VALUE"""),4247.0)</f>
        <v>4247</v>
      </c>
      <c r="S90" s="329">
        <f>IFERROR(__xludf.DUMMYFUNCTION("""COMPUTED_VALUE"""),9.0)</f>
        <v>9</v>
      </c>
      <c r="T90" s="329">
        <f>IFERROR(__xludf.DUMMYFUNCTION("""COMPUTED_VALUE"""),543.0)</f>
        <v>543</v>
      </c>
      <c r="U90" s="329">
        <f>IFERROR(__xludf.DUMMYFUNCTION("""COMPUTED_VALUE"""),488.0)</f>
        <v>488</v>
      </c>
      <c r="V90" s="329">
        <f>IFERROR(__xludf.DUMMYFUNCTION("""COMPUTED_VALUE"""),499.0)</f>
        <v>499</v>
      </c>
      <c r="W90" s="329">
        <f>IFERROR(__xludf.DUMMYFUNCTION("""COMPUTED_VALUE"""),49.0)</f>
        <v>49</v>
      </c>
      <c r="X90" s="329">
        <f>IFERROR(__xludf.DUMMYFUNCTION("""COMPUTED_VALUE"""),31.0)</f>
        <v>31</v>
      </c>
      <c r="Y90" s="329">
        <f>IFERROR(__xludf.DUMMYFUNCTION("""COMPUTED_VALUE"""),15.0)</f>
        <v>15</v>
      </c>
      <c r="Z90" s="329">
        <f>IFERROR(__xludf.DUMMYFUNCTION("""COMPUTED_VALUE"""),1558.0)</f>
        <v>1558</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IFERROR(__xludf.DUMMYFUNCTION("""COMPUTED_VALUE"""),44175.0)</f>
        <v>44175</v>
      </c>
      <c r="B91" s="329">
        <f>IFERROR(__xludf.DUMMYFUNCTION("""COMPUTED_VALUE"""),1475.0)</f>
        <v>1475</v>
      </c>
      <c r="C91" s="329">
        <f>IFERROR(__xludf.DUMMYFUNCTION("""COMPUTED_VALUE"""),1480.0)</f>
        <v>1480</v>
      </c>
      <c r="D91" s="329">
        <f>IFERROR(__xludf.DUMMYFUNCTION("""COMPUTED_VALUE"""),86676.0)</f>
        <v>86676</v>
      </c>
      <c r="E91" s="329">
        <f>IFERROR(__xludf.DUMMYFUNCTION("""COMPUTED_VALUE"""),17282.0)</f>
        <v>17282</v>
      </c>
      <c r="F91" s="258">
        <f>IFERROR(__xludf.DUMMYFUNCTION("""COMPUTED_VALUE"""),1632374.0)</f>
        <v>1632374</v>
      </c>
      <c r="G91" s="258">
        <f>IFERROR(__xludf.DUMMYFUNCTION("""COMPUTED_VALUE"""),18757.0)</f>
        <v>18757</v>
      </c>
      <c r="H91" s="258">
        <f>IFERROR(__xludf.DUMMYFUNCTION("""COMPUTED_VALUE"""),1719050.0)</f>
        <v>1719050</v>
      </c>
      <c r="I91" s="329">
        <f>IFERROR(__xludf.DUMMYFUNCTION("""COMPUTED_VALUE"""),1201.0)</f>
        <v>1201</v>
      </c>
      <c r="J91" s="329">
        <f>IFERROR(__xludf.DUMMYFUNCTION("""COMPUTED_VALUE"""),1320.0)</f>
        <v>1320</v>
      </c>
      <c r="K91" s="329">
        <f>IFERROR(__xludf.DUMMYFUNCTION("""COMPUTED_VALUE"""),71480.0)</f>
        <v>71480</v>
      </c>
      <c r="L91" s="329">
        <f>IFERROR(__xludf.DUMMYFUNCTION("""COMPUTED_VALUE"""),3858.0)</f>
        <v>3858</v>
      </c>
      <c r="M91" s="329">
        <f>IFERROR(__xludf.DUMMYFUNCTION("""COMPUTED_VALUE"""),471722.0)</f>
        <v>471722</v>
      </c>
      <c r="N91" s="329">
        <f>IFERROR(__xludf.DUMMYFUNCTION("""COMPUTED_VALUE"""),543202.0)</f>
        <v>543202</v>
      </c>
      <c r="O91" s="329">
        <f>IFERROR(__xludf.DUMMYFUNCTION("""COMPUTED_VALUE"""),62.0)</f>
        <v>62</v>
      </c>
      <c r="P91" s="329">
        <f>IFERROR(__xludf.DUMMYFUNCTION("""COMPUTED_VALUE"""),5340.0)</f>
        <v>5340</v>
      </c>
      <c r="Q91" s="329">
        <f>IFERROR(__xludf.DUMMYFUNCTION("""COMPUTED_VALUE"""),57.0)</f>
        <v>57</v>
      </c>
      <c r="R91" s="329">
        <f>IFERROR(__xludf.DUMMYFUNCTION("""COMPUTED_VALUE"""),4304.0)</f>
        <v>4304</v>
      </c>
      <c r="S91" s="329">
        <f>IFERROR(__xludf.DUMMYFUNCTION("""COMPUTED_VALUE"""),7.0)</f>
        <v>7</v>
      </c>
      <c r="T91" s="329">
        <f>IFERROR(__xludf.DUMMYFUNCTION("""COMPUTED_VALUE"""),550.0)</f>
        <v>550</v>
      </c>
      <c r="U91" s="329">
        <f>IFERROR(__xludf.DUMMYFUNCTION("""COMPUTED_VALUE"""),486.0)</f>
        <v>486</v>
      </c>
      <c r="V91" s="329">
        <f>IFERROR(__xludf.DUMMYFUNCTION("""COMPUTED_VALUE"""),492.0)</f>
        <v>492</v>
      </c>
      <c r="W91" s="329">
        <f>IFERROR(__xludf.DUMMYFUNCTION("""COMPUTED_VALUE"""),55.0)</f>
        <v>55</v>
      </c>
      <c r="X91" s="329">
        <f>IFERROR(__xludf.DUMMYFUNCTION("""COMPUTED_VALUE"""),30.0)</f>
        <v>30</v>
      </c>
      <c r="Y91" s="329">
        <f>IFERROR(__xludf.DUMMYFUNCTION("""COMPUTED_VALUE"""),26.0)</f>
        <v>26</v>
      </c>
      <c r="Z91" s="329">
        <f>IFERROR(__xludf.DUMMYFUNCTION("""COMPUTED_VALUE"""),1584.0)</f>
        <v>1584</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IFERROR(__xludf.DUMMYFUNCTION("""COMPUTED_VALUE"""),44176.0)</f>
        <v>44176</v>
      </c>
      <c r="B92" s="329">
        <f>IFERROR(__xludf.DUMMYFUNCTION("""COMPUTED_VALUE"""),1491.0)</f>
        <v>1491</v>
      </c>
      <c r="C92" s="329">
        <f>IFERROR(__xludf.DUMMYFUNCTION("""COMPUTED_VALUE"""),1489.0)</f>
        <v>1489</v>
      </c>
      <c r="D92" s="329">
        <f>IFERROR(__xludf.DUMMYFUNCTION("""COMPUTED_VALUE"""),88167.0)</f>
        <v>88167</v>
      </c>
      <c r="E92" s="329">
        <f>IFERROR(__xludf.DUMMYFUNCTION("""COMPUTED_VALUE"""),17393.0)</f>
        <v>17393</v>
      </c>
      <c r="F92" s="258">
        <f>IFERROR(__xludf.DUMMYFUNCTION("""COMPUTED_VALUE"""),1649767.0)</f>
        <v>1649767</v>
      </c>
      <c r="G92" s="258">
        <f>IFERROR(__xludf.DUMMYFUNCTION("""COMPUTED_VALUE"""),18884.0)</f>
        <v>18884</v>
      </c>
      <c r="H92" s="258">
        <f>IFERROR(__xludf.DUMMYFUNCTION("""COMPUTED_VALUE"""),1737934.0)</f>
        <v>1737934</v>
      </c>
      <c r="I92" s="329">
        <f>IFERROR(__xludf.DUMMYFUNCTION("""COMPUTED_VALUE"""),1261.0)</f>
        <v>1261</v>
      </c>
      <c r="J92" s="329">
        <f>IFERROR(__xludf.DUMMYFUNCTION("""COMPUTED_VALUE"""),1287.0)</f>
        <v>1287</v>
      </c>
      <c r="K92" s="329">
        <f>IFERROR(__xludf.DUMMYFUNCTION("""COMPUTED_VALUE"""),72741.0)</f>
        <v>72741</v>
      </c>
      <c r="L92" s="329">
        <f>IFERROR(__xludf.DUMMYFUNCTION("""COMPUTED_VALUE"""),3418.0)</f>
        <v>3418</v>
      </c>
      <c r="M92" s="329">
        <f>IFERROR(__xludf.DUMMYFUNCTION("""COMPUTED_VALUE"""),475140.0)</f>
        <v>475140</v>
      </c>
      <c r="N92" s="329">
        <f>IFERROR(__xludf.DUMMYFUNCTION("""COMPUTED_VALUE"""),547881.0)</f>
        <v>547881</v>
      </c>
      <c r="O92" s="329">
        <f>IFERROR(__xludf.DUMMYFUNCTION("""COMPUTED_VALUE"""),68.0)</f>
        <v>68</v>
      </c>
      <c r="P92" s="329">
        <f>IFERROR(__xludf.DUMMYFUNCTION("""COMPUTED_VALUE"""),5408.0)</f>
        <v>5408</v>
      </c>
      <c r="Q92" s="329">
        <f>IFERROR(__xludf.DUMMYFUNCTION("""COMPUTED_VALUE"""),81.0)</f>
        <v>81</v>
      </c>
      <c r="R92" s="329">
        <f>IFERROR(__xludf.DUMMYFUNCTION("""COMPUTED_VALUE"""),4385.0)</f>
        <v>4385</v>
      </c>
      <c r="S92" s="329">
        <f>IFERROR(__xludf.DUMMYFUNCTION("""COMPUTED_VALUE"""),7.0)</f>
        <v>7</v>
      </c>
      <c r="T92" s="329">
        <f>IFERROR(__xludf.DUMMYFUNCTION("""COMPUTED_VALUE"""),557.0)</f>
        <v>557</v>
      </c>
      <c r="U92" s="329">
        <f>IFERROR(__xludf.DUMMYFUNCTION("""COMPUTED_VALUE"""),466.0)</f>
        <v>466</v>
      </c>
      <c r="V92" s="329">
        <f>IFERROR(__xludf.DUMMYFUNCTION("""COMPUTED_VALUE"""),480.0)</f>
        <v>480</v>
      </c>
      <c r="W92" s="329">
        <f>IFERROR(__xludf.DUMMYFUNCTION("""COMPUTED_VALUE"""),61.0)</f>
        <v>61</v>
      </c>
      <c r="X92" s="329">
        <f>IFERROR(__xludf.DUMMYFUNCTION("""COMPUTED_VALUE"""),33.0)</f>
        <v>33</v>
      </c>
      <c r="Y92" s="329">
        <f>IFERROR(__xludf.DUMMYFUNCTION("""COMPUTED_VALUE"""),20.0)</f>
        <v>20</v>
      </c>
      <c r="Z92" s="329">
        <f>IFERROR(__xludf.DUMMYFUNCTION("""COMPUTED_VALUE"""),1604.0)</f>
        <v>1604</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IFERROR(__xludf.DUMMYFUNCTION("""COMPUTED_VALUE"""),44177.0)</f>
        <v>44177</v>
      </c>
      <c r="B93" s="329">
        <f>IFERROR(__xludf.DUMMYFUNCTION("""COMPUTED_VALUE"""),1123.0)</f>
        <v>1123</v>
      </c>
      <c r="C93" s="329">
        <f>IFERROR(__xludf.DUMMYFUNCTION("""COMPUTED_VALUE"""),1363.0)</f>
        <v>1363</v>
      </c>
      <c r="D93" s="329">
        <f>IFERROR(__xludf.DUMMYFUNCTION("""COMPUTED_VALUE"""),89290.0)</f>
        <v>89290</v>
      </c>
      <c r="E93" s="329">
        <f>IFERROR(__xludf.DUMMYFUNCTION("""COMPUTED_VALUE"""),13074.0)</f>
        <v>13074</v>
      </c>
      <c r="F93" s="258">
        <f>IFERROR(__xludf.DUMMYFUNCTION("""COMPUTED_VALUE"""),1662841.0)</f>
        <v>1662841</v>
      </c>
      <c r="G93" s="258">
        <f>IFERROR(__xludf.DUMMYFUNCTION("""COMPUTED_VALUE"""),14197.0)</f>
        <v>14197</v>
      </c>
      <c r="H93" s="258">
        <f>IFERROR(__xludf.DUMMYFUNCTION("""COMPUTED_VALUE"""),1752131.0)</f>
        <v>1752131</v>
      </c>
      <c r="I93" s="329">
        <f>IFERROR(__xludf.DUMMYFUNCTION("""COMPUTED_VALUE"""),946.0)</f>
        <v>946</v>
      </c>
      <c r="J93" s="329">
        <f>IFERROR(__xludf.DUMMYFUNCTION("""COMPUTED_VALUE"""),1136.0)</f>
        <v>1136</v>
      </c>
      <c r="K93" s="329">
        <f>IFERROR(__xludf.DUMMYFUNCTION("""COMPUTED_VALUE"""),73687.0)</f>
        <v>73687</v>
      </c>
      <c r="L93" s="329">
        <f>IFERROR(__xludf.DUMMYFUNCTION("""COMPUTED_VALUE"""),2916.0)</f>
        <v>2916</v>
      </c>
      <c r="M93" s="329">
        <f>IFERROR(__xludf.DUMMYFUNCTION("""COMPUTED_VALUE"""),478056.0)</f>
        <v>478056</v>
      </c>
      <c r="N93" s="329">
        <f>IFERROR(__xludf.DUMMYFUNCTION("""COMPUTED_VALUE"""),551743.0)</f>
        <v>551743</v>
      </c>
      <c r="O93" s="329">
        <f>IFERROR(__xludf.DUMMYFUNCTION("""COMPUTED_VALUE"""),65.0)</f>
        <v>65</v>
      </c>
      <c r="P93" s="329">
        <f>IFERROR(__xludf.DUMMYFUNCTION("""COMPUTED_VALUE"""),5473.0)</f>
        <v>5473</v>
      </c>
      <c r="Q93" s="329">
        <f>IFERROR(__xludf.DUMMYFUNCTION("""COMPUTED_VALUE"""),54.0)</f>
        <v>54</v>
      </c>
      <c r="R93" s="329">
        <f>IFERROR(__xludf.DUMMYFUNCTION("""COMPUTED_VALUE"""),4439.0)</f>
        <v>4439</v>
      </c>
      <c r="S93" s="329">
        <f>IFERROR(__xludf.DUMMYFUNCTION("""COMPUTED_VALUE"""),9.0)</f>
        <v>9</v>
      </c>
      <c r="T93" s="329">
        <f>IFERROR(__xludf.DUMMYFUNCTION("""COMPUTED_VALUE"""),566.0)</f>
        <v>566</v>
      </c>
      <c r="U93" s="329">
        <f>IFERROR(__xludf.DUMMYFUNCTION("""COMPUTED_VALUE"""),468.0)</f>
        <v>468</v>
      </c>
      <c r="V93" s="329">
        <f>IFERROR(__xludf.DUMMYFUNCTION("""COMPUTED_VALUE"""),473.0)</f>
        <v>473</v>
      </c>
      <c r="W93" s="329">
        <f>IFERROR(__xludf.DUMMYFUNCTION("""COMPUTED_VALUE"""),54.0)</f>
        <v>54</v>
      </c>
      <c r="X93" s="329">
        <f>IFERROR(__xludf.DUMMYFUNCTION("""COMPUTED_VALUE"""),32.0)</f>
        <v>32</v>
      </c>
      <c r="Y93" s="329">
        <f>IFERROR(__xludf.DUMMYFUNCTION("""COMPUTED_VALUE"""),19.0)</f>
        <v>19</v>
      </c>
      <c r="Z93" s="329">
        <f>IFERROR(__xludf.DUMMYFUNCTION("""COMPUTED_VALUE"""),1623.0)</f>
        <v>1623</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IFERROR(__xludf.DUMMYFUNCTION("""COMPUTED_VALUE"""),44178.0)</f>
        <v>44178</v>
      </c>
      <c r="B94" s="329">
        <f>IFERROR(__xludf.DUMMYFUNCTION("""COMPUTED_VALUE"""),673.0)</f>
        <v>673</v>
      </c>
      <c r="C94" s="329">
        <f>IFERROR(__xludf.DUMMYFUNCTION("""COMPUTED_VALUE"""),1096.0)</f>
        <v>1096</v>
      </c>
      <c r="D94" s="329">
        <f>IFERROR(__xludf.DUMMYFUNCTION("""COMPUTED_VALUE"""),89963.0)</f>
        <v>89963</v>
      </c>
      <c r="E94" s="329">
        <f>IFERROR(__xludf.DUMMYFUNCTION("""COMPUTED_VALUE"""),7159.0)</f>
        <v>7159</v>
      </c>
      <c r="F94" s="258">
        <f>IFERROR(__xludf.DUMMYFUNCTION("""COMPUTED_VALUE"""),1670000.0)</f>
        <v>1670000</v>
      </c>
      <c r="G94" s="258">
        <f>IFERROR(__xludf.DUMMYFUNCTION("""COMPUTED_VALUE"""),7832.0)</f>
        <v>7832</v>
      </c>
      <c r="H94" s="258">
        <f>IFERROR(__xludf.DUMMYFUNCTION("""COMPUTED_VALUE"""),1759963.0)</f>
        <v>1759963</v>
      </c>
      <c r="I94" s="329">
        <f>IFERROR(__xludf.DUMMYFUNCTION("""COMPUTED_VALUE"""),527.0)</f>
        <v>527</v>
      </c>
      <c r="J94" s="329">
        <f>IFERROR(__xludf.DUMMYFUNCTION("""COMPUTED_VALUE"""),911.0)</f>
        <v>911</v>
      </c>
      <c r="K94" s="329">
        <f>IFERROR(__xludf.DUMMYFUNCTION("""COMPUTED_VALUE"""),74214.0)</f>
        <v>74214</v>
      </c>
      <c r="L94" s="329">
        <f>IFERROR(__xludf.DUMMYFUNCTION("""COMPUTED_VALUE"""),1900.0)</f>
        <v>1900</v>
      </c>
      <c r="M94" s="329">
        <f>IFERROR(__xludf.DUMMYFUNCTION("""COMPUTED_VALUE"""),479956.0)</f>
        <v>479956</v>
      </c>
      <c r="N94" s="329">
        <f>IFERROR(__xludf.DUMMYFUNCTION("""COMPUTED_VALUE"""),554170.0)</f>
        <v>554170</v>
      </c>
      <c r="O94" s="329">
        <f>IFERROR(__xludf.DUMMYFUNCTION("""COMPUTED_VALUE"""),74.0)</f>
        <v>74</v>
      </c>
      <c r="P94" s="329">
        <f>IFERROR(__xludf.DUMMYFUNCTION("""COMPUTED_VALUE"""),5547.0)</f>
        <v>5547</v>
      </c>
      <c r="Q94" s="329">
        <f>IFERROR(__xludf.DUMMYFUNCTION("""COMPUTED_VALUE"""),39.0)</f>
        <v>39</v>
      </c>
      <c r="R94" s="329">
        <f>IFERROR(__xludf.DUMMYFUNCTION("""COMPUTED_VALUE"""),4478.0)</f>
        <v>4478</v>
      </c>
      <c r="S94" s="329">
        <f>IFERROR(__xludf.DUMMYFUNCTION("""COMPUTED_VALUE"""),13.0)</f>
        <v>13</v>
      </c>
      <c r="T94" s="329">
        <f>IFERROR(__xludf.DUMMYFUNCTION("""COMPUTED_VALUE"""),579.0)</f>
        <v>579</v>
      </c>
      <c r="U94" s="329">
        <f>IFERROR(__xludf.DUMMYFUNCTION("""COMPUTED_VALUE"""),490.0)</f>
        <v>490</v>
      </c>
      <c r="V94" s="329">
        <f>IFERROR(__xludf.DUMMYFUNCTION("""COMPUTED_VALUE"""),475.0)</f>
        <v>475</v>
      </c>
      <c r="W94" s="329">
        <f>IFERROR(__xludf.DUMMYFUNCTION("""COMPUTED_VALUE"""),56.0)</f>
        <v>56</v>
      </c>
      <c r="X94" s="329">
        <f>IFERROR(__xludf.DUMMYFUNCTION("""COMPUTED_VALUE"""),30.0)</f>
        <v>30</v>
      </c>
      <c r="Y94" s="329">
        <f>IFERROR(__xludf.DUMMYFUNCTION("""COMPUTED_VALUE"""),30.0)</f>
        <v>30</v>
      </c>
      <c r="Z94" s="329">
        <f>IFERROR(__xludf.DUMMYFUNCTION("""COMPUTED_VALUE"""),1653.0)</f>
        <v>1653</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IFERROR(__xludf.DUMMYFUNCTION("""COMPUTED_VALUE"""),44179.0)</f>
        <v>44179</v>
      </c>
      <c r="B95" s="329">
        <f>IFERROR(__xludf.DUMMYFUNCTION("""COMPUTED_VALUE"""),1318.0)</f>
        <v>1318</v>
      </c>
      <c r="C95" s="329">
        <f>IFERROR(__xludf.DUMMYFUNCTION("""COMPUTED_VALUE"""),1038.0)</f>
        <v>1038</v>
      </c>
      <c r="D95" s="329">
        <f>IFERROR(__xludf.DUMMYFUNCTION("""COMPUTED_VALUE"""),91281.0)</f>
        <v>91281</v>
      </c>
      <c r="E95" s="329">
        <f>IFERROR(__xludf.DUMMYFUNCTION("""COMPUTED_VALUE"""),11247.0)</f>
        <v>11247</v>
      </c>
      <c r="F95" s="258">
        <f>IFERROR(__xludf.DUMMYFUNCTION("""COMPUTED_VALUE"""),1681247.0)</f>
        <v>1681247</v>
      </c>
      <c r="G95" s="258">
        <f>IFERROR(__xludf.DUMMYFUNCTION("""COMPUTED_VALUE"""),12565.0)</f>
        <v>12565</v>
      </c>
      <c r="H95" s="258">
        <f>IFERROR(__xludf.DUMMYFUNCTION("""COMPUTED_VALUE"""),1772528.0)</f>
        <v>1772528</v>
      </c>
      <c r="I95" s="329">
        <f>IFERROR(__xludf.DUMMYFUNCTION("""COMPUTED_VALUE"""),1132.0)</f>
        <v>1132</v>
      </c>
      <c r="J95" s="329">
        <f>IFERROR(__xludf.DUMMYFUNCTION("""COMPUTED_VALUE"""),868.0)</f>
        <v>868</v>
      </c>
      <c r="K95" s="329">
        <f>IFERROR(__xludf.DUMMYFUNCTION("""COMPUTED_VALUE"""),75346.0)</f>
        <v>75346</v>
      </c>
      <c r="L95" s="329">
        <f>IFERROR(__xludf.DUMMYFUNCTION("""COMPUTED_VALUE"""),3231.0)</f>
        <v>3231</v>
      </c>
      <c r="M95" s="329">
        <f>IFERROR(__xludf.DUMMYFUNCTION("""COMPUTED_VALUE"""),483187.0)</f>
        <v>483187</v>
      </c>
      <c r="N95" s="329">
        <f>IFERROR(__xludf.DUMMYFUNCTION("""COMPUTED_VALUE"""),558533.0)</f>
        <v>558533</v>
      </c>
      <c r="O95" s="329">
        <f>IFERROR(__xludf.DUMMYFUNCTION("""COMPUTED_VALUE"""),84.0)</f>
        <v>84</v>
      </c>
      <c r="P95" s="329">
        <f>IFERROR(__xludf.DUMMYFUNCTION("""COMPUTED_VALUE"""),5631.0)</f>
        <v>5631</v>
      </c>
      <c r="Q95" s="329">
        <f>IFERROR(__xludf.DUMMYFUNCTION("""COMPUTED_VALUE"""),63.0)</f>
        <v>63</v>
      </c>
      <c r="R95" s="329">
        <f>IFERROR(__xludf.DUMMYFUNCTION("""COMPUTED_VALUE"""),4541.0)</f>
        <v>4541</v>
      </c>
      <c r="S95" s="329">
        <f>IFERROR(__xludf.DUMMYFUNCTION("""COMPUTED_VALUE"""),10.0)</f>
        <v>10</v>
      </c>
      <c r="T95" s="329">
        <f>IFERROR(__xludf.DUMMYFUNCTION("""COMPUTED_VALUE"""),589.0)</f>
        <v>589</v>
      </c>
      <c r="U95" s="329">
        <f>IFERROR(__xludf.DUMMYFUNCTION("""COMPUTED_VALUE"""),501.0)</f>
        <v>501</v>
      </c>
      <c r="V95" s="329">
        <f>IFERROR(__xludf.DUMMYFUNCTION("""COMPUTED_VALUE"""),486.0)</f>
        <v>486</v>
      </c>
      <c r="W95" s="329">
        <f>IFERROR(__xludf.DUMMYFUNCTION("""COMPUTED_VALUE"""),66.0)</f>
        <v>66</v>
      </c>
      <c r="X95" s="329">
        <f>IFERROR(__xludf.DUMMYFUNCTION("""COMPUTED_VALUE"""),32.0)</f>
        <v>32</v>
      </c>
      <c r="Y95" s="329">
        <f>IFERROR(__xludf.DUMMYFUNCTION("""COMPUTED_VALUE"""),15.0)</f>
        <v>15</v>
      </c>
      <c r="Z95" s="329">
        <f>IFERROR(__xludf.DUMMYFUNCTION("""COMPUTED_VALUE"""),1668.0)</f>
        <v>1668</v>
      </c>
      <c r="AA95" s="258">
        <f>IFERROR(__xludf.DUMMYFUNCTION("""COMPUTED_VALUE"""),114.0)</f>
        <v>114</v>
      </c>
      <c r="AB95" s="258">
        <f>IFERROR(__xludf.DUMMYFUNCTION("""COMPUTED_VALUE"""),0.0)</f>
        <v>0</v>
      </c>
      <c r="AC95" s="258">
        <f>IFERROR(__xludf.DUMMYFUNCTION("""COMPUTED_VALUE"""),114.0)</f>
        <v>114</v>
      </c>
      <c r="AD95" s="258">
        <f>IFERROR(__xludf.DUMMYFUNCTION("""COMPUTED_VALUE"""),114.0)</f>
        <v>114</v>
      </c>
      <c r="AE95" s="258">
        <f>IFERROR(__xludf.DUMMYFUNCTION("""COMPUTED_VALUE"""),114.0)</f>
        <v>114</v>
      </c>
      <c r="AF95" s="258">
        <f>IFERROR(__xludf.DUMMYFUNCTION("""COMPUTED_VALUE"""),114.0)</f>
        <v>114</v>
      </c>
      <c r="AG95" s="258">
        <f>IFERROR(__xludf.DUMMYFUNCTION("""COMPUTED_VALUE"""),0.0)</f>
        <v>0</v>
      </c>
      <c r="AH95" s="258">
        <f>IFERROR(__xludf.DUMMYFUNCTION("""COMPUTED_VALUE"""),0.0)</f>
        <v>0</v>
      </c>
    </row>
    <row r="96">
      <c r="A96" s="328">
        <f>IFERROR(__xludf.DUMMYFUNCTION("""COMPUTED_VALUE"""),44180.0)</f>
        <v>44180</v>
      </c>
      <c r="B96" s="329">
        <f>IFERROR(__xludf.DUMMYFUNCTION("""COMPUTED_VALUE"""),1268.0)</f>
        <v>1268</v>
      </c>
      <c r="C96" s="329">
        <f>IFERROR(__xludf.DUMMYFUNCTION("""COMPUTED_VALUE"""),1086.0)</f>
        <v>1086</v>
      </c>
      <c r="D96" s="329">
        <f>IFERROR(__xludf.DUMMYFUNCTION("""COMPUTED_VALUE"""),92549.0)</f>
        <v>92549</v>
      </c>
      <c r="E96" s="329">
        <f>IFERROR(__xludf.DUMMYFUNCTION("""COMPUTED_VALUE"""),15133.0)</f>
        <v>15133</v>
      </c>
      <c r="F96" s="258">
        <f>IFERROR(__xludf.DUMMYFUNCTION("""COMPUTED_VALUE"""),1696380.0)</f>
        <v>1696380</v>
      </c>
      <c r="G96" s="258">
        <f>IFERROR(__xludf.DUMMYFUNCTION("""COMPUTED_VALUE"""),16401.0)</f>
        <v>16401</v>
      </c>
      <c r="H96" s="258">
        <f>IFERROR(__xludf.DUMMYFUNCTION("""COMPUTED_VALUE"""),1788929.0)</f>
        <v>1788929</v>
      </c>
      <c r="I96" s="329">
        <f>IFERROR(__xludf.DUMMYFUNCTION("""COMPUTED_VALUE"""),1043.0)</f>
        <v>1043</v>
      </c>
      <c r="J96" s="329">
        <f>IFERROR(__xludf.DUMMYFUNCTION("""COMPUTED_VALUE"""),901.0)</f>
        <v>901</v>
      </c>
      <c r="K96" s="329">
        <f>IFERROR(__xludf.DUMMYFUNCTION("""COMPUTED_VALUE"""),76389.0)</f>
        <v>76389</v>
      </c>
      <c r="L96" s="329">
        <f>IFERROR(__xludf.DUMMYFUNCTION("""COMPUTED_VALUE"""),2931.0)</f>
        <v>2931</v>
      </c>
      <c r="M96" s="329">
        <f>IFERROR(__xludf.DUMMYFUNCTION("""COMPUTED_VALUE"""),486118.0)</f>
        <v>486118</v>
      </c>
      <c r="N96" s="329">
        <f>IFERROR(__xludf.DUMMYFUNCTION("""COMPUTED_VALUE"""),562507.0)</f>
        <v>562507</v>
      </c>
      <c r="O96" s="329">
        <f>IFERROR(__xludf.DUMMYFUNCTION("""COMPUTED_VALUE"""),72.0)</f>
        <v>72</v>
      </c>
      <c r="P96" s="329">
        <f>IFERROR(__xludf.DUMMYFUNCTION("""COMPUTED_VALUE"""),5703.0)</f>
        <v>5703</v>
      </c>
      <c r="Q96" s="329">
        <f>IFERROR(__xludf.DUMMYFUNCTION("""COMPUTED_VALUE"""),54.0)</f>
        <v>54</v>
      </c>
      <c r="R96" s="329">
        <f>IFERROR(__xludf.DUMMYFUNCTION("""COMPUTED_VALUE"""),4595.0)</f>
        <v>4595</v>
      </c>
      <c r="S96" s="329">
        <f>IFERROR(__xludf.DUMMYFUNCTION("""COMPUTED_VALUE"""),5.0)</f>
        <v>5</v>
      </c>
      <c r="T96" s="329">
        <f>IFERROR(__xludf.DUMMYFUNCTION("""COMPUTED_VALUE"""),594.0)</f>
        <v>594</v>
      </c>
      <c r="U96" s="329">
        <f>IFERROR(__xludf.DUMMYFUNCTION("""COMPUTED_VALUE"""),514.0)</f>
        <v>514</v>
      </c>
      <c r="V96" s="329">
        <f>IFERROR(__xludf.DUMMYFUNCTION("""COMPUTED_VALUE"""),502.0)</f>
        <v>502</v>
      </c>
      <c r="W96" s="329">
        <f>IFERROR(__xludf.DUMMYFUNCTION("""COMPUTED_VALUE"""),63.0)</f>
        <v>63</v>
      </c>
      <c r="X96" s="329">
        <f>IFERROR(__xludf.DUMMYFUNCTION("""COMPUTED_VALUE"""),32.0)</f>
        <v>32</v>
      </c>
      <c r="Y96" s="329">
        <f>IFERROR(__xludf.DUMMYFUNCTION("""COMPUTED_VALUE"""),16.0)</f>
        <v>16</v>
      </c>
      <c r="Z96" s="329">
        <f>IFERROR(__xludf.DUMMYFUNCTION("""COMPUTED_VALUE"""),1684.0)</f>
        <v>1684</v>
      </c>
      <c r="AA96" s="258">
        <f>IFERROR(__xludf.DUMMYFUNCTION("""COMPUTED_VALUE"""),426.0)</f>
        <v>426</v>
      </c>
      <c r="AB96" s="258">
        <f>IFERROR(__xludf.DUMMYFUNCTION("""COMPUTED_VALUE"""),0.0)</f>
        <v>0</v>
      </c>
      <c r="AC96" s="258">
        <f>IFERROR(__xludf.DUMMYFUNCTION("""COMPUTED_VALUE"""),426.0)</f>
        <v>426</v>
      </c>
      <c r="AD96" s="258">
        <f>IFERROR(__xludf.DUMMYFUNCTION("""COMPUTED_VALUE"""),540.0)</f>
        <v>540</v>
      </c>
      <c r="AE96" s="258">
        <f>IFERROR(__xludf.DUMMYFUNCTION("""COMPUTED_VALUE"""),426.0)</f>
        <v>426</v>
      </c>
      <c r="AF96" s="258">
        <f>IFERROR(__xludf.DUMMYFUNCTION("""COMPUTED_VALUE"""),540.0)</f>
        <v>540</v>
      </c>
      <c r="AG96" s="258">
        <f>IFERROR(__xludf.DUMMYFUNCTION("""COMPUTED_VALUE"""),0.0)</f>
        <v>0</v>
      </c>
      <c r="AH96" s="258">
        <f>IFERROR(__xludf.DUMMYFUNCTION("""COMPUTED_VALUE"""),0.0)</f>
        <v>0</v>
      </c>
    </row>
    <row r="97">
      <c r="A97" s="328">
        <f>IFERROR(__xludf.DUMMYFUNCTION("""COMPUTED_VALUE"""),44181.0)</f>
        <v>44181</v>
      </c>
      <c r="B97" s="329">
        <f>IFERROR(__xludf.DUMMYFUNCTION("""COMPUTED_VALUE"""),1281.0)</f>
        <v>1281</v>
      </c>
      <c r="C97" s="329">
        <f>IFERROR(__xludf.DUMMYFUNCTION("""COMPUTED_VALUE"""),1289.0)</f>
        <v>1289</v>
      </c>
      <c r="D97" s="329">
        <f>IFERROR(__xludf.DUMMYFUNCTION("""COMPUTED_VALUE"""),93830.0)</f>
        <v>93830</v>
      </c>
      <c r="E97" s="329">
        <f>IFERROR(__xludf.DUMMYFUNCTION("""COMPUTED_VALUE"""),19138.0)</f>
        <v>19138</v>
      </c>
      <c r="F97" s="258">
        <f>IFERROR(__xludf.DUMMYFUNCTION("""COMPUTED_VALUE"""),1715518.0)</f>
        <v>1715518</v>
      </c>
      <c r="G97" s="258">
        <f>IFERROR(__xludf.DUMMYFUNCTION("""COMPUTED_VALUE"""),20419.0)</f>
        <v>20419</v>
      </c>
      <c r="H97" s="258">
        <f>IFERROR(__xludf.DUMMYFUNCTION("""COMPUTED_VALUE"""),1809348.0)</f>
        <v>1809348</v>
      </c>
      <c r="I97" s="329">
        <f>IFERROR(__xludf.DUMMYFUNCTION("""COMPUTED_VALUE"""),1140.0)</f>
        <v>1140</v>
      </c>
      <c r="J97" s="329">
        <f>IFERROR(__xludf.DUMMYFUNCTION("""COMPUTED_VALUE"""),1105.0)</f>
        <v>1105</v>
      </c>
      <c r="K97" s="329">
        <f>IFERROR(__xludf.DUMMYFUNCTION("""COMPUTED_VALUE"""),77529.0)</f>
        <v>77529</v>
      </c>
      <c r="L97" s="329">
        <f>IFERROR(__xludf.DUMMYFUNCTION("""COMPUTED_VALUE"""),3531.0)</f>
        <v>3531</v>
      </c>
      <c r="M97" s="329">
        <f>IFERROR(__xludf.DUMMYFUNCTION("""COMPUTED_VALUE"""),489649.0)</f>
        <v>489649</v>
      </c>
      <c r="N97" s="329">
        <f>IFERROR(__xludf.DUMMYFUNCTION("""COMPUTED_VALUE"""),567178.0)</f>
        <v>567178</v>
      </c>
      <c r="O97" s="329">
        <f>IFERROR(__xludf.DUMMYFUNCTION("""COMPUTED_VALUE"""),57.0)</f>
        <v>57</v>
      </c>
      <c r="P97" s="329">
        <f>IFERROR(__xludf.DUMMYFUNCTION("""COMPUTED_VALUE"""),5760.0)</f>
        <v>5760</v>
      </c>
      <c r="Q97" s="329">
        <f>IFERROR(__xludf.DUMMYFUNCTION("""COMPUTED_VALUE"""),72.0)</f>
        <v>72</v>
      </c>
      <c r="R97" s="329">
        <f>IFERROR(__xludf.DUMMYFUNCTION("""COMPUTED_VALUE"""),4667.0)</f>
        <v>4667</v>
      </c>
      <c r="S97" s="329">
        <f>IFERROR(__xludf.DUMMYFUNCTION("""COMPUTED_VALUE"""),11.0)</f>
        <v>11</v>
      </c>
      <c r="T97" s="329">
        <f>IFERROR(__xludf.DUMMYFUNCTION("""COMPUTED_VALUE"""),605.0)</f>
        <v>605</v>
      </c>
      <c r="U97" s="329">
        <f>IFERROR(__xludf.DUMMYFUNCTION("""COMPUTED_VALUE"""),488.0)</f>
        <v>488</v>
      </c>
      <c r="V97" s="329">
        <f>IFERROR(__xludf.DUMMYFUNCTION("""COMPUTED_VALUE"""),501.0)</f>
        <v>501</v>
      </c>
      <c r="W97" s="329">
        <f>IFERROR(__xludf.DUMMYFUNCTION("""COMPUTED_VALUE"""),62.0)</f>
        <v>62</v>
      </c>
      <c r="X97" s="329">
        <f>IFERROR(__xludf.DUMMYFUNCTION("""COMPUTED_VALUE"""),34.0)</f>
        <v>34</v>
      </c>
      <c r="Y97" s="329">
        <f>IFERROR(__xludf.DUMMYFUNCTION("""COMPUTED_VALUE"""),19.0)</f>
        <v>19</v>
      </c>
      <c r="Z97" s="329">
        <f>IFERROR(__xludf.DUMMYFUNCTION("""COMPUTED_VALUE"""),1703.0)</f>
        <v>1703</v>
      </c>
      <c r="AA97" s="258">
        <f>IFERROR(__xludf.DUMMYFUNCTION("""COMPUTED_VALUE"""),419.0)</f>
        <v>419</v>
      </c>
      <c r="AB97" s="258">
        <f>IFERROR(__xludf.DUMMYFUNCTION("""COMPUTED_VALUE"""),0.0)</f>
        <v>0</v>
      </c>
      <c r="AC97" s="258">
        <f>IFERROR(__xludf.DUMMYFUNCTION("""COMPUTED_VALUE"""),419.0)</f>
        <v>419</v>
      </c>
      <c r="AD97" s="258">
        <f>IFERROR(__xludf.DUMMYFUNCTION("""COMPUTED_VALUE"""),959.0)</f>
        <v>959</v>
      </c>
      <c r="AE97" s="258">
        <f>IFERROR(__xludf.DUMMYFUNCTION("""COMPUTED_VALUE"""),419.0)</f>
        <v>419</v>
      </c>
      <c r="AF97" s="258">
        <f>IFERROR(__xludf.DUMMYFUNCTION("""COMPUTED_VALUE"""),959.0)</f>
        <v>959</v>
      </c>
      <c r="AG97" s="258">
        <f>IFERROR(__xludf.DUMMYFUNCTION("""COMPUTED_VALUE"""),0.0)</f>
        <v>0</v>
      </c>
      <c r="AH97" s="258">
        <f>IFERROR(__xludf.DUMMYFUNCTION("""COMPUTED_VALUE"""),0.0)</f>
        <v>0</v>
      </c>
    </row>
    <row r="98">
      <c r="A98" s="328">
        <f>IFERROR(__xludf.DUMMYFUNCTION("""COMPUTED_VALUE"""),44182.0)</f>
        <v>44182</v>
      </c>
      <c r="B98" s="329">
        <f>IFERROR(__xludf.DUMMYFUNCTION("""COMPUTED_VALUE"""),483.0)</f>
        <v>483</v>
      </c>
      <c r="C98" s="329">
        <f>IFERROR(__xludf.DUMMYFUNCTION("""COMPUTED_VALUE"""),1011.0)</f>
        <v>1011</v>
      </c>
      <c r="D98" s="329">
        <f>IFERROR(__xludf.DUMMYFUNCTION("""COMPUTED_VALUE"""),94313.0)</f>
        <v>94313</v>
      </c>
      <c r="E98" s="329">
        <f>IFERROR(__xludf.DUMMYFUNCTION("""COMPUTED_VALUE"""),8774.0)</f>
        <v>8774</v>
      </c>
      <c r="F98" s="258">
        <f>IFERROR(__xludf.DUMMYFUNCTION("""COMPUTED_VALUE"""),1724292.0)</f>
        <v>1724292</v>
      </c>
      <c r="G98" s="258">
        <f>IFERROR(__xludf.DUMMYFUNCTION("""COMPUTED_VALUE"""),9257.0)</f>
        <v>9257</v>
      </c>
      <c r="H98" s="258">
        <f>IFERROR(__xludf.DUMMYFUNCTION("""COMPUTED_VALUE"""),1818605.0)</f>
        <v>1818605</v>
      </c>
      <c r="I98" s="329">
        <f>IFERROR(__xludf.DUMMYFUNCTION("""COMPUTED_VALUE"""),396.0)</f>
        <v>396</v>
      </c>
      <c r="J98" s="329">
        <f>IFERROR(__xludf.DUMMYFUNCTION("""COMPUTED_VALUE"""),860.0)</f>
        <v>860</v>
      </c>
      <c r="K98" s="329">
        <f>IFERROR(__xludf.DUMMYFUNCTION("""COMPUTED_VALUE"""),77925.0)</f>
        <v>77925</v>
      </c>
      <c r="L98" s="329">
        <f>IFERROR(__xludf.DUMMYFUNCTION("""COMPUTED_VALUE"""),1199.0)</f>
        <v>1199</v>
      </c>
      <c r="M98" s="329">
        <f>IFERROR(__xludf.DUMMYFUNCTION("""COMPUTED_VALUE"""),490848.0)</f>
        <v>490848</v>
      </c>
      <c r="N98" s="329">
        <f>IFERROR(__xludf.DUMMYFUNCTION("""COMPUTED_VALUE"""),568773.0)</f>
        <v>568773</v>
      </c>
      <c r="O98" s="329">
        <f>IFERROR(__xludf.DUMMYFUNCTION("""COMPUTED_VALUE"""),46.0)</f>
        <v>46</v>
      </c>
      <c r="P98" s="329">
        <f>IFERROR(__xludf.DUMMYFUNCTION("""COMPUTED_VALUE"""),5806.0)</f>
        <v>5806</v>
      </c>
      <c r="Q98" s="329">
        <f>IFERROR(__xludf.DUMMYFUNCTION("""COMPUTED_VALUE"""),54.0)</f>
        <v>54</v>
      </c>
      <c r="R98" s="329">
        <f>IFERROR(__xludf.DUMMYFUNCTION("""COMPUTED_VALUE"""),4721.0)</f>
        <v>4721</v>
      </c>
      <c r="S98" s="329">
        <f>IFERROR(__xludf.DUMMYFUNCTION("""COMPUTED_VALUE"""),8.0)</f>
        <v>8</v>
      </c>
      <c r="T98" s="329">
        <f>IFERROR(__xludf.DUMMYFUNCTION("""COMPUTED_VALUE"""),613.0)</f>
        <v>613</v>
      </c>
      <c r="U98" s="329">
        <f>IFERROR(__xludf.DUMMYFUNCTION("""COMPUTED_VALUE"""),472.0)</f>
        <v>472</v>
      </c>
      <c r="V98" s="329">
        <f>IFERROR(__xludf.DUMMYFUNCTION("""COMPUTED_VALUE"""),491.0)</f>
        <v>491</v>
      </c>
      <c r="W98" s="329">
        <f>IFERROR(__xludf.DUMMYFUNCTION("""COMPUTED_VALUE"""),61.0)</f>
        <v>61</v>
      </c>
      <c r="X98" s="329">
        <f>IFERROR(__xludf.DUMMYFUNCTION("""COMPUTED_VALUE"""),34.0)</f>
        <v>34</v>
      </c>
      <c r="Y98" s="329">
        <f>IFERROR(__xludf.DUMMYFUNCTION("""COMPUTED_VALUE"""),17.0)</f>
        <v>17</v>
      </c>
      <c r="Z98" s="329">
        <f>IFERROR(__xludf.DUMMYFUNCTION("""COMPUTED_VALUE"""),1720.0)</f>
        <v>1720</v>
      </c>
      <c r="AA98" s="258">
        <f>IFERROR(__xludf.DUMMYFUNCTION("""COMPUTED_VALUE"""),352.0)</f>
        <v>352</v>
      </c>
      <c r="AB98" s="258">
        <f>IFERROR(__xludf.DUMMYFUNCTION("""COMPUTED_VALUE"""),0.0)</f>
        <v>0</v>
      </c>
      <c r="AC98" s="258">
        <f>IFERROR(__xludf.DUMMYFUNCTION("""COMPUTED_VALUE"""),352.0)</f>
        <v>352</v>
      </c>
      <c r="AD98" s="258">
        <f>IFERROR(__xludf.DUMMYFUNCTION("""COMPUTED_VALUE"""),1311.0)</f>
        <v>1311</v>
      </c>
      <c r="AE98" s="258">
        <f>IFERROR(__xludf.DUMMYFUNCTION("""COMPUTED_VALUE"""),352.0)</f>
        <v>352</v>
      </c>
      <c r="AF98" s="258">
        <f>IFERROR(__xludf.DUMMYFUNCTION("""COMPUTED_VALUE"""),1311.0)</f>
        <v>1311</v>
      </c>
      <c r="AG98" s="258">
        <f>IFERROR(__xludf.DUMMYFUNCTION("""COMPUTED_VALUE"""),0.0)</f>
        <v>0</v>
      </c>
      <c r="AH98" s="258">
        <f>IFERROR(__xludf.DUMMYFUNCTION("""COMPUTED_VALUE"""),0.0)</f>
        <v>0</v>
      </c>
    </row>
    <row r="99">
      <c r="A99" s="328">
        <f>IFERROR(__xludf.DUMMYFUNCTION("""COMPUTED_VALUE"""),44183.0)</f>
        <v>44183</v>
      </c>
      <c r="B99" s="329">
        <f>IFERROR(__xludf.DUMMYFUNCTION("""COMPUTED_VALUE"""),1113.0)</f>
        <v>1113</v>
      </c>
      <c r="C99" s="329">
        <f>IFERROR(__xludf.DUMMYFUNCTION("""COMPUTED_VALUE"""),959.0)</f>
        <v>959</v>
      </c>
      <c r="D99" s="329">
        <f>IFERROR(__xludf.DUMMYFUNCTION("""COMPUTED_VALUE"""),95426.0)</f>
        <v>95426</v>
      </c>
      <c r="E99" s="329">
        <f>IFERROR(__xludf.DUMMYFUNCTION("""COMPUTED_VALUE"""),13649.0)</f>
        <v>13649</v>
      </c>
      <c r="F99" s="258">
        <f>IFERROR(__xludf.DUMMYFUNCTION("""COMPUTED_VALUE"""),1737941.0)</f>
        <v>1737941</v>
      </c>
      <c r="G99" s="258">
        <f>IFERROR(__xludf.DUMMYFUNCTION("""COMPUTED_VALUE"""),14762.0)</f>
        <v>14762</v>
      </c>
      <c r="H99" s="258">
        <f>IFERROR(__xludf.DUMMYFUNCTION("""COMPUTED_VALUE"""),1833367.0)</f>
        <v>1833367</v>
      </c>
      <c r="I99" s="329">
        <f>IFERROR(__xludf.DUMMYFUNCTION("""COMPUTED_VALUE"""),927.0)</f>
        <v>927</v>
      </c>
      <c r="J99" s="329">
        <f>IFERROR(__xludf.DUMMYFUNCTION("""COMPUTED_VALUE"""),821.0)</f>
        <v>821</v>
      </c>
      <c r="K99" s="329">
        <f>IFERROR(__xludf.DUMMYFUNCTION("""COMPUTED_VALUE"""),78852.0)</f>
        <v>78852</v>
      </c>
      <c r="L99" s="329">
        <f>IFERROR(__xludf.DUMMYFUNCTION("""COMPUTED_VALUE"""),2687.0)</f>
        <v>2687</v>
      </c>
      <c r="M99" s="329">
        <f>IFERROR(__xludf.DUMMYFUNCTION("""COMPUTED_VALUE"""),493535.0)</f>
        <v>493535</v>
      </c>
      <c r="N99" s="329">
        <f>IFERROR(__xludf.DUMMYFUNCTION("""COMPUTED_VALUE"""),572387.0)</f>
        <v>572387</v>
      </c>
      <c r="O99" s="329">
        <f>IFERROR(__xludf.DUMMYFUNCTION("""COMPUTED_VALUE"""),56.0)</f>
        <v>56</v>
      </c>
      <c r="P99" s="329">
        <f>IFERROR(__xludf.DUMMYFUNCTION("""COMPUTED_VALUE"""),5862.0)</f>
        <v>5862</v>
      </c>
      <c r="Q99" s="329">
        <f>IFERROR(__xludf.DUMMYFUNCTION("""COMPUTED_VALUE"""),66.0)</f>
        <v>66</v>
      </c>
      <c r="R99" s="329">
        <f>IFERROR(__xludf.DUMMYFUNCTION("""COMPUTED_VALUE"""),4787.0)</f>
        <v>4787</v>
      </c>
      <c r="S99" s="329">
        <f>IFERROR(__xludf.DUMMYFUNCTION("""COMPUTED_VALUE"""),11.0)</f>
        <v>11</v>
      </c>
      <c r="T99" s="329">
        <f>IFERROR(__xludf.DUMMYFUNCTION("""COMPUTED_VALUE"""),624.0)</f>
        <v>624</v>
      </c>
      <c r="U99" s="329">
        <f>IFERROR(__xludf.DUMMYFUNCTION("""COMPUTED_VALUE"""),451.0)</f>
        <v>451</v>
      </c>
      <c r="V99" s="329">
        <f>IFERROR(__xludf.DUMMYFUNCTION("""COMPUTED_VALUE"""),470.0)</f>
        <v>470</v>
      </c>
      <c r="W99" s="329">
        <f>IFERROR(__xludf.DUMMYFUNCTION("""COMPUTED_VALUE"""),61.0)</f>
        <v>61</v>
      </c>
      <c r="X99" s="329">
        <f>IFERROR(__xludf.DUMMYFUNCTION("""COMPUTED_VALUE"""),35.0)</f>
        <v>35</v>
      </c>
      <c r="Y99" s="329">
        <f>IFERROR(__xludf.DUMMYFUNCTION("""COMPUTED_VALUE"""),15.0)</f>
        <v>15</v>
      </c>
      <c r="Z99" s="329">
        <f>IFERROR(__xludf.DUMMYFUNCTION("""COMPUTED_VALUE"""),1735.0)</f>
        <v>1735</v>
      </c>
      <c r="AA99" s="258">
        <f>IFERROR(__xludf.DUMMYFUNCTION("""COMPUTED_VALUE"""),1672.0)</f>
        <v>1672</v>
      </c>
      <c r="AB99" s="258">
        <f>IFERROR(__xludf.DUMMYFUNCTION("""COMPUTED_VALUE"""),0.0)</f>
        <v>0</v>
      </c>
      <c r="AC99" s="258">
        <f>IFERROR(__xludf.DUMMYFUNCTION("""COMPUTED_VALUE"""),1672.0)</f>
        <v>1672</v>
      </c>
      <c r="AD99" s="258">
        <f>IFERROR(__xludf.DUMMYFUNCTION("""COMPUTED_VALUE"""),2983.0)</f>
        <v>2983</v>
      </c>
      <c r="AE99" s="258">
        <f>IFERROR(__xludf.DUMMYFUNCTION("""COMPUTED_VALUE"""),1672.0)</f>
        <v>1672</v>
      </c>
      <c r="AF99" s="258">
        <f>IFERROR(__xludf.DUMMYFUNCTION("""COMPUTED_VALUE"""),2983.0)</f>
        <v>2983</v>
      </c>
      <c r="AG99" s="258">
        <f>IFERROR(__xludf.DUMMYFUNCTION("""COMPUTED_VALUE"""),0.0)</f>
        <v>0</v>
      </c>
      <c r="AH99" s="258">
        <f>IFERROR(__xludf.DUMMYFUNCTION("""COMPUTED_VALUE"""),0.0)</f>
        <v>0</v>
      </c>
    </row>
    <row r="100">
      <c r="A100" s="328">
        <f>IFERROR(__xludf.DUMMYFUNCTION("""COMPUTED_VALUE"""),44184.0)</f>
        <v>44184</v>
      </c>
      <c r="B100" s="329">
        <f>IFERROR(__xludf.DUMMYFUNCTION("""COMPUTED_VALUE"""),1317.0)</f>
        <v>1317</v>
      </c>
      <c r="C100" s="329">
        <f>IFERROR(__xludf.DUMMYFUNCTION("""COMPUTED_VALUE"""),971.0)</f>
        <v>971</v>
      </c>
      <c r="D100" s="329">
        <f>IFERROR(__xludf.DUMMYFUNCTION("""COMPUTED_VALUE"""),96743.0)</f>
        <v>96743</v>
      </c>
      <c r="E100" s="329">
        <f>IFERROR(__xludf.DUMMYFUNCTION("""COMPUTED_VALUE"""),16377.0)</f>
        <v>16377</v>
      </c>
      <c r="F100" s="258">
        <f>IFERROR(__xludf.DUMMYFUNCTION("""COMPUTED_VALUE"""),1754318.0)</f>
        <v>1754318</v>
      </c>
      <c r="G100" s="258">
        <f>IFERROR(__xludf.DUMMYFUNCTION("""COMPUTED_VALUE"""),17694.0)</f>
        <v>17694</v>
      </c>
      <c r="H100" s="258">
        <f>IFERROR(__xludf.DUMMYFUNCTION("""COMPUTED_VALUE"""),1851061.0)</f>
        <v>1851061</v>
      </c>
      <c r="I100" s="329">
        <f>IFERROR(__xludf.DUMMYFUNCTION("""COMPUTED_VALUE"""),1080.0)</f>
        <v>1080</v>
      </c>
      <c r="J100" s="329">
        <f>IFERROR(__xludf.DUMMYFUNCTION("""COMPUTED_VALUE"""),801.0)</f>
        <v>801</v>
      </c>
      <c r="K100" s="329">
        <f>IFERROR(__xludf.DUMMYFUNCTION("""COMPUTED_VALUE"""),79932.0)</f>
        <v>79932</v>
      </c>
      <c r="L100" s="329">
        <f>IFERROR(__xludf.DUMMYFUNCTION("""COMPUTED_VALUE"""),2972.0)</f>
        <v>2972</v>
      </c>
      <c r="M100" s="329">
        <f>IFERROR(__xludf.DUMMYFUNCTION("""COMPUTED_VALUE"""),496507.0)</f>
        <v>496507</v>
      </c>
      <c r="N100" s="329">
        <f>IFERROR(__xludf.DUMMYFUNCTION("""COMPUTED_VALUE"""),576439.0)</f>
        <v>576439</v>
      </c>
      <c r="O100" s="329">
        <f>IFERROR(__xludf.DUMMYFUNCTION("""COMPUTED_VALUE"""),59.0)</f>
        <v>59</v>
      </c>
      <c r="P100" s="329">
        <f>IFERROR(__xludf.DUMMYFUNCTION("""COMPUTED_VALUE"""),5921.0)</f>
        <v>5921</v>
      </c>
      <c r="Q100" s="329">
        <f>IFERROR(__xludf.DUMMYFUNCTION("""COMPUTED_VALUE"""),41.0)</f>
        <v>41</v>
      </c>
      <c r="R100" s="329">
        <f>IFERROR(__xludf.DUMMYFUNCTION("""COMPUTED_VALUE"""),4828.0)</f>
        <v>4828</v>
      </c>
      <c r="S100" s="329">
        <f>IFERROR(__xludf.DUMMYFUNCTION("""COMPUTED_VALUE"""),9.0)</f>
        <v>9</v>
      </c>
      <c r="T100" s="329">
        <f>IFERROR(__xludf.DUMMYFUNCTION("""COMPUTED_VALUE"""),633.0)</f>
        <v>633</v>
      </c>
      <c r="U100" s="329">
        <f>IFERROR(__xludf.DUMMYFUNCTION("""COMPUTED_VALUE"""),460.0)</f>
        <v>460</v>
      </c>
      <c r="V100" s="329">
        <f>IFERROR(__xludf.DUMMYFUNCTION("""COMPUTED_VALUE"""),461.0)</f>
        <v>461</v>
      </c>
      <c r="W100" s="329">
        <f>IFERROR(__xludf.DUMMYFUNCTION("""COMPUTED_VALUE"""),62.0)</f>
        <v>62</v>
      </c>
      <c r="X100" s="329">
        <f>IFERROR(__xludf.DUMMYFUNCTION("""COMPUTED_VALUE"""),40.0)</f>
        <v>40</v>
      </c>
      <c r="Y100" s="329">
        <f>IFERROR(__xludf.DUMMYFUNCTION("""COMPUTED_VALUE"""),20.0)</f>
        <v>20</v>
      </c>
      <c r="Z100" s="329">
        <f>IFERROR(__xludf.DUMMYFUNCTION("""COMPUTED_VALUE"""),1755.0)</f>
        <v>1755</v>
      </c>
      <c r="AA100" s="258">
        <f>IFERROR(__xludf.DUMMYFUNCTION("""COMPUTED_VALUE"""),1178.0)</f>
        <v>1178</v>
      </c>
      <c r="AB100" s="258">
        <f>IFERROR(__xludf.DUMMYFUNCTION("""COMPUTED_VALUE"""),0.0)</f>
        <v>0</v>
      </c>
      <c r="AC100" s="258">
        <f>IFERROR(__xludf.DUMMYFUNCTION("""COMPUTED_VALUE"""),1178.0)</f>
        <v>1178</v>
      </c>
      <c r="AD100" s="258">
        <f>IFERROR(__xludf.DUMMYFUNCTION("""COMPUTED_VALUE"""),4161.0)</f>
        <v>4161</v>
      </c>
      <c r="AE100" s="258">
        <f>IFERROR(__xludf.DUMMYFUNCTION("""COMPUTED_VALUE"""),1178.0)</f>
        <v>1178</v>
      </c>
      <c r="AF100" s="258">
        <f>IFERROR(__xludf.DUMMYFUNCTION("""COMPUTED_VALUE"""),4161.0)</f>
        <v>4161</v>
      </c>
      <c r="AG100" s="258">
        <f>IFERROR(__xludf.DUMMYFUNCTION("""COMPUTED_VALUE"""),0.0)</f>
        <v>0</v>
      </c>
      <c r="AH100" s="258">
        <f>IFERROR(__xludf.DUMMYFUNCTION("""COMPUTED_VALUE"""),0.0)</f>
        <v>0</v>
      </c>
    </row>
    <row r="101">
      <c r="A101" s="328">
        <f>IFERROR(__xludf.DUMMYFUNCTION("""COMPUTED_VALUE"""),44185.0)</f>
        <v>44185</v>
      </c>
      <c r="B101" s="329">
        <f>IFERROR(__xludf.DUMMYFUNCTION("""COMPUTED_VALUE"""),537.0)</f>
        <v>537</v>
      </c>
      <c r="C101" s="329">
        <f>IFERROR(__xludf.DUMMYFUNCTION("""COMPUTED_VALUE"""),989.0)</f>
        <v>989</v>
      </c>
      <c r="D101" s="329">
        <f>IFERROR(__xludf.DUMMYFUNCTION("""COMPUTED_VALUE"""),97280.0)</f>
        <v>97280</v>
      </c>
      <c r="E101" s="329">
        <f>IFERROR(__xludf.DUMMYFUNCTION("""COMPUTED_VALUE"""),6826.0)</f>
        <v>6826</v>
      </c>
      <c r="F101" s="258">
        <f>IFERROR(__xludf.DUMMYFUNCTION("""COMPUTED_VALUE"""),1761144.0)</f>
        <v>1761144</v>
      </c>
      <c r="G101" s="258">
        <f>IFERROR(__xludf.DUMMYFUNCTION("""COMPUTED_VALUE"""),7363.0)</f>
        <v>7363</v>
      </c>
      <c r="H101" s="258">
        <f>IFERROR(__xludf.DUMMYFUNCTION("""COMPUTED_VALUE"""),1858424.0)</f>
        <v>1858424</v>
      </c>
      <c r="I101" s="329">
        <f>IFERROR(__xludf.DUMMYFUNCTION("""COMPUTED_VALUE"""),438.0)</f>
        <v>438</v>
      </c>
      <c r="J101" s="329">
        <f>IFERROR(__xludf.DUMMYFUNCTION("""COMPUTED_VALUE"""),815.0)</f>
        <v>815</v>
      </c>
      <c r="K101" s="329">
        <f>IFERROR(__xludf.DUMMYFUNCTION("""COMPUTED_VALUE"""),80370.0)</f>
        <v>80370</v>
      </c>
      <c r="L101" s="329">
        <f>IFERROR(__xludf.DUMMYFUNCTION("""COMPUTED_VALUE"""),1599.0)</f>
        <v>1599</v>
      </c>
      <c r="M101" s="329">
        <f>IFERROR(__xludf.DUMMYFUNCTION("""COMPUTED_VALUE"""),498106.0)</f>
        <v>498106</v>
      </c>
      <c r="N101" s="329">
        <f>IFERROR(__xludf.DUMMYFUNCTION("""COMPUTED_VALUE"""),578476.0)</f>
        <v>578476</v>
      </c>
      <c r="O101" s="329">
        <f>IFERROR(__xludf.DUMMYFUNCTION("""COMPUTED_VALUE"""),59.0)</f>
        <v>59</v>
      </c>
      <c r="P101" s="329">
        <f>IFERROR(__xludf.DUMMYFUNCTION("""COMPUTED_VALUE"""),5980.0)</f>
        <v>5980</v>
      </c>
      <c r="Q101" s="329">
        <f>IFERROR(__xludf.DUMMYFUNCTION("""COMPUTED_VALUE"""),41.0)</f>
        <v>41</v>
      </c>
      <c r="R101" s="329">
        <f>IFERROR(__xludf.DUMMYFUNCTION("""COMPUTED_VALUE"""),4869.0)</f>
        <v>4869</v>
      </c>
      <c r="S101" s="329">
        <f>IFERROR(__xludf.DUMMYFUNCTION("""COMPUTED_VALUE"""),8.0)</f>
        <v>8</v>
      </c>
      <c r="T101" s="329">
        <f>IFERROR(__xludf.DUMMYFUNCTION("""COMPUTED_VALUE"""),641.0)</f>
        <v>641</v>
      </c>
      <c r="U101" s="329">
        <f>IFERROR(__xludf.DUMMYFUNCTION("""COMPUTED_VALUE"""),470.0)</f>
        <v>470</v>
      </c>
      <c r="V101" s="329">
        <f>IFERROR(__xludf.DUMMYFUNCTION("""COMPUTED_VALUE"""),460.0)</f>
        <v>460</v>
      </c>
      <c r="W101" s="329">
        <f>IFERROR(__xludf.DUMMYFUNCTION("""COMPUTED_VALUE"""),64.0)</f>
        <v>64</v>
      </c>
      <c r="X101" s="329">
        <f>IFERROR(__xludf.DUMMYFUNCTION("""COMPUTED_VALUE"""),43.0)</f>
        <v>43</v>
      </c>
      <c r="Y101" s="329">
        <f>IFERROR(__xludf.DUMMYFUNCTION("""COMPUTED_VALUE"""),14.0)</f>
        <v>14</v>
      </c>
      <c r="Z101" s="329">
        <f>IFERROR(__xludf.DUMMYFUNCTION("""COMPUTED_VALUE"""),1769.0)</f>
        <v>1769</v>
      </c>
      <c r="AA101" s="258">
        <f>IFERROR(__xludf.DUMMYFUNCTION("""COMPUTED_VALUE"""),808.0)</f>
        <v>808</v>
      </c>
      <c r="AB101" s="258">
        <f>IFERROR(__xludf.DUMMYFUNCTION("""COMPUTED_VALUE"""),0.0)</f>
        <v>0</v>
      </c>
      <c r="AC101" s="258">
        <f>IFERROR(__xludf.DUMMYFUNCTION("""COMPUTED_VALUE"""),808.0)</f>
        <v>808</v>
      </c>
      <c r="AD101" s="258">
        <f>IFERROR(__xludf.DUMMYFUNCTION("""COMPUTED_VALUE"""),4969.0)</f>
        <v>4969</v>
      </c>
      <c r="AE101" s="258">
        <f>IFERROR(__xludf.DUMMYFUNCTION("""COMPUTED_VALUE"""),808.0)</f>
        <v>808</v>
      </c>
      <c r="AF101" s="258">
        <f>IFERROR(__xludf.DUMMYFUNCTION("""COMPUTED_VALUE"""),4969.0)</f>
        <v>4969</v>
      </c>
      <c r="AG101" s="258">
        <f>IFERROR(__xludf.DUMMYFUNCTION("""COMPUTED_VALUE"""),0.0)</f>
        <v>0</v>
      </c>
      <c r="AH101" s="258">
        <f>IFERROR(__xludf.DUMMYFUNCTION("""COMPUTED_VALUE"""),0.0)</f>
        <v>0</v>
      </c>
    </row>
    <row r="102">
      <c r="A102" s="328">
        <f>IFERROR(__xludf.DUMMYFUNCTION("""COMPUTED_VALUE"""),44186.0)</f>
        <v>44186</v>
      </c>
      <c r="B102" s="329">
        <f>IFERROR(__xludf.DUMMYFUNCTION("""COMPUTED_VALUE"""),1108.0)</f>
        <v>1108</v>
      </c>
      <c r="C102" s="329">
        <f>IFERROR(__xludf.DUMMYFUNCTION("""COMPUTED_VALUE"""),987.0)</f>
        <v>987</v>
      </c>
      <c r="D102" s="329">
        <f>IFERROR(__xludf.DUMMYFUNCTION("""COMPUTED_VALUE"""),98388.0)</f>
        <v>98388</v>
      </c>
      <c r="E102" s="329">
        <f>IFERROR(__xludf.DUMMYFUNCTION("""COMPUTED_VALUE"""),12163.0)</f>
        <v>12163</v>
      </c>
      <c r="F102" s="258">
        <f>IFERROR(__xludf.DUMMYFUNCTION("""COMPUTED_VALUE"""),1773307.0)</f>
        <v>1773307</v>
      </c>
      <c r="G102" s="258">
        <f>IFERROR(__xludf.DUMMYFUNCTION("""COMPUTED_VALUE"""),13271.0)</f>
        <v>13271</v>
      </c>
      <c r="H102" s="258">
        <f>IFERROR(__xludf.DUMMYFUNCTION("""COMPUTED_VALUE"""),1871695.0)</f>
        <v>1871695</v>
      </c>
      <c r="I102" s="329">
        <f>IFERROR(__xludf.DUMMYFUNCTION("""COMPUTED_VALUE"""),941.0)</f>
        <v>941</v>
      </c>
      <c r="J102" s="329">
        <f>IFERROR(__xludf.DUMMYFUNCTION("""COMPUTED_VALUE"""),820.0)</f>
        <v>820</v>
      </c>
      <c r="K102" s="329">
        <f>IFERROR(__xludf.DUMMYFUNCTION("""COMPUTED_VALUE"""),81311.0)</f>
        <v>81311</v>
      </c>
      <c r="L102" s="329">
        <f>IFERROR(__xludf.DUMMYFUNCTION("""COMPUTED_VALUE"""),3440.0)</f>
        <v>3440</v>
      </c>
      <c r="M102" s="329">
        <f>IFERROR(__xludf.DUMMYFUNCTION("""COMPUTED_VALUE"""),501546.0)</f>
        <v>501546</v>
      </c>
      <c r="N102" s="329">
        <f>IFERROR(__xludf.DUMMYFUNCTION("""COMPUTED_VALUE"""),582857.0)</f>
        <v>582857</v>
      </c>
      <c r="O102" s="329">
        <f>IFERROR(__xludf.DUMMYFUNCTION("""COMPUTED_VALUE"""),73.0)</f>
        <v>73</v>
      </c>
      <c r="P102" s="329">
        <f>IFERROR(__xludf.DUMMYFUNCTION("""COMPUTED_VALUE"""),6053.0)</f>
        <v>6053</v>
      </c>
      <c r="Q102" s="329">
        <f>IFERROR(__xludf.DUMMYFUNCTION("""COMPUTED_VALUE"""),51.0)</f>
        <v>51</v>
      </c>
      <c r="R102" s="329">
        <f>IFERROR(__xludf.DUMMYFUNCTION("""COMPUTED_VALUE"""),4920.0)</f>
        <v>4920</v>
      </c>
      <c r="S102" s="329">
        <f>IFERROR(__xludf.DUMMYFUNCTION("""COMPUTED_VALUE"""),7.0)</f>
        <v>7</v>
      </c>
      <c r="T102" s="329">
        <f>IFERROR(__xludf.DUMMYFUNCTION("""COMPUTED_VALUE"""),648.0)</f>
        <v>648</v>
      </c>
      <c r="U102" s="329">
        <f>IFERROR(__xludf.DUMMYFUNCTION("""COMPUTED_VALUE"""),485.0)</f>
        <v>485</v>
      </c>
      <c r="V102" s="329">
        <f>IFERROR(__xludf.DUMMYFUNCTION("""COMPUTED_VALUE"""),472.0)</f>
        <v>472</v>
      </c>
      <c r="W102" s="329">
        <f>IFERROR(__xludf.DUMMYFUNCTION("""COMPUTED_VALUE"""),58.0)</f>
        <v>58</v>
      </c>
      <c r="X102" s="329">
        <f>IFERROR(__xludf.DUMMYFUNCTION("""COMPUTED_VALUE"""),40.0)</f>
        <v>40</v>
      </c>
      <c r="Y102" s="329">
        <f>IFERROR(__xludf.DUMMYFUNCTION("""COMPUTED_VALUE"""),11.0)</f>
        <v>11</v>
      </c>
      <c r="Z102" s="329">
        <f>IFERROR(__xludf.DUMMYFUNCTION("""COMPUTED_VALUE"""),1780.0)</f>
        <v>1780</v>
      </c>
      <c r="AA102" s="258">
        <f>IFERROR(__xludf.DUMMYFUNCTION("""COMPUTED_VALUE"""),1772.0)</f>
        <v>1772</v>
      </c>
      <c r="AB102" s="258">
        <f>IFERROR(__xludf.DUMMYFUNCTION("""COMPUTED_VALUE"""),0.0)</f>
        <v>0</v>
      </c>
      <c r="AC102" s="258">
        <f>IFERROR(__xludf.DUMMYFUNCTION("""COMPUTED_VALUE"""),1772.0)</f>
        <v>1772</v>
      </c>
      <c r="AD102" s="258">
        <f>IFERROR(__xludf.DUMMYFUNCTION("""COMPUTED_VALUE"""),6741.0)</f>
        <v>6741</v>
      </c>
      <c r="AE102" s="258">
        <f>IFERROR(__xludf.DUMMYFUNCTION("""COMPUTED_VALUE"""),1772.0)</f>
        <v>1772</v>
      </c>
      <c r="AF102" s="258">
        <f>IFERROR(__xludf.DUMMYFUNCTION("""COMPUTED_VALUE"""),6741.0)</f>
        <v>6741</v>
      </c>
      <c r="AG102" s="258">
        <f>IFERROR(__xludf.DUMMYFUNCTION("""COMPUTED_VALUE"""),0.0)</f>
        <v>0</v>
      </c>
      <c r="AH102" s="258">
        <f>IFERROR(__xludf.DUMMYFUNCTION("""COMPUTED_VALUE"""),0.0)</f>
        <v>0</v>
      </c>
    </row>
    <row r="103">
      <c r="A103" s="328">
        <f>IFERROR(__xludf.DUMMYFUNCTION("""COMPUTED_VALUE"""),44187.0)</f>
        <v>44187</v>
      </c>
      <c r="B103" s="329">
        <f>IFERROR(__xludf.DUMMYFUNCTION("""COMPUTED_VALUE"""),1079.0)</f>
        <v>1079</v>
      </c>
      <c r="C103" s="329">
        <f>IFERROR(__xludf.DUMMYFUNCTION("""COMPUTED_VALUE"""),908.0)</f>
        <v>908</v>
      </c>
      <c r="D103" s="329">
        <f>IFERROR(__xludf.DUMMYFUNCTION("""COMPUTED_VALUE"""),99467.0)</f>
        <v>99467</v>
      </c>
      <c r="E103" s="329">
        <f>IFERROR(__xludf.DUMMYFUNCTION("""COMPUTED_VALUE"""),16605.0)</f>
        <v>16605</v>
      </c>
      <c r="F103" s="258">
        <f>IFERROR(__xludf.DUMMYFUNCTION("""COMPUTED_VALUE"""),1789912.0)</f>
        <v>1789912</v>
      </c>
      <c r="G103" s="258">
        <f>IFERROR(__xludf.DUMMYFUNCTION("""COMPUTED_VALUE"""),17684.0)</f>
        <v>17684</v>
      </c>
      <c r="H103" s="258">
        <f>IFERROR(__xludf.DUMMYFUNCTION("""COMPUTED_VALUE"""),1889379.0)</f>
        <v>1889379</v>
      </c>
      <c r="I103" s="329">
        <f>IFERROR(__xludf.DUMMYFUNCTION("""COMPUTED_VALUE"""),911.0)</f>
        <v>911</v>
      </c>
      <c r="J103" s="329">
        <f>IFERROR(__xludf.DUMMYFUNCTION("""COMPUTED_VALUE"""),763.0)</f>
        <v>763</v>
      </c>
      <c r="K103" s="329">
        <f>IFERROR(__xludf.DUMMYFUNCTION("""COMPUTED_VALUE"""),82222.0)</f>
        <v>82222</v>
      </c>
      <c r="L103" s="329">
        <f>IFERROR(__xludf.DUMMYFUNCTION("""COMPUTED_VALUE"""),3292.0)</f>
        <v>3292</v>
      </c>
      <c r="M103" s="329">
        <f>IFERROR(__xludf.DUMMYFUNCTION("""COMPUTED_VALUE"""),504838.0)</f>
        <v>504838</v>
      </c>
      <c r="N103" s="329">
        <f>IFERROR(__xludf.DUMMYFUNCTION("""COMPUTED_VALUE"""),587060.0)</f>
        <v>587060</v>
      </c>
      <c r="O103" s="329">
        <f>IFERROR(__xludf.DUMMYFUNCTION("""COMPUTED_VALUE"""),51.0)</f>
        <v>51</v>
      </c>
      <c r="P103" s="329">
        <f>IFERROR(__xludf.DUMMYFUNCTION("""COMPUTED_VALUE"""),6104.0)</f>
        <v>6104</v>
      </c>
      <c r="Q103" s="329">
        <f>IFERROR(__xludf.DUMMYFUNCTION("""COMPUTED_VALUE"""),77.0)</f>
        <v>77</v>
      </c>
      <c r="R103" s="329">
        <f>IFERROR(__xludf.DUMMYFUNCTION("""COMPUTED_VALUE"""),4997.0)</f>
        <v>4997</v>
      </c>
      <c r="S103" s="329">
        <f>IFERROR(__xludf.DUMMYFUNCTION("""COMPUTED_VALUE"""),10.0)</f>
        <v>10</v>
      </c>
      <c r="T103" s="329">
        <f>IFERROR(__xludf.DUMMYFUNCTION("""COMPUTED_VALUE"""),658.0)</f>
        <v>658</v>
      </c>
      <c r="U103" s="329">
        <f>IFERROR(__xludf.DUMMYFUNCTION("""COMPUTED_VALUE"""),449.0)</f>
        <v>449</v>
      </c>
      <c r="V103" s="329">
        <f>IFERROR(__xludf.DUMMYFUNCTION("""COMPUTED_VALUE"""),468.0)</f>
        <v>468</v>
      </c>
      <c r="W103" s="329">
        <f>IFERROR(__xludf.DUMMYFUNCTION("""COMPUTED_VALUE"""),58.0)</f>
        <v>58</v>
      </c>
      <c r="X103" s="329">
        <f>IFERROR(__xludf.DUMMYFUNCTION("""COMPUTED_VALUE"""),40.0)</f>
        <v>40</v>
      </c>
      <c r="Y103" s="329">
        <f>IFERROR(__xludf.DUMMYFUNCTION("""COMPUTED_VALUE"""),18.0)</f>
        <v>18</v>
      </c>
      <c r="Z103" s="329">
        <f>IFERROR(__xludf.DUMMYFUNCTION("""COMPUTED_VALUE"""),1798.0)</f>
        <v>1798</v>
      </c>
      <c r="AA103" s="258">
        <f>IFERROR(__xludf.DUMMYFUNCTION("""COMPUTED_VALUE"""),1532.0)</f>
        <v>1532</v>
      </c>
      <c r="AB103" s="258">
        <f>IFERROR(__xludf.DUMMYFUNCTION("""COMPUTED_VALUE"""),0.0)</f>
        <v>0</v>
      </c>
      <c r="AC103" s="258">
        <f>IFERROR(__xludf.DUMMYFUNCTION("""COMPUTED_VALUE"""),1532.0)</f>
        <v>1532</v>
      </c>
      <c r="AD103" s="258">
        <f>IFERROR(__xludf.DUMMYFUNCTION("""COMPUTED_VALUE"""),8273.0)</f>
        <v>8273</v>
      </c>
      <c r="AE103" s="258">
        <f>IFERROR(__xludf.DUMMYFUNCTION("""COMPUTED_VALUE"""),1532.0)</f>
        <v>1532</v>
      </c>
      <c r="AF103" s="258">
        <f>IFERROR(__xludf.DUMMYFUNCTION("""COMPUTED_VALUE"""),8273.0)</f>
        <v>8273</v>
      </c>
      <c r="AG103" s="258">
        <f>IFERROR(__xludf.DUMMYFUNCTION("""COMPUTED_VALUE"""),0.0)</f>
        <v>0</v>
      </c>
      <c r="AH103" s="258">
        <f>IFERROR(__xludf.DUMMYFUNCTION("""COMPUTED_VALUE"""),0.0)</f>
        <v>0</v>
      </c>
    </row>
    <row r="104">
      <c r="A104" s="328">
        <f>IFERROR(__xludf.DUMMYFUNCTION("""COMPUTED_VALUE"""),44188.0)</f>
        <v>44188</v>
      </c>
      <c r="B104" s="329">
        <f>IFERROR(__xludf.DUMMYFUNCTION("""COMPUTED_VALUE"""),1092.0)</f>
        <v>1092</v>
      </c>
      <c r="C104" s="329">
        <f>IFERROR(__xludf.DUMMYFUNCTION("""COMPUTED_VALUE"""),1093.0)</f>
        <v>1093</v>
      </c>
      <c r="D104" s="329">
        <f>IFERROR(__xludf.DUMMYFUNCTION("""COMPUTED_VALUE"""),100559.0)</f>
        <v>100559</v>
      </c>
      <c r="E104" s="329">
        <f>IFERROR(__xludf.DUMMYFUNCTION("""COMPUTED_VALUE"""),19917.0)</f>
        <v>19917</v>
      </c>
      <c r="F104" s="258">
        <f>IFERROR(__xludf.DUMMYFUNCTION("""COMPUTED_VALUE"""),1809829.0)</f>
        <v>1809829</v>
      </c>
      <c r="G104" s="258">
        <f>IFERROR(__xludf.DUMMYFUNCTION("""COMPUTED_VALUE"""),21009.0)</f>
        <v>21009</v>
      </c>
      <c r="H104" s="258">
        <f>IFERROR(__xludf.DUMMYFUNCTION("""COMPUTED_VALUE"""),1910388.0)</f>
        <v>1910388</v>
      </c>
      <c r="I104" s="329">
        <f>IFERROR(__xludf.DUMMYFUNCTION("""COMPUTED_VALUE"""),934.0)</f>
        <v>934</v>
      </c>
      <c r="J104" s="329">
        <f>IFERROR(__xludf.DUMMYFUNCTION("""COMPUTED_VALUE"""),929.0)</f>
        <v>929</v>
      </c>
      <c r="K104" s="329">
        <f>IFERROR(__xludf.DUMMYFUNCTION("""COMPUTED_VALUE"""),83156.0)</f>
        <v>83156</v>
      </c>
      <c r="L104" s="329">
        <f>IFERROR(__xludf.DUMMYFUNCTION("""COMPUTED_VALUE"""),3668.0)</f>
        <v>3668</v>
      </c>
      <c r="M104" s="329">
        <f>IFERROR(__xludf.DUMMYFUNCTION("""COMPUTED_VALUE"""),508506.0)</f>
        <v>508506</v>
      </c>
      <c r="N104" s="329">
        <f>IFERROR(__xludf.DUMMYFUNCTION("""COMPUTED_VALUE"""),591662.0)</f>
        <v>591662</v>
      </c>
      <c r="O104" s="329">
        <f>IFERROR(__xludf.DUMMYFUNCTION("""COMPUTED_VALUE"""),60.0)</f>
        <v>60</v>
      </c>
      <c r="P104" s="329">
        <f>IFERROR(__xludf.DUMMYFUNCTION("""COMPUTED_VALUE"""),6164.0)</f>
        <v>6164</v>
      </c>
      <c r="Q104" s="329">
        <f>IFERROR(__xludf.DUMMYFUNCTION("""COMPUTED_VALUE"""),63.0)</f>
        <v>63</v>
      </c>
      <c r="R104" s="329">
        <f>IFERROR(__xludf.DUMMYFUNCTION("""COMPUTED_VALUE"""),5060.0)</f>
        <v>5060</v>
      </c>
      <c r="S104" s="329">
        <f>IFERROR(__xludf.DUMMYFUNCTION("""COMPUTED_VALUE"""),5.0)</f>
        <v>5</v>
      </c>
      <c r="T104" s="329">
        <f>IFERROR(__xludf.DUMMYFUNCTION("""COMPUTED_VALUE"""),663.0)</f>
        <v>663</v>
      </c>
      <c r="U104" s="329">
        <f>IFERROR(__xludf.DUMMYFUNCTION("""COMPUTED_VALUE"""),441.0)</f>
        <v>441</v>
      </c>
      <c r="V104" s="329">
        <f>IFERROR(__xludf.DUMMYFUNCTION("""COMPUTED_VALUE"""),458.0)</f>
        <v>458</v>
      </c>
      <c r="W104" s="329">
        <f>IFERROR(__xludf.DUMMYFUNCTION("""COMPUTED_VALUE"""),64.0)</f>
        <v>64</v>
      </c>
      <c r="X104" s="329">
        <f>IFERROR(__xludf.DUMMYFUNCTION("""COMPUTED_VALUE"""),41.0)</f>
        <v>41</v>
      </c>
      <c r="Y104" s="329">
        <f>IFERROR(__xludf.DUMMYFUNCTION("""COMPUTED_VALUE"""),10.0)</f>
        <v>10</v>
      </c>
      <c r="Z104" s="329">
        <f>IFERROR(__xludf.DUMMYFUNCTION("""COMPUTED_VALUE"""),1808.0)</f>
        <v>1808</v>
      </c>
      <c r="AA104" s="258">
        <f>IFERROR(__xludf.DUMMYFUNCTION("""COMPUTED_VALUE"""),1590.0)</f>
        <v>1590</v>
      </c>
      <c r="AB104" s="258">
        <f>IFERROR(__xludf.DUMMYFUNCTION("""COMPUTED_VALUE"""),0.0)</f>
        <v>0</v>
      </c>
      <c r="AC104" s="258">
        <f>IFERROR(__xludf.DUMMYFUNCTION("""COMPUTED_VALUE"""),1590.0)</f>
        <v>1590</v>
      </c>
      <c r="AD104" s="258">
        <f>IFERROR(__xludf.DUMMYFUNCTION("""COMPUTED_VALUE"""),9863.0)</f>
        <v>9863</v>
      </c>
      <c r="AE104" s="258">
        <f>IFERROR(__xludf.DUMMYFUNCTION("""COMPUTED_VALUE"""),1590.0)</f>
        <v>1590</v>
      </c>
      <c r="AF104" s="258">
        <f>IFERROR(__xludf.DUMMYFUNCTION("""COMPUTED_VALUE"""),9863.0)</f>
        <v>9863</v>
      </c>
      <c r="AG104" s="258">
        <f>IFERROR(__xludf.DUMMYFUNCTION("""COMPUTED_VALUE"""),0.0)</f>
        <v>0</v>
      </c>
      <c r="AH104" s="258">
        <f>IFERROR(__xludf.DUMMYFUNCTION("""COMPUTED_VALUE"""),0.0)</f>
        <v>0</v>
      </c>
    </row>
    <row r="105">
      <c r="A105" s="328">
        <f>IFERROR(__xludf.DUMMYFUNCTION("""COMPUTED_VALUE"""),44189.0)</f>
        <v>44189</v>
      </c>
      <c r="B105" s="329">
        <f>IFERROR(__xludf.DUMMYFUNCTION("""COMPUTED_VALUE"""),1076.0)</f>
        <v>1076</v>
      </c>
      <c r="C105" s="329">
        <f>IFERROR(__xludf.DUMMYFUNCTION("""COMPUTED_VALUE"""),1082.0)</f>
        <v>1082</v>
      </c>
      <c r="D105" s="329">
        <f>IFERROR(__xludf.DUMMYFUNCTION("""COMPUTED_VALUE"""),101635.0)</f>
        <v>101635</v>
      </c>
      <c r="E105" s="329">
        <f>IFERROR(__xludf.DUMMYFUNCTION("""COMPUTED_VALUE"""),17039.0)</f>
        <v>17039</v>
      </c>
      <c r="F105" s="258">
        <f>IFERROR(__xludf.DUMMYFUNCTION("""COMPUTED_VALUE"""),1826868.0)</f>
        <v>1826868</v>
      </c>
      <c r="G105" s="258">
        <f>IFERROR(__xludf.DUMMYFUNCTION("""COMPUTED_VALUE"""),18115.0)</f>
        <v>18115</v>
      </c>
      <c r="H105" s="258">
        <f>IFERROR(__xludf.DUMMYFUNCTION("""COMPUTED_VALUE"""),1928503.0)</f>
        <v>1928503</v>
      </c>
      <c r="I105" s="329">
        <f>IFERROR(__xludf.DUMMYFUNCTION("""COMPUTED_VALUE"""),891.0)</f>
        <v>891</v>
      </c>
      <c r="J105" s="329">
        <f>IFERROR(__xludf.DUMMYFUNCTION("""COMPUTED_VALUE"""),912.0)</f>
        <v>912</v>
      </c>
      <c r="K105" s="329">
        <f>IFERROR(__xludf.DUMMYFUNCTION("""COMPUTED_VALUE"""),84047.0)</f>
        <v>84047</v>
      </c>
      <c r="L105" s="329">
        <f>IFERROR(__xludf.DUMMYFUNCTION("""COMPUTED_VALUE"""),3336.0)</f>
        <v>3336</v>
      </c>
      <c r="M105" s="329">
        <f>IFERROR(__xludf.DUMMYFUNCTION("""COMPUTED_VALUE"""),511842.0)</f>
        <v>511842</v>
      </c>
      <c r="N105" s="329">
        <f>IFERROR(__xludf.DUMMYFUNCTION("""COMPUTED_VALUE"""),595889.0)</f>
        <v>595889</v>
      </c>
      <c r="O105" s="329">
        <f>IFERROR(__xludf.DUMMYFUNCTION("""COMPUTED_VALUE"""),52.0)</f>
        <v>52</v>
      </c>
      <c r="P105" s="329">
        <f>IFERROR(__xludf.DUMMYFUNCTION("""COMPUTED_VALUE"""),6216.0)</f>
        <v>6216</v>
      </c>
      <c r="Q105" s="329">
        <f>IFERROR(__xludf.DUMMYFUNCTION("""COMPUTED_VALUE"""),54.0)</f>
        <v>54</v>
      </c>
      <c r="R105" s="329">
        <f>IFERROR(__xludf.DUMMYFUNCTION("""COMPUTED_VALUE"""),5114.0)</f>
        <v>5114</v>
      </c>
      <c r="S105" s="329">
        <f>IFERROR(__xludf.DUMMYFUNCTION("""COMPUTED_VALUE"""),6.0)</f>
        <v>6</v>
      </c>
      <c r="T105" s="329">
        <f>IFERROR(__xludf.DUMMYFUNCTION("""COMPUTED_VALUE"""),669.0)</f>
        <v>669</v>
      </c>
      <c r="U105" s="329">
        <f>IFERROR(__xludf.DUMMYFUNCTION("""COMPUTED_VALUE"""),433.0)</f>
        <v>433</v>
      </c>
      <c r="V105" s="329">
        <f>IFERROR(__xludf.DUMMYFUNCTION("""COMPUTED_VALUE"""),441.0)</f>
        <v>441</v>
      </c>
      <c r="W105" s="329">
        <f>IFERROR(__xludf.DUMMYFUNCTION("""COMPUTED_VALUE"""),67.0)</f>
        <v>67</v>
      </c>
      <c r="X105" s="329">
        <f>IFERROR(__xludf.DUMMYFUNCTION("""COMPUTED_VALUE"""),44.0)</f>
        <v>44</v>
      </c>
      <c r="Y105" s="329">
        <f>IFERROR(__xludf.DUMMYFUNCTION("""COMPUTED_VALUE"""),17.0)</f>
        <v>17</v>
      </c>
      <c r="Z105" s="329">
        <f>IFERROR(__xludf.DUMMYFUNCTION("""COMPUTED_VALUE"""),1825.0)</f>
        <v>1825</v>
      </c>
      <c r="AA105" s="258">
        <f>IFERROR(__xludf.DUMMYFUNCTION("""COMPUTED_VALUE"""),639.0)</f>
        <v>639</v>
      </c>
      <c r="AB105" s="258">
        <f>IFERROR(__xludf.DUMMYFUNCTION("""COMPUTED_VALUE"""),0.0)</f>
        <v>0</v>
      </c>
      <c r="AC105" s="258">
        <f>IFERROR(__xludf.DUMMYFUNCTION("""COMPUTED_VALUE"""),639.0)</f>
        <v>639</v>
      </c>
      <c r="AD105" s="258">
        <f>IFERROR(__xludf.DUMMYFUNCTION("""COMPUTED_VALUE"""),10502.0)</f>
        <v>10502</v>
      </c>
      <c r="AE105" s="258">
        <f>IFERROR(__xludf.DUMMYFUNCTION("""COMPUTED_VALUE"""),639.0)</f>
        <v>639</v>
      </c>
      <c r="AF105" s="258">
        <f>IFERROR(__xludf.DUMMYFUNCTION("""COMPUTED_VALUE"""),10502.0)</f>
        <v>10502</v>
      </c>
      <c r="AG105" s="258">
        <f>IFERROR(__xludf.DUMMYFUNCTION("""COMPUTED_VALUE"""),0.0)</f>
        <v>0</v>
      </c>
      <c r="AH105" s="258">
        <f>IFERROR(__xludf.DUMMYFUNCTION("""COMPUTED_VALUE"""),0.0)</f>
        <v>0</v>
      </c>
    </row>
    <row r="106">
      <c r="A106" s="328">
        <f>IFERROR(__xludf.DUMMYFUNCTION("""COMPUTED_VALUE"""),44190.0)</f>
        <v>44190</v>
      </c>
      <c r="B106" s="329">
        <f>IFERROR(__xludf.DUMMYFUNCTION("""COMPUTED_VALUE"""),306.0)</f>
        <v>306</v>
      </c>
      <c r="C106" s="329">
        <f>IFERROR(__xludf.DUMMYFUNCTION("""COMPUTED_VALUE"""),825.0)</f>
        <v>825</v>
      </c>
      <c r="D106" s="329">
        <f>IFERROR(__xludf.DUMMYFUNCTION("""COMPUTED_VALUE"""),101941.0)</f>
        <v>101941</v>
      </c>
      <c r="E106" s="329">
        <f>IFERROR(__xludf.DUMMYFUNCTION("""COMPUTED_VALUE"""),3396.0)</f>
        <v>3396</v>
      </c>
      <c r="F106" s="258">
        <f>IFERROR(__xludf.DUMMYFUNCTION("""COMPUTED_VALUE"""),1830264.0)</f>
        <v>1830264</v>
      </c>
      <c r="G106" s="258">
        <f>IFERROR(__xludf.DUMMYFUNCTION("""COMPUTED_VALUE"""),3702.0)</f>
        <v>3702</v>
      </c>
      <c r="H106" s="258">
        <f>IFERROR(__xludf.DUMMYFUNCTION("""COMPUTED_VALUE"""),1932205.0)</f>
        <v>1932205</v>
      </c>
      <c r="I106" s="329">
        <f>IFERROR(__xludf.DUMMYFUNCTION("""COMPUTED_VALUE"""),253.0)</f>
        <v>253</v>
      </c>
      <c r="J106" s="329">
        <f>IFERROR(__xludf.DUMMYFUNCTION("""COMPUTED_VALUE"""),693.0)</f>
        <v>693</v>
      </c>
      <c r="K106" s="329">
        <f>IFERROR(__xludf.DUMMYFUNCTION("""COMPUTED_VALUE"""),84300.0)</f>
        <v>84300</v>
      </c>
      <c r="L106" s="329">
        <f>IFERROR(__xludf.DUMMYFUNCTION("""COMPUTED_VALUE"""),624.0)</f>
        <v>624</v>
      </c>
      <c r="M106" s="329">
        <f>IFERROR(__xludf.DUMMYFUNCTION("""COMPUTED_VALUE"""),512466.0)</f>
        <v>512466</v>
      </c>
      <c r="N106" s="329">
        <f>IFERROR(__xludf.DUMMYFUNCTION("""COMPUTED_VALUE"""),596766.0)</f>
        <v>596766</v>
      </c>
      <c r="O106" s="329">
        <f>IFERROR(__xludf.DUMMYFUNCTION("""COMPUTED_VALUE"""),51.0)</f>
        <v>51</v>
      </c>
      <c r="P106" s="329">
        <f>IFERROR(__xludf.DUMMYFUNCTION("""COMPUTED_VALUE"""),6267.0)</f>
        <v>6267</v>
      </c>
      <c r="Q106" s="329">
        <f>IFERROR(__xludf.DUMMYFUNCTION("""COMPUTED_VALUE"""),26.0)</f>
        <v>26</v>
      </c>
      <c r="R106" s="329">
        <f>IFERROR(__xludf.DUMMYFUNCTION("""COMPUTED_VALUE"""),5140.0)</f>
        <v>5140</v>
      </c>
      <c r="S106" s="329">
        <f>IFERROR(__xludf.DUMMYFUNCTION("""COMPUTED_VALUE"""),13.0)</f>
        <v>13</v>
      </c>
      <c r="T106" s="329">
        <f>IFERROR(__xludf.DUMMYFUNCTION("""COMPUTED_VALUE"""),682.0)</f>
        <v>682</v>
      </c>
      <c r="U106" s="329">
        <f>IFERROR(__xludf.DUMMYFUNCTION("""COMPUTED_VALUE"""),445.0)</f>
        <v>445</v>
      </c>
      <c r="V106" s="329">
        <f>IFERROR(__xludf.DUMMYFUNCTION("""COMPUTED_VALUE"""),440.0)</f>
        <v>440</v>
      </c>
      <c r="W106" s="329">
        <f>IFERROR(__xludf.DUMMYFUNCTION("""COMPUTED_VALUE"""),64.0)</f>
        <v>64</v>
      </c>
      <c r="X106" s="329">
        <f>IFERROR(__xludf.DUMMYFUNCTION("""COMPUTED_VALUE"""),45.0)</f>
        <v>45</v>
      </c>
      <c r="Y106" s="329">
        <f>IFERROR(__xludf.DUMMYFUNCTION("""COMPUTED_VALUE"""),21.0)</f>
        <v>21</v>
      </c>
      <c r="Z106" s="329">
        <f>IFERROR(__xludf.DUMMYFUNCTION("""COMPUTED_VALUE"""),1846.0)</f>
        <v>1846</v>
      </c>
      <c r="AA106" s="258">
        <f>IFERROR(__xludf.DUMMYFUNCTION("""COMPUTED_VALUE"""),1.0)</f>
        <v>1</v>
      </c>
      <c r="AB106" s="258">
        <f>IFERROR(__xludf.DUMMYFUNCTION("""COMPUTED_VALUE"""),0.0)</f>
        <v>0</v>
      </c>
      <c r="AC106" s="258">
        <f>IFERROR(__xludf.DUMMYFUNCTION("""COMPUTED_VALUE"""),1.0)</f>
        <v>1</v>
      </c>
      <c r="AD106" s="258">
        <f>IFERROR(__xludf.DUMMYFUNCTION("""COMPUTED_VALUE"""),10503.0)</f>
        <v>10503</v>
      </c>
      <c r="AE106" s="258">
        <f>IFERROR(__xludf.DUMMYFUNCTION("""COMPUTED_VALUE"""),1.0)</f>
        <v>1</v>
      </c>
      <c r="AF106" s="258">
        <f>IFERROR(__xludf.DUMMYFUNCTION("""COMPUTED_VALUE"""),10503.0)</f>
        <v>10503</v>
      </c>
      <c r="AG106" s="258">
        <f>IFERROR(__xludf.DUMMYFUNCTION("""COMPUTED_VALUE"""),0.0)</f>
        <v>0</v>
      </c>
      <c r="AH106" s="258">
        <f>IFERROR(__xludf.DUMMYFUNCTION("""COMPUTED_VALUE"""),0.0)</f>
        <v>0</v>
      </c>
    </row>
    <row r="107">
      <c r="A107" s="328">
        <f>IFERROR(__xludf.DUMMYFUNCTION("""COMPUTED_VALUE"""),44191.0)</f>
        <v>44191</v>
      </c>
      <c r="B107" s="329">
        <f>IFERROR(__xludf.DUMMYFUNCTION("""COMPUTED_VALUE"""),945.0)</f>
        <v>945</v>
      </c>
      <c r="C107" s="329">
        <f>IFERROR(__xludf.DUMMYFUNCTION("""COMPUTED_VALUE"""),776.0)</f>
        <v>776</v>
      </c>
      <c r="D107" s="329">
        <f>IFERROR(__xludf.DUMMYFUNCTION("""COMPUTED_VALUE"""),102886.0)</f>
        <v>102886</v>
      </c>
      <c r="E107" s="329">
        <f>IFERROR(__xludf.DUMMYFUNCTION("""COMPUTED_VALUE"""),10663.0)</f>
        <v>10663</v>
      </c>
      <c r="F107" s="258">
        <f>IFERROR(__xludf.DUMMYFUNCTION("""COMPUTED_VALUE"""),1840927.0)</f>
        <v>1840927</v>
      </c>
      <c r="G107" s="258">
        <f>IFERROR(__xludf.DUMMYFUNCTION("""COMPUTED_VALUE"""),11608.0)</f>
        <v>11608</v>
      </c>
      <c r="H107" s="258">
        <f>IFERROR(__xludf.DUMMYFUNCTION("""COMPUTED_VALUE"""),1943813.0)</f>
        <v>1943813</v>
      </c>
      <c r="I107" s="329">
        <f>IFERROR(__xludf.DUMMYFUNCTION("""COMPUTED_VALUE"""),792.0)</f>
        <v>792</v>
      </c>
      <c r="J107" s="329">
        <f>IFERROR(__xludf.DUMMYFUNCTION("""COMPUTED_VALUE"""),645.0)</f>
        <v>645</v>
      </c>
      <c r="K107" s="329">
        <f>IFERROR(__xludf.DUMMYFUNCTION("""COMPUTED_VALUE"""),85092.0)</f>
        <v>85092</v>
      </c>
      <c r="L107" s="329">
        <f>IFERROR(__xludf.DUMMYFUNCTION("""COMPUTED_VALUE"""),2153.0)</f>
        <v>2153</v>
      </c>
      <c r="M107" s="329">
        <f>IFERROR(__xludf.DUMMYFUNCTION("""COMPUTED_VALUE"""),514619.0)</f>
        <v>514619</v>
      </c>
      <c r="N107" s="329">
        <f>IFERROR(__xludf.DUMMYFUNCTION("""COMPUTED_VALUE"""),599711.0)</f>
        <v>599711</v>
      </c>
      <c r="O107" s="329">
        <f>IFERROR(__xludf.DUMMYFUNCTION("""COMPUTED_VALUE"""),56.0)</f>
        <v>56</v>
      </c>
      <c r="P107" s="329">
        <f>IFERROR(__xludf.DUMMYFUNCTION("""COMPUTED_VALUE"""),6323.0)</f>
        <v>6323</v>
      </c>
      <c r="Q107" s="329">
        <f>IFERROR(__xludf.DUMMYFUNCTION("""COMPUTED_VALUE"""),39.0)</f>
        <v>39</v>
      </c>
      <c r="R107" s="329">
        <f>IFERROR(__xludf.DUMMYFUNCTION("""COMPUTED_VALUE"""),5179.0)</f>
        <v>5179</v>
      </c>
      <c r="S107" s="329">
        <f>IFERROR(__xludf.DUMMYFUNCTION("""COMPUTED_VALUE"""),5.0)</f>
        <v>5</v>
      </c>
      <c r="T107" s="329">
        <f>IFERROR(__xludf.DUMMYFUNCTION("""COMPUTED_VALUE"""),687.0)</f>
        <v>687</v>
      </c>
      <c r="U107" s="329">
        <f>IFERROR(__xludf.DUMMYFUNCTION("""COMPUTED_VALUE"""),457.0)</f>
        <v>457</v>
      </c>
      <c r="V107" s="329">
        <f>IFERROR(__xludf.DUMMYFUNCTION("""COMPUTED_VALUE"""),445.0)</f>
        <v>445</v>
      </c>
      <c r="W107" s="329">
        <f>IFERROR(__xludf.DUMMYFUNCTION("""COMPUTED_VALUE"""),67.0)</f>
        <v>67</v>
      </c>
      <c r="X107" s="329">
        <f>IFERROR(__xludf.DUMMYFUNCTION("""COMPUTED_VALUE"""),54.0)</f>
        <v>54</v>
      </c>
      <c r="Y107" s="329">
        <f>IFERROR(__xludf.DUMMYFUNCTION("""COMPUTED_VALUE"""),11.0)</f>
        <v>11</v>
      </c>
      <c r="Z107" s="329">
        <f>IFERROR(__xludf.DUMMYFUNCTION("""COMPUTED_VALUE"""),1857.0)</f>
        <v>1857</v>
      </c>
      <c r="AA107" s="258">
        <f>IFERROR(__xludf.DUMMYFUNCTION("""COMPUTED_VALUE"""),975.0)</f>
        <v>975</v>
      </c>
      <c r="AB107" s="258">
        <f>IFERROR(__xludf.DUMMYFUNCTION("""COMPUTED_VALUE"""),0.0)</f>
        <v>0</v>
      </c>
      <c r="AC107" s="258">
        <f>IFERROR(__xludf.DUMMYFUNCTION("""COMPUTED_VALUE"""),975.0)</f>
        <v>975</v>
      </c>
      <c r="AD107" s="258">
        <f>IFERROR(__xludf.DUMMYFUNCTION("""COMPUTED_VALUE"""),11478.0)</f>
        <v>11478</v>
      </c>
      <c r="AE107" s="258">
        <f>IFERROR(__xludf.DUMMYFUNCTION("""COMPUTED_VALUE"""),975.0)</f>
        <v>975</v>
      </c>
      <c r="AF107" s="258">
        <f>IFERROR(__xludf.DUMMYFUNCTION("""COMPUTED_VALUE"""),11478.0)</f>
        <v>11478</v>
      </c>
      <c r="AG107" s="258">
        <f>IFERROR(__xludf.DUMMYFUNCTION("""COMPUTED_VALUE"""),0.0)</f>
        <v>0</v>
      </c>
      <c r="AH107" s="258">
        <f>IFERROR(__xludf.DUMMYFUNCTION("""COMPUTED_VALUE"""),0.0)</f>
        <v>0</v>
      </c>
    </row>
    <row r="108">
      <c r="A108" s="328">
        <f>IFERROR(__xludf.DUMMYFUNCTION("""COMPUTED_VALUE"""),44192.0)</f>
        <v>44192</v>
      </c>
      <c r="B108" s="329">
        <f>IFERROR(__xludf.DUMMYFUNCTION("""COMPUTED_VALUE"""),791.0)</f>
        <v>791</v>
      </c>
      <c r="C108" s="329">
        <f>IFERROR(__xludf.DUMMYFUNCTION("""COMPUTED_VALUE"""),681.0)</f>
        <v>681</v>
      </c>
      <c r="D108" s="329">
        <f>IFERROR(__xludf.DUMMYFUNCTION("""COMPUTED_VALUE"""),103677.0)</f>
        <v>103677</v>
      </c>
      <c r="E108" s="329">
        <f>IFERROR(__xludf.DUMMYFUNCTION("""COMPUTED_VALUE"""),7566.0)</f>
        <v>7566</v>
      </c>
      <c r="F108" s="258">
        <f>IFERROR(__xludf.DUMMYFUNCTION("""COMPUTED_VALUE"""),1848493.0)</f>
        <v>1848493</v>
      </c>
      <c r="G108" s="258">
        <f>IFERROR(__xludf.DUMMYFUNCTION("""COMPUTED_VALUE"""),8357.0)</f>
        <v>8357</v>
      </c>
      <c r="H108" s="258">
        <f>IFERROR(__xludf.DUMMYFUNCTION("""COMPUTED_VALUE"""),1952170.0)</f>
        <v>1952170</v>
      </c>
      <c r="I108" s="329">
        <f>IFERROR(__xludf.DUMMYFUNCTION("""COMPUTED_VALUE"""),716.0)</f>
        <v>716</v>
      </c>
      <c r="J108" s="329">
        <f>IFERROR(__xludf.DUMMYFUNCTION("""COMPUTED_VALUE"""),587.0)</f>
        <v>587</v>
      </c>
      <c r="K108" s="329">
        <f>IFERROR(__xludf.DUMMYFUNCTION("""COMPUTED_VALUE"""),85808.0)</f>
        <v>85808</v>
      </c>
      <c r="L108" s="329">
        <f>IFERROR(__xludf.DUMMYFUNCTION("""COMPUTED_VALUE"""),1894.0)</f>
        <v>1894</v>
      </c>
      <c r="M108" s="329">
        <f>IFERROR(__xludf.DUMMYFUNCTION("""COMPUTED_VALUE"""),516513.0)</f>
        <v>516513</v>
      </c>
      <c r="N108" s="329">
        <f>IFERROR(__xludf.DUMMYFUNCTION("""COMPUTED_VALUE"""),602321.0)</f>
        <v>602321</v>
      </c>
      <c r="O108" s="329">
        <f>IFERROR(__xludf.DUMMYFUNCTION("""COMPUTED_VALUE"""),45.0)</f>
        <v>45</v>
      </c>
      <c r="P108" s="329">
        <f>IFERROR(__xludf.DUMMYFUNCTION("""COMPUTED_VALUE"""),6368.0)</f>
        <v>6368</v>
      </c>
      <c r="Q108" s="329">
        <f>IFERROR(__xludf.DUMMYFUNCTION("""COMPUTED_VALUE"""),22.0)</f>
        <v>22</v>
      </c>
      <c r="R108" s="329">
        <f>IFERROR(__xludf.DUMMYFUNCTION("""COMPUTED_VALUE"""),5201.0)</f>
        <v>5201</v>
      </c>
      <c r="S108" s="329">
        <f>IFERROR(__xludf.DUMMYFUNCTION("""COMPUTED_VALUE"""),8.0)</f>
        <v>8</v>
      </c>
      <c r="T108" s="329">
        <f>IFERROR(__xludf.DUMMYFUNCTION("""COMPUTED_VALUE"""),695.0)</f>
        <v>695</v>
      </c>
      <c r="U108" s="329">
        <f>IFERROR(__xludf.DUMMYFUNCTION("""COMPUTED_VALUE"""),472.0)</f>
        <v>472</v>
      </c>
      <c r="V108" s="329">
        <f>IFERROR(__xludf.DUMMYFUNCTION("""COMPUTED_VALUE"""),458.0)</f>
        <v>458</v>
      </c>
      <c r="W108" s="329">
        <f>IFERROR(__xludf.DUMMYFUNCTION("""COMPUTED_VALUE"""),68.0)</f>
        <v>68</v>
      </c>
      <c r="X108" s="329">
        <f>IFERROR(__xludf.DUMMYFUNCTION("""COMPUTED_VALUE"""),51.0)</f>
        <v>51</v>
      </c>
      <c r="Y108" s="329">
        <f>IFERROR(__xludf.DUMMYFUNCTION("""COMPUTED_VALUE"""),13.0)</f>
        <v>13</v>
      </c>
      <c r="Z108" s="329">
        <f>IFERROR(__xludf.DUMMYFUNCTION("""COMPUTED_VALUE"""),1870.0)</f>
        <v>1870</v>
      </c>
      <c r="AA108" s="258">
        <f>IFERROR(__xludf.DUMMYFUNCTION("""COMPUTED_VALUE"""),836.0)</f>
        <v>836</v>
      </c>
      <c r="AB108" s="258">
        <f>IFERROR(__xludf.DUMMYFUNCTION("""COMPUTED_VALUE"""),0.0)</f>
        <v>0</v>
      </c>
      <c r="AC108" s="258">
        <f>IFERROR(__xludf.DUMMYFUNCTION("""COMPUTED_VALUE"""),836.0)</f>
        <v>836</v>
      </c>
      <c r="AD108" s="258">
        <f>IFERROR(__xludf.DUMMYFUNCTION("""COMPUTED_VALUE"""),12314.0)</f>
        <v>12314</v>
      </c>
      <c r="AE108" s="258">
        <f>IFERROR(__xludf.DUMMYFUNCTION("""COMPUTED_VALUE"""),836.0)</f>
        <v>836</v>
      </c>
      <c r="AF108" s="258">
        <f>IFERROR(__xludf.DUMMYFUNCTION("""COMPUTED_VALUE"""),12314.0)</f>
        <v>12314</v>
      </c>
      <c r="AG108" s="258">
        <f>IFERROR(__xludf.DUMMYFUNCTION("""COMPUTED_VALUE"""),0.0)</f>
        <v>0</v>
      </c>
      <c r="AH108" s="258">
        <f>IFERROR(__xludf.DUMMYFUNCTION("""COMPUTED_VALUE"""),0.0)</f>
        <v>0</v>
      </c>
    </row>
    <row r="109">
      <c r="A109" s="328">
        <f>IFERROR(__xludf.DUMMYFUNCTION("""COMPUTED_VALUE"""),44193.0)</f>
        <v>44193</v>
      </c>
      <c r="B109" s="329">
        <f>IFERROR(__xludf.DUMMYFUNCTION("""COMPUTED_VALUE"""),1500.0)</f>
        <v>1500</v>
      </c>
      <c r="C109" s="329">
        <f>IFERROR(__xludf.DUMMYFUNCTION("""COMPUTED_VALUE"""),1079.0)</f>
        <v>1079</v>
      </c>
      <c r="D109" s="329">
        <f>IFERROR(__xludf.DUMMYFUNCTION("""COMPUTED_VALUE"""),105177.0)</f>
        <v>105177</v>
      </c>
      <c r="E109" s="329">
        <f>IFERROR(__xludf.DUMMYFUNCTION("""COMPUTED_VALUE"""),12164.0)</f>
        <v>12164</v>
      </c>
      <c r="F109" s="258">
        <f>IFERROR(__xludf.DUMMYFUNCTION("""COMPUTED_VALUE"""),1860657.0)</f>
        <v>1860657</v>
      </c>
      <c r="G109" s="258">
        <f>IFERROR(__xludf.DUMMYFUNCTION("""COMPUTED_VALUE"""),13664.0)</f>
        <v>13664</v>
      </c>
      <c r="H109" s="258">
        <f>IFERROR(__xludf.DUMMYFUNCTION("""COMPUTED_VALUE"""),1965834.0)</f>
        <v>1965834</v>
      </c>
      <c r="I109" s="329">
        <f>IFERROR(__xludf.DUMMYFUNCTION("""COMPUTED_VALUE"""),1288.0)</f>
        <v>1288</v>
      </c>
      <c r="J109" s="329">
        <f>IFERROR(__xludf.DUMMYFUNCTION("""COMPUTED_VALUE"""),932.0)</f>
        <v>932</v>
      </c>
      <c r="K109" s="329">
        <f>IFERROR(__xludf.DUMMYFUNCTION("""COMPUTED_VALUE"""),87096.0)</f>
        <v>87096</v>
      </c>
      <c r="L109" s="329">
        <f>IFERROR(__xludf.DUMMYFUNCTION("""COMPUTED_VALUE"""),3202.0)</f>
        <v>3202</v>
      </c>
      <c r="M109" s="329">
        <f>IFERROR(__xludf.DUMMYFUNCTION("""COMPUTED_VALUE"""),519715.0)</f>
        <v>519715</v>
      </c>
      <c r="N109" s="329">
        <f>IFERROR(__xludf.DUMMYFUNCTION("""COMPUTED_VALUE"""),606811.0)</f>
        <v>606811</v>
      </c>
      <c r="O109" s="329">
        <f>IFERROR(__xludf.DUMMYFUNCTION("""COMPUTED_VALUE"""),56.0)</f>
        <v>56</v>
      </c>
      <c r="P109" s="329">
        <f>IFERROR(__xludf.DUMMYFUNCTION("""COMPUTED_VALUE"""),6424.0)</f>
        <v>6424</v>
      </c>
      <c r="Q109" s="329">
        <f>IFERROR(__xludf.DUMMYFUNCTION("""COMPUTED_VALUE"""),44.0)</f>
        <v>44</v>
      </c>
      <c r="R109" s="329">
        <f>IFERROR(__xludf.DUMMYFUNCTION("""COMPUTED_VALUE"""),5245.0)</f>
        <v>5245</v>
      </c>
      <c r="S109" s="329">
        <f>IFERROR(__xludf.DUMMYFUNCTION("""COMPUTED_VALUE"""),5.0)</f>
        <v>5</v>
      </c>
      <c r="T109" s="329">
        <f>IFERROR(__xludf.DUMMYFUNCTION("""COMPUTED_VALUE"""),700.0)</f>
        <v>700</v>
      </c>
      <c r="U109" s="329">
        <f>IFERROR(__xludf.DUMMYFUNCTION("""COMPUTED_VALUE"""),479.0)</f>
        <v>479</v>
      </c>
      <c r="V109" s="329">
        <f>IFERROR(__xludf.DUMMYFUNCTION("""COMPUTED_VALUE"""),469.0)</f>
        <v>469</v>
      </c>
      <c r="W109" s="329">
        <f>IFERROR(__xludf.DUMMYFUNCTION("""COMPUTED_VALUE"""),72.0)</f>
        <v>72</v>
      </c>
      <c r="X109" s="329">
        <f>IFERROR(__xludf.DUMMYFUNCTION("""COMPUTED_VALUE"""),50.0)</f>
        <v>50</v>
      </c>
      <c r="Y109" s="329">
        <f>IFERROR(__xludf.DUMMYFUNCTION("""COMPUTED_VALUE"""),14.0)</f>
        <v>14</v>
      </c>
      <c r="Z109" s="329">
        <f>IFERROR(__xludf.DUMMYFUNCTION("""COMPUTED_VALUE"""),1884.0)</f>
        <v>1884</v>
      </c>
      <c r="AA109" s="258">
        <f>IFERROR(__xludf.DUMMYFUNCTION("""COMPUTED_VALUE"""),3567.0)</f>
        <v>3567</v>
      </c>
      <c r="AB109" s="258">
        <f>IFERROR(__xludf.DUMMYFUNCTION("""COMPUTED_VALUE"""),0.0)</f>
        <v>0</v>
      </c>
      <c r="AC109" s="258">
        <f>IFERROR(__xludf.DUMMYFUNCTION("""COMPUTED_VALUE"""),3567.0)</f>
        <v>3567</v>
      </c>
      <c r="AD109" s="258">
        <f>IFERROR(__xludf.DUMMYFUNCTION("""COMPUTED_VALUE"""),15881.0)</f>
        <v>15881</v>
      </c>
      <c r="AE109" s="258">
        <f>IFERROR(__xludf.DUMMYFUNCTION("""COMPUTED_VALUE"""),3567.0)</f>
        <v>3567</v>
      </c>
      <c r="AF109" s="258">
        <f>IFERROR(__xludf.DUMMYFUNCTION("""COMPUTED_VALUE"""),15881.0)</f>
        <v>15881</v>
      </c>
      <c r="AG109" s="258">
        <f>IFERROR(__xludf.DUMMYFUNCTION("""COMPUTED_VALUE"""),0.0)</f>
        <v>0</v>
      </c>
      <c r="AH109" s="258">
        <f>IFERROR(__xludf.DUMMYFUNCTION("""COMPUTED_VALUE"""),0.0)</f>
        <v>0</v>
      </c>
    </row>
    <row r="110">
      <c r="A110" s="328">
        <f>IFERROR(__xludf.DUMMYFUNCTION("""COMPUTED_VALUE"""),44194.0)</f>
        <v>44194</v>
      </c>
      <c r="B110" s="329">
        <f>IFERROR(__xludf.DUMMYFUNCTION("""COMPUTED_VALUE"""),1357.0)</f>
        <v>1357</v>
      </c>
      <c r="C110" s="329">
        <f>IFERROR(__xludf.DUMMYFUNCTION("""COMPUTED_VALUE"""),1216.0)</f>
        <v>1216</v>
      </c>
      <c r="D110" s="329">
        <f>IFERROR(__xludf.DUMMYFUNCTION("""COMPUTED_VALUE"""),106534.0)</f>
        <v>106534</v>
      </c>
      <c r="E110" s="329">
        <f>IFERROR(__xludf.DUMMYFUNCTION("""COMPUTED_VALUE"""),13787.0)</f>
        <v>13787</v>
      </c>
      <c r="F110" s="258">
        <f>IFERROR(__xludf.DUMMYFUNCTION("""COMPUTED_VALUE"""),1874444.0)</f>
        <v>1874444</v>
      </c>
      <c r="G110" s="258">
        <f>IFERROR(__xludf.DUMMYFUNCTION("""COMPUTED_VALUE"""),15144.0)</f>
        <v>15144</v>
      </c>
      <c r="H110" s="258">
        <f>IFERROR(__xludf.DUMMYFUNCTION("""COMPUTED_VALUE"""),1980978.0)</f>
        <v>1980978</v>
      </c>
      <c r="I110" s="329">
        <f>IFERROR(__xludf.DUMMYFUNCTION("""COMPUTED_VALUE"""),1204.0)</f>
        <v>1204</v>
      </c>
      <c r="J110" s="329">
        <f>IFERROR(__xludf.DUMMYFUNCTION("""COMPUTED_VALUE"""),1069.0)</f>
        <v>1069</v>
      </c>
      <c r="K110" s="329">
        <f>IFERROR(__xludf.DUMMYFUNCTION("""COMPUTED_VALUE"""),88300.0)</f>
        <v>88300</v>
      </c>
      <c r="L110" s="329">
        <f>IFERROR(__xludf.DUMMYFUNCTION("""COMPUTED_VALUE"""),2745.0)</f>
        <v>2745</v>
      </c>
      <c r="M110" s="329">
        <f>IFERROR(__xludf.DUMMYFUNCTION("""COMPUTED_VALUE"""),522460.0)</f>
        <v>522460</v>
      </c>
      <c r="N110" s="329">
        <f>IFERROR(__xludf.DUMMYFUNCTION("""COMPUTED_VALUE"""),610760.0)</f>
        <v>610760</v>
      </c>
      <c r="O110" s="329">
        <f>IFERROR(__xludf.DUMMYFUNCTION("""COMPUTED_VALUE"""),59.0)</f>
        <v>59</v>
      </c>
      <c r="P110" s="329">
        <f>IFERROR(__xludf.DUMMYFUNCTION("""COMPUTED_VALUE"""),6483.0)</f>
        <v>6483</v>
      </c>
      <c r="Q110" s="329">
        <f>IFERROR(__xludf.DUMMYFUNCTION("""COMPUTED_VALUE"""),56.0)</f>
        <v>56</v>
      </c>
      <c r="R110" s="329">
        <f>IFERROR(__xludf.DUMMYFUNCTION("""COMPUTED_VALUE"""),5301.0)</f>
        <v>5301</v>
      </c>
      <c r="S110" s="329">
        <f>IFERROR(__xludf.DUMMYFUNCTION("""COMPUTED_VALUE"""),6.0)</f>
        <v>6</v>
      </c>
      <c r="T110" s="329">
        <f>IFERROR(__xludf.DUMMYFUNCTION("""COMPUTED_VALUE"""),706.0)</f>
        <v>706</v>
      </c>
      <c r="U110" s="329">
        <f>IFERROR(__xludf.DUMMYFUNCTION("""COMPUTED_VALUE"""),476.0)</f>
        <v>476</v>
      </c>
      <c r="V110" s="329">
        <f>IFERROR(__xludf.DUMMYFUNCTION("""COMPUTED_VALUE"""),476.0)</f>
        <v>476</v>
      </c>
      <c r="W110" s="329">
        <f>IFERROR(__xludf.DUMMYFUNCTION("""COMPUTED_VALUE"""),70.0)</f>
        <v>70</v>
      </c>
      <c r="X110" s="329">
        <f>IFERROR(__xludf.DUMMYFUNCTION("""COMPUTED_VALUE"""),53.0)</f>
        <v>53</v>
      </c>
      <c r="Y110" s="329">
        <f>IFERROR(__xludf.DUMMYFUNCTION("""COMPUTED_VALUE"""),17.0)</f>
        <v>17</v>
      </c>
      <c r="Z110" s="329">
        <f>IFERROR(__xludf.DUMMYFUNCTION("""COMPUTED_VALUE"""),1901.0)</f>
        <v>1901</v>
      </c>
      <c r="AA110" s="258">
        <f>IFERROR(__xludf.DUMMYFUNCTION("""COMPUTED_VALUE"""),3084.0)</f>
        <v>3084</v>
      </c>
      <c r="AB110" s="258">
        <f>IFERROR(__xludf.DUMMYFUNCTION("""COMPUTED_VALUE"""),0.0)</f>
        <v>0</v>
      </c>
      <c r="AC110" s="258">
        <f>IFERROR(__xludf.DUMMYFUNCTION("""COMPUTED_VALUE"""),3084.0)</f>
        <v>3084</v>
      </c>
      <c r="AD110" s="258">
        <f>IFERROR(__xludf.DUMMYFUNCTION("""COMPUTED_VALUE"""),18965.0)</f>
        <v>18965</v>
      </c>
      <c r="AE110" s="258">
        <f>IFERROR(__xludf.DUMMYFUNCTION("""COMPUTED_VALUE"""),3084.0)</f>
        <v>3084</v>
      </c>
      <c r="AF110" s="258">
        <f>IFERROR(__xludf.DUMMYFUNCTION("""COMPUTED_VALUE"""),18965.0)</f>
        <v>18965</v>
      </c>
      <c r="AG110" s="258">
        <f>IFERROR(__xludf.DUMMYFUNCTION("""COMPUTED_VALUE"""),0.0)</f>
        <v>0</v>
      </c>
      <c r="AH110" s="258">
        <f>IFERROR(__xludf.DUMMYFUNCTION("""COMPUTED_VALUE"""),0.0)</f>
        <v>0</v>
      </c>
    </row>
    <row r="111">
      <c r="A111" s="328">
        <f>IFERROR(__xludf.DUMMYFUNCTION("""COMPUTED_VALUE"""),44195.0)</f>
        <v>44195</v>
      </c>
      <c r="B111" s="329">
        <f>IFERROR(__xludf.DUMMYFUNCTION("""COMPUTED_VALUE"""),1539.0)</f>
        <v>1539</v>
      </c>
      <c r="C111" s="329">
        <f>IFERROR(__xludf.DUMMYFUNCTION("""COMPUTED_VALUE"""),1465.0)</f>
        <v>1465</v>
      </c>
      <c r="D111" s="329">
        <f>IFERROR(__xludf.DUMMYFUNCTION("""COMPUTED_VALUE"""),108073.0)</f>
        <v>108073</v>
      </c>
      <c r="E111" s="329">
        <f>IFERROR(__xludf.DUMMYFUNCTION("""COMPUTED_VALUE"""),20035.0)</f>
        <v>20035</v>
      </c>
      <c r="F111" s="258">
        <f>IFERROR(__xludf.DUMMYFUNCTION("""COMPUTED_VALUE"""),1894479.0)</f>
        <v>1894479</v>
      </c>
      <c r="G111" s="258">
        <f>IFERROR(__xludf.DUMMYFUNCTION("""COMPUTED_VALUE"""),21574.0)</f>
        <v>21574</v>
      </c>
      <c r="H111" s="258">
        <f>IFERROR(__xludf.DUMMYFUNCTION("""COMPUTED_VALUE"""),2002552.0)</f>
        <v>2002552</v>
      </c>
      <c r="I111" s="329">
        <f>IFERROR(__xludf.DUMMYFUNCTION("""COMPUTED_VALUE"""),1377.0)</f>
        <v>1377</v>
      </c>
      <c r="J111" s="329">
        <f>IFERROR(__xludf.DUMMYFUNCTION("""COMPUTED_VALUE"""),1290.0)</f>
        <v>1290</v>
      </c>
      <c r="K111" s="329">
        <f>IFERROR(__xludf.DUMMYFUNCTION("""COMPUTED_VALUE"""),89677.0)</f>
        <v>89677</v>
      </c>
      <c r="L111" s="329">
        <f>IFERROR(__xludf.DUMMYFUNCTION("""COMPUTED_VALUE"""),3450.0)</f>
        <v>3450</v>
      </c>
      <c r="M111" s="329">
        <f>IFERROR(__xludf.DUMMYFUNCTION("""COMPUTED_VALUE"""),525910.0)</f>
        <v>525910</v>
      </c>
      <c r="N111" s="329">
        <f>IFERROR(__xludf.DUMMYFUNCTION("""COMPUTED_VALUE"""),615587.0)</f>
        <v>615587</v>
      </c>
      <c r="O111" s="329">
        <f>IFERROR(__xludf.DUMMYFUNCTION("""COMPUTED_VALUE"""),60.0)</f>
        <v>60</v>
      </c>
      <c r="P111" s="329">
        <f>IFERROR(__xludf.DUMMYFUNCTION("""COMPUTED_VALUE"""),6543.0)</f>
        <v>6543</v>
      </c>
      <c r="Q111" s="329">
        <f>IFERROR(__xludf.DUMMYFUNCTION("""COMPUTED_VALUE"""),57.0)</f>
        <v>57</v>
      </c>
      <c r="R111" s="329">
        <f>IFERROR(__xludf.DUMMYFUNCTION("""COMPUTED_VALUE"""),5358.0)</f>
        <v>5358</v>
      </c>
      <c r="S111" s="329">
        <f>IFERROR(__xludf.DUMMYFUNCTION("""COMPUTED_VALUE"""),5.0)</f>
        <v>5</v>
      </c>
      <c r="T111" s="329">
        <f>IFERROR(__xludf.DUMMYFUNCTION("""COMPUTED_VALUE"""),711.0)</f>
        <v>711</v>
      </c>
      <c r="U111" s="329">
        <f>IFERROR(__xludf.DUMMYFUNCTION("""COMPUTED_VALUE"""),474.0)</f>
        <v>474</v>
      </c>
      <c r="V111" s="329">
        <f>IFERROR(__xludf.DUMMYFUNCTION("""COMPUTED_VALUE"""),476.0)</f>
        <v>476</v>
      </c>
      <c r="W111" s="329">
        <f>IFERROR(__xludf.DUMMYFUNCTION("""COMPUTED_VALUE"""),66.0)</f>
        <v>66</v>
      </c>
      <c r="X111" s="329">
        <f>IFERROR(__xludf.DUMMYFUNCTION("""COMPUTED_VALUE"""),49.0)</f>
        <v>49</v>
      </c>
      <c r="Y111" s="329">
        <f>IFERROR(__xludf.DUMMYFUNCTION("""COMPUTED_VALUE"""),11.0)</f>
        <v>11</v>
      </c>
      <c r="Z111" s="329">
        <f>IFERROR(__xludf.DUMMYFUNCTION("""COMPUTED_VALUE"""),1912.0)</f>
        <v>1912</v>
      </c>
      <c r="AA111" s="258">
        <f>IFERROR(__xludf.DUMMYFUNCTION("""COMPUTED_VALUE"""),3225.0)</f>
        <v>3225</v>
      </c>
      <c r="AB111" s="258">
        <f>IFERROR(__xludf.DUMMYFUNCTION("""COMPUTED_VALUE"""),0.0)</f>
        <v>0</v>
      </c>
      <c r="AC111" s="258">
        <f>IFERROR(__xludf.DUMMYFUNCTION("""COMPUTED_VALUE"""),3225.0)</f>
        <v>3225</v>
      </c>
      <c r="AD111" s="258">
        <f>IFERROR(__xludf.DUMMYFUNCTION("""COMPUTED_VALUE"""),22190.0)</f>
        <v>22190</v>
      </c>
      <c r="AE111" s="258">
        <f>IFERROR(__xludf.DUMMYFUNCTION("""COMPUTED_VALUE"""),3225.0)</f>
        <v>3225</v>
      </c>
      <c r="AF111" s="258">
        <f>IFERROR(__xludf.DUMMYFUNCTION("""COMPUTED_VALUE"""),22190.0)</f>
        <v>22190</v>
      </c>
      <c r="AG111" s="258">
        <f>IFERROR(__xludf.DUMMYFUNCTION("""COMPUTED_VALUE"""),0.0)</f>
        <v>0</v>
      </c>
      <c r="AH111" s="258">
        <f>IFERROR(__xludf.DUMMYFUNCTION("""COMPUTED_VALUE"""),0.0)</f>
        <v>0</v>
      </c>
    </row>
    <row r="112">
      <c r="A112" s="328">
        <f>IFERROR(__xludf.DUMMYFUNCTION("""COMPUTED_VALUE"""),44196.0)</f>
        <v>44196</v>
      </c>
      <c r="B112" s="329">
        <f>IFERROR(__xludf.DUMMYFUNCTION("""COMPUTED_VALUE"""),1008.0)</f>
        <v>1008</v>
      </c>
      <c r="C112" s="329">
        <f>IFERROR(__xludf.DUMMYFUNCTION("""COMPUTED_VALUE"""),1301.0)</f>
        <v>1301</v>
      </c>
      <c r="D112" s="329">
        <f>IFERROR(__xludf.DUMMYFUNCTION("""COMPUTED_VALUE"""),109081.0)</f>
        <v>109081</v>
      </c>
      <c r="E112" s="329">
        <f>IFERROR(__xludf.DUMMYFUNCTION("""COMPUTED_VALUE"""),13998.0)</f>
        <v>13998</v>
      </c>
      <c r="F112" s="258">
        <f>IFERROR(__xludf.DUMMYFUNCTION("""COMPUTED_VALUE"""),1908477.0)</f>
        <v>1908477</v>
      </c>
      <c r="G112" s="258">
        <f>IFERROR(__xludf.DUMMYFUNCTION("""COMPUTED_VALUE"""),15006.0)</f>
        <v>15006</v>
      </c>
      <c r="H112" s="258">
        <f>IFERROR(__xludf.DUMMYFUNCTION("""COMPUTED_VALUE"""),2017558.0)</f>
        <v>2017558</v>
      </c>
      <c r="I112" s="329">
        <f>IFERROR(__xludf.DUMMYFUNCTION("""COMPUTED_VALUE"""),884.0)</f>
        <v>884</v>
      </c>
      <c r="J112" s="329">
        <f>IFERROR(__xludf.DUMMYFUNCTION("""COMPUTED_VALUE"""),1155.0)</f>
        <v>1155</v>
      </c>
      <c r="K112" s="329">
        <f>IFERROR(__xludf.DUMMYFUNCTION("""COMPUTED_VALUE"""),90561.0)</f>
        <v>90561</v>
      </c>
      <c r="L112" s="329">
        <f>IFERROR(__xludf.DUMMYFUNCTION("""COMPUTED_VALUE"""),2906.0)</f>
        <v>2906</v>
      </c>
      <c r="M112" s="329">
        <f>IFERROR(__xludf.DUMMYFUNCTION("""COMPUTED_VALUE"""),528816.0)</f>
        <v>528816</v>
      </c>
      <c r="N112" s="329">
        <f>IFERROR(__xludf.DUMMYFUNCTION("""COMPUTED_VALUE"""),619377.0)</f>
        <v>619377</v>
      </c>
      <c r="O112" s="329">
        <f>IFERROR(__xludf.DUMMYFUNCTION("""COMPUTED_VALUE"""),57.0)</f>
        <v>57</v>
      </c>
      <c r="P112" s="329">
        <f>IFERROR(__xludf.DUMMYFUNCTION("""COMPUTED_VALUE"""),6600.0)</f>
        <v>6600</v>
      </c>
      <c r="Q112" s="329">
        <f>IFERROR(__xludf.DUMMYFUNCTION("""COMPUTED_VALUE"""),60.0)</f>
        <v>60</v>
      </c>
      <c r="R112" s="329">
        <f>IFERROR(__xludf.DUMMYFUNCTION("""COMPUTED_VALUE"""),5418.0)</f>
        <v>5418</v>
      </c>
      <c r="S112" s="329">
        <f>IFERROR(__xludf.DUMMYFUNCTION("""COMPUTED_VALUE"""),14.0)</f>
        <v>14</v>
      </c>
      <c r="T112" s="329">
        <f>IFERROR(__xludf.DUMMYFUNCTION("""COMPUTED_VALUE"""),725.0)</f>
        <v>725</v>
      </c>
      <c r="U112" s="329">
        <f>IFERROR(__xludf.DUMMYFUNCTION("""COMPUTED_VALUE"""),457.0)</f>
        <v>457</v>
      </c>
      <c r="V112" s="329">
        <f>IFERROR(__xludf.DUMMYFUNCTION("""COMPUTED_VALUE"""),469.0)</f>
        <v>469</v>
      </c>
      <c r="W112" s="329">
        <f>IFERROR(__xludf.DUMMYFUNCTION("""COMPUTED_VALUE"""),60.0)</f>
        <v>60</v>
      </c>
      <c r="X112" s="329">
        <f>IFERROR(__xludf.DUMMYFUNCTION("""COMPUTED_VALUE"""),44.0)</f>
        <v>44</v>
      </c>
      <c r="Y112" s="329">
        <f>IFERROR(__xludf.DUMMYFUNCTION("""COMPUTED_VALUE"""),19.0)</f>
        <v>19</v>
      </c>
      <c r="Z112" s="329">
        <f>IFERROR(__xludf.DUMMYFUNCTION("""COMPUTED_VALUE"""),1931.0)</f>
        <v>1931</v>
      </c>
      <c r="AA112" s="258">
        <f>IFERROR(__xludf.DUMMYFUNCTION("""COMPUTED_VALUE"""),777.0)</f>
        <v>777</v>
      </c>
      <c r="AB112" s="258">
        <f>IFERROR(__xludf.DUMMYFUNCTION("""COMPUTED_VALUE"""),0.0)</f>
        <v>0</v>
      </c>
      <c r="AC112" s="258">
        <f>IFERROR(__xludf.DUMMYFUNCTION("""COMPUTED_VALUE"""),777.0)</f>
        <v>777</v>
      </c>
      <c r="AD112" s="258">
        <f>IFERROR(__xludf.DUMMYFUNCTION("""COMPUTED_VALUE"""),22967.0)</f>
        <v>22967</v>
      </c>
      <c r="AE112" s="258">
        <f>IFERROR(__xludf.DUMMYFUNCTION("""COMPUTED_VALUE"""),777.0)</f>
        <v>777</v>
      </c>
      <c r="AF112" s="258">
        <f>IFERROR(__xludf.DUMMYFUNCTION("""COMPUTED_VALUE"""),22967.0)</f>
        <v>22967</v>
      </c>
      <c r="AG112" s="258">
        <f>IFERROR(__xludf.DUMMYFUNCTION("""COMPUTED_VALUE"""),0.0)</f>
        <v>0</v>
      </c>
      <c r="AH112" s="258">
        <f>IFERROR(__xludf.DUMMYFUNCTION("""COMPUTED_VALUE"""),0.0)</f>
        <v>0</v>
      </c>
    </row>
    <row r="113">
      <c r="A113" s="328">
        <f>IFERROR(__xludf.DUMMYFUNCTION("""COMPUTED_VALUE"""),44197.0)</f>
        <v>44197</v>
      </c>
      <c r="B113" s="329">
        <f>IFERROR(__xludf.DUMMYFUNCTION("""COMPUTED_VALUE"""),928.0)</f>
        <v>928</v>
      </c>
      <c r="C113" s="329">
        <f>IFERROR(__xludf.DUMMYFUNCTION("""COMPUTED_VALUE"""),1158.0)</f>
        <v>1158</v>
      </c>
      <c r="D113" s="329">
        <f>IFERROR(__xludf.DUMMYFUNCTION("""COMPUTED_VALUE"""),110009.0)</f>
        <v>110009</v>
      </c>
      <c r="E113" s="329">
        <f>IFERROR(__xludf.DUMMYFUNCTION("""COMPUTED_VALUE"""),10823.0)</f>
        <v>10823</v>
      </c>
      <c r="F113" s="258">
        <f>IFERROR(__xludf.DUMMYFUNCTION("""COMPUTED_VALUE"""),1919300.0)</f>
        <v>1919300</v>
      </c>
      <c r="G113" s="258">
        <f>IFERROR(__xludf.DUMMYFUNCTION("""COMPUTED_VALUE"""),11751.0)</f>
        <v>11751</v>
      </c>
      <c r="H113" s="258">
        <f>IFERROR(__xludf.DUMMYFUNCTION("""COMPUTED_VALUE"""),2029309.0)</f>
        <v>2029309</v>
      </c>
      <c r="I113" s="329">
        <f>IFERROR(__xludf.DUMMYFUNCTION("""COMPUTED_VALUE"""),778.0)</f>
        <v>778</v>
      </c>
      <c r="J113" s="329">
        <f>IFERROR(__xludf.DUMMYFUNCTION("""COMPUTED_VALUE"""),1013.0)</f>
        <v>1013</v>
      </c>
      <c r="K113" s="329">
        <f>IFERROR(__xludf.DUMMYFUNCTION("""COMPUTED_VALUE"""),91339.0)</f>
        <v>91339</v>
      </c>
      <c r="L113" s="329">
        <f>IFERROR(__xludf.DUMMYFUNCTION("""COMPUTED_VALUE"""),1916.0)</f>
        <v>1916</v>
      </c>
      <c r="M113" s="329">
        <f>IFERROR(__xludf.DUMMYFUNCTION("""COMPUTED_VALUE"""),530732.0)</f>
        <v>530732</v>
      </c>
      <c r="N113" s="329">
        <f>IFERROR(__xludf.DUMMYFUNCTION("""COMPUTED_VALUE"""),622071.0)</f>
        <v>622071</v>
      </c>
      <c r="O113" s="329">
        <f>IFERROR(__xludf.DUMMYFUNCTION("""COMPUTED_VALUE"""),52.0)</f>
        <v>52</v>
      </c>
      <c r="P113" s="329">
        <f>IFERROR(__xludf.DUMMYFUNCTION("""COMPUTED_VALUE"""),6652.0)</f>
        <v>6652</v>
      </c>
      <c r="Q113" s="329">
        <f>IFERROR(__xludf.DUMMYFUNCTION("""COMPUTED_VALUE"""),46.0)</f>
        <v>46</v>
      </c>
      <c r="R113" s="329">
        <f>IFERROR(__xludf.DUMMYFUNCTION("""COMPUTED_VALUE"""),5464.0)</f>
        <v>5464</v>
      </c>
      <c r="S113" s="329">
        <f>IFERROR(__xludf.DUMMYFUNCTION("""COMPUTED_VALUE"""),9.0)</f>
        <v>9</v>
      </c>
      <c r="T113" s="329">
        <f>IFERROR(__xludf.DUMMYFUNCTION("""COMPUTED_VALUE"""),734.0)</f>
        <v>734</v>
      </c>
      <c r="U113" s="329">
        <f>IFERROR(__xludf.DUMMYFUNCTION("""COMPUTED_VALUE"""),454.0)</f>
        <v>454</v>
      </c>
      <c r="V113" s="329">
        <f>IFERROR(__xludf.DUMMYFUNCTION("""COMPUTED_VALUE"""),462.0)</f>
        <v>462</v>
      </c>
      <c r="W113" s="329">
        <f>IFERROR(__xludf.DUMMYFUNCTION("""COMPUTED_VALUE"""),60.0)</f>
        <v>60</v>
      </c>
      <c r="X113" s="329">
        <f>IFERROR(__xludf.DUMMYFUNCTION("""COMPUTED_VALUE"""),46.0)</f>
        <v>46</v>
      </c>
      <c r="Y113" s="329">
        <f>IFERROR(__xludf.DUMMYFUNCTION("""COMPUTED_VALUE"""),14.0)</f>
        <v>14</v>
      </c>
      <c r="Z113" s="329">
        <f>IFERROR(__xludf.DUMMYFUNCTION("""COMPUTED_VALUE"""),1945.0)</f>
        <v>1945</v>
      </c>
      <c r="AA113" s="258">
        <f>IFERROR(__xludf.DUMMYFUNCTION("""COMPUTED_VALUE"""),66.0)</f>
        <v>66</v>
      </c>
      <c r="AB113" s="258">
        <f>IFERROR(__xludf.DUMMYFUNCTION("""COMPUTED_VALUE"""),0.0)</f>
        <v>0</v>
      </c>
      <c r="AC113" s="258">
        <f>IFERROR(__xludf.DUMMYFUNCTION("""COMPUTED_VALUE"""),66.0)</f>
        <v>66</v>
      </c>
      <c r="AD113" s="258">
        <f>IFERROR(__xludf.DUMMYFUNCTION("""COMPUTED_VALUE"""),23033.0)</f>
        <v>23033</v>
      </c>
      <c r="AE113" s="258">
        <f>IFERROR(__xludf.DUMMYFUNCTION("""COMPUTED_VALUE"""),66.0)</f>
        <v>66</v>
      </c>
      <c r="AF113" s="258">
        <f>IFERROR(__xludf.DUMMYFUNCTION("""COMPUTED_VALUE"""),23033.0)</f>
        <v>23033</v>
      </c>
      <c r="AG113" s="258">
        <f>IFERROR(__xludf.DUMMYFUNCTION("""COMPUTED_VALUE"""),0.0)</f>
        <v>0</v>
      </c>
      <c r="AH113" s="258">
        <f>IFERROR(__xludf.DUMMYFUNCTION("""COMPUTED_VALUE"""),0.0)</f>
        <v>0</v>
      </c>
    </row>
    <row r="114">
      <c r="A114" s="328">
        <f>IFERROR(__xludf.DUMMYFUNCTION("""COMPUTED_VALUE"""),44198.0)</f>
        <v>44198</v>
      </c>
      <c r="B114" s="329">
        <f>IFERROR(__xludf.DUMMYFUNCTION("""COMPUTED_VALUE"""),1027.0)</f>
        <v>1027</v>
      </c>
      <c r="C114" s="329">
        <f>IFERROR(__xludf.DUMMYFUNCTION("""COMPUTED_VALUE"""),988.0)</f>
        <v>988</v>
      </c>
      <c r="D114" s="329">
        <f>IFERROR(__xludf.DUMMYFUNCTION("""COMPUTED_VALUE"""),111036.0)</f>
        <v>111036</v>
      </c>
      <c r="E114" s="329">
        <f>IFERROR(__xludf.DUMMYFUNCTION("""COMPUTED_VALUE"""),9835.0)</f>
        <v>9835</v>
      </c>
      <c r="F114" s="258">
        <f>IFERROR(__xludf.DUMMYFUNCTION("""COMPUTED_VALUE"""),1929135.0)</f>
        <v>1929135</v>
      </c>
      <c r="G114" s="258">
        <f>IFERROR(__xludf.DUMMYFUNCTION("""COMPUTED_VALUE"""),10862.0)</f>
        <v>10862</v>
      </c>
      <c r="H114" s="258">
        <f>IFERROR(__xludf.DUMMYFUNCTION("""COMPUTED_VALUE"""),2040171.0)</f>
        <v>2040171</v>
      </c>
      <c r="I114" s="329">
        <f>IFERROR(__xludf.DUMMYFUNCTION("""COMPUTED_VALUE"""),872.0)</f>
        <v>872</v>
      </c>
      <c r="J114" s="329">
        <f>IFERROR(__xludf.DUMMYFUNCTION("""COMPUTED_VALUE"""),845.0)</f>
        <v>845</v>
      </c>
      <c r="K114" s="329">
        <f>IFERROR(__xludf.DUMMYFUNCTION("""COMPUTED_VALUE"""),92211.0)</f>
        <v>92211</v>
      </c>
      <c r="L114" s="329">
        <f>IFERROR(__xludf.DUMMYFUNCTION("""COMPUTED_VALUE"""),2156.0)</f>
        <v>2156</v>
      </c>
      <c r="M114" s="329">
        <f>IFERROR(__xludf.DUMMYFUNCTION("""COMPUTED_VALUE"""),532888.0)</f>
        <v>532888</v>
      </c>
      <c r="N114" s="329">
        <f>IFERROR(__xludf.DUMMYFUNCTION("""COMPUTED_VALUE"""),625099.0)</f>
        <v>625099</v>
      </c>
      <c r="O114" s="329">
        <f>IFERROR(__xludf.DUMMYFUNCTION("""COMPUTED_VALUE"""),51.0)</f>
        <v>51</v>
      </c>
      <c r="P114" s="329">
        <f>IFERROR(__xludf.DUMMYFUNCTION("""COMPUTED_VALUE"""),6703.0)</f>
        <v>6703</v>
      </c>
      <c r="Q114" s="329">
        <f>IFERROR(__xludf.DUMMYFUNCTION("""COMPUTED_VALUE"""),33.0)</f>
        <v>33</v>
      </c>
      <c r="R114" s="329">
        <f>IFERROR(__xludf.DUMMYFUNCTION("""COMPUTED_VALUE"""),5497.0)</f>
        <v>5497</v>
      </c>
      <c r="S114" s="329">
        <f>IFERROR(__xludf.DUMMYFUNCTION("""COMPUTED_VALUE"""),5.0)</f>
        <v>5</v>
      </c>
      <c r="T114" s="329">
        <f>IFERROR(__xludf.DUMMYFUNCTION("""COMPUTED_VALUE"""),739.0)</f>
        <v>739</v>
      </c>
      <c r="U114" s="329">
        <f>IFERROR(__xludf.DUMMYFUNCTION("""COMPUTED_VALUE"""),467.0)</f>
        <v>467</v>
      </c>
      <c r="V114" s="329">
        <f>IFERROR(__xludf.DUMMYFUNCTION("""COMPUTED_VALUE"""),459.0)</f>
        <v>459</v>
      </c>
      <c r="W114" s="329">
        <f>IFERROR(__xludf.DUMMYFUNCTION("""COMPUTED_VALUE"""),59.0)</f>
        <v>59</v>
      </c>
      <c r="X114" s="329">
        <f>IFERROR(__xludf.DUMMYFUNCTION("""COMPUTED_VALUE"""),42.0)</f>
        <v>42</v>
      </c>
      <c r="Y114" s="329">
        <f>IFERROR(__xludf.DUMMYFUNCTION("""COMPUTED_VALUE"""),14.0)</f>
        <v>14</v>
      </c>
      <c r="Z114" s="329">
        <f>IFERROR(__xludf.DUMMYFUNCTION("""COMPUTED_VALUE"""),1959.0)</f>
        <v>1959</v>
      </c>
      <c r="AA114" s="258">
        <f>IFERROR(__xludf.DUMMYFUNCTION("""COMPUTED_VALUE"""),1753.0)</f>
        <v>1753</v>
      </c>
      <c r="AB114" s="258">
        <f>IFERROR(__xludf.DUMMYFUNCTION("""COMPUTED_VALUE"""),20.0)</f>
        <v>20</v>
      </c>
      <c r="AC114" s="258">
        <f>IFERROR(__xludf.DUMMYFUNCTION("""COMPUTED_VALUE"""),1773.0)</f>
        <v>1773</v>
      </c>
      <c r="AD114" s="258">
        <f>IFERROR(__xludf.DUMMYFUNCTION("""COMPUTED_VALUE"""),24806.0)</f>
        <v>24806</v>
      </c>
      <c r="AE114" s="258">
        <f>IFERROR(__xludf.DUMMYFUNCTION("""COMPUTED_VALUE"""),1753.0)</f>
        <v>1753</v>
      </c>
      <c r="AF114" s="258">
        <f>IFERROR(__xludf.DUMMYFUNCTION("""COMPUTED_VALUE"""),24786.0)</f>
        <v>24786</v>
      </c>
      <c r="AG114" s="258">
        <f>IFERROR(__xludf.DUMMYFUNCTION("""COMPUTED_VALUE"""),20.0)</f>
        <v>20</v>
      </c>
      <c r="AH114" s="258">
        <f>IFERROR(__xludf.DUMMYFUNCTION("""COMPUTED_VALUE"""),20.0)</f>
        <v>20</v>
      </c>
    </row>
    <row r="115">
      <c r="A115" s="328">
        <f>IFERROR(__xludf.DUMMYFUNCTION("""COMPUTED_VALUE"""),44199.0)</f>
        <v>44199</v>
      </c>
      <c r="B115" s="329">
        <f>IFERROR(__xludf.DUMMYFUNCTION("""COMPUTED_VALUE"""),760.0)</f>
        <v>760</v>
      </c>
      <c r="C115" s="329">
        <f>IFERROR(__xludf.DUMMYFUNCTION("""COMPUTED_VALUE"""),905.0)</f>
        <v>905</v>
      </c>
      <c r="D115" s="329">
        <f>IFERROR(__xludf.DUMMYFUNCTION("""COMPUTED_VALUE"""),111796.0)</f>
        <v>111796</v>
      </c>
      <c r="E115" s="329">
        <f>IFERROR(__xludf.DUMMYFUNCTION("""COMPUTED_VALUE"""),8247.0)</f>
        <v>8247</v>
      </c>
      <c r="F115" s="258">
        <f>IFERROR(__xludf.DUMMYFUNCTION("""COMPUTED_VALUE"""),1937382.0)</f>
        <v>1937382</v>
      </c>
      <c r="G115" s="258">
        <f>IFERROR(__xludf.DUMMYFUNCTION("""COMPUTED_VALUE"""),9007.0)</f>
        <v>9007</v>
      </c>
      <c r="H115" s="258">
        <f>IFERROR(__xludf.DUMMYFUNCTION("""COMPUTED_VALUE"""),2049178.0)</f>
        <v>2049178</v>
      </c>
      <c r="I115" s="329">
        <f>IFERROR(__xludf.DUMMYFUNCTION("""COMPUTED_VALUE"""),650.0)</f>
        <v>650</v>
      </c>
      <c r="J115" s="329">
        <f>IFERROR(__xludf.DUMMYFUNCTION("""COMPUTED_VALUE"""),767.0)</f>
        <v>767</v>
      </c>
      <c r="K115" s="329">
        <f>IFERROR(__xludf.DUMMYFUNCTION("""COMPUTED_VALUE"""),92861.0)</f>
        <v>92861</v>
      </c>
      <c r="L115" s="329">
        <f>IFERROR(__xludf.DUMMYFUNCTION("""COMPUTED_VALUE"""),2111.0)</f>
        <v>2111</v>
      </c>
      <c r="M115" s="329">
        <f>IFERROR(__xludf.DUMMYFUNCTION("""COMPUTED_VALUE"""),534999.0)</f>
        <v>534999</v>
      </c>
      <c r="N115" s="329">
        <f>IFERROR(__xludf.DUMMYFUNCTION("""COMPUTED_VALUE"""),627860.0)</f>
        <v>627860</v>
      </c>
      <c r="O115" s="329">
        <f>IFERROR(__xludf.DUMMYFUNCTION("""COMPUTED_VALUE"""),39.0)</f>
        <v>39</v>
      </c>
      <c r="P115" s="329">
        <f>IFERROR(__xludf.DUMMYFUNCTION("""COMPUTED_VALUE"""),6742.0)</f>
        <v>6742</v>
      </c>
      <c r="Q115" s="329">
        <f>IFERROR(__xludf.DUMMYFUNCTION("""COMPUTED_VALUE"""),40.0)</f>
        <v>40</v>
      </c>
      <c r="R115" s="329">
        <f>IFERROR(__xludf.DUMMYFUNCTION("""COMPUTED_VALUE"""),5537.0)</f>
        <v>5537</v>
      </c>
      <c r="S115" s="329">
        <f>IFERROR(__xludf.DUMMYFUNCTION("""COMPUTED_VALUE"""),9.0)</f>
        <v>9</v>
      </c>
      <c r="T115" s="329">
        <f>IFERROR(__xludf.DUMMYFUNCTION("""COMPUTED_VALUE"""),748.0)</f>
        <v>748</v>
      </c>
      <c r="U115" s="329">
        <f>IFERROR(__xludf.DUMMYFUNCTION("""COMPUTED_VALUE"""),457.0)</f>
        <v>457</v>
      </c>
      <c r="V115" s="329">
        <f>IFERROR(__xludf.DUMMYFUNCTION("""COMPUTED_VALUE"""),459.0)</f>
        <v>459</v>
      </c>
      <c r="W115" s="329">
        <f>IFERROR(__xludf.DUMMYFUNCTION("""COMPUTED_VALUE"""),61.0)</f>
        <v>61</v>
      </c>
      <c r="X115" s="329">
        <f>IFERROR(__xludf.DUMMYFUNCTION("""COMPUTED_VALUE"""),42.0)</f>
        <v>42</v>
      </c>
      <c r="Y115" s="329">
        <f>IFERROR(__xludf.DUMMYFUNCTION("""COMPUTED_VALUE"""),17.0)</f>
        <v>17</v>
      </c>
      <c r="Z115" s="329">
        <f>IFERROR(__xludf.DUMMYFUNCTION("""COMPUTED_VALUE"""),1976.0)</f>
        <v>1976</v>
      </c>
      <c r="AA115" s="258">
        <f>IFERROR(__xludf.DUMMYFUNCTION("""COMPUTED_VALUE"""),1729.0)</f>
        <v>1729</v>
      </c>
      <c r="AB115" s="258">
        <f>IFERROR(__xludf.DUMMYFUNCTION("""COMPUTED_VALUE"""),102.0)</f>
        <v>102</v>
      </c>
      <c r="AC115" s="258">
        <f>IFERROR(__xludf.DUMMYFUNCTION("""COMPUTED_VALUE"""),1831.0)</f>
        <v>1831</v>
      </c>
      <c r="AD115" s="258">
        <f>IFERROR(__xludf.DUMMYFUNCTION("""COMPUTED_VALUE"""),26637.0)</f>
        <v>26637</v>
      </c>
      <c r="AE115" s="258">
        <f>IFERROR(__xludf.DUMMYFUNCTION("""COMPUTED_VALUE"""),1729.0)</f>
        <v>1729</v>
      </c>
      <c r="AF115" s="258">
        <f>IFERROR(__xludf.DUMMYFUNCTION("""COMPUTED_VALUE"""),26515.0)</f>
        <v>26515</v>
      </c>
      <c r="AG115" s="258">
        <f>IFERROR(__xludf.DUMMYFUNCTION("""COMPUTED_VALUE"""),102.0)</f>
        <v>102</v>
      </c>
      <c r="AH115" s="258">
        <f>IFERROR(__xludf.DUMMYFUNCTION("""COMPUTED_VALUE"""),122.0)</f>
        <v>122</v>
      </c>
    </row>
    <row r="116">
      <c r="A116" s="328">
        <f>IFERROR(__xludf.DUMMYFUNCTION("""COMPUTED_VALUE"""),44200.0)</f>
        <v>44200</v>
      </c>
      <c r="B116" s="329">
        <f>IFERROR(__xludf.DUMMYFUNCTION("""COMPUTED_VALUE"""),1264.0)</f>
        <v>1264</v>
      </c>
      <c r="C116" s="329">
        <f>IFERROR(__xludf.DUMMYFUNCTION("""COMPUTED_VALUE"""),1017.0)</f>
        <v>1017</v>
      </c>
      <c r="D116" s="329">
        <f>IFERROR(__xludf.DUMMYFUNCTION("""COMPUTED_VALUE"""),113060.0)</f>
        <v>113060</v>
      </c>
      <c r="E116" s="329">
        <f>IFERROR(__xludf.DUMMYFUNCTION("""COMPUTED_VALUE"""),11850.0)</f>
        <v>11850</v>
      </c>
      <c r="F116" s="258">
        <f>IFERROR(__xludf.DUMMYFUNCTION("""COMPUTED_VALUE"""),1949232.0)</f>
        <v>1949232</v>
      </c>
      <c r="G116" s="258">
        <f>IFERROR(__xludf.DUMMYFUNCTION("""COMPUTED_VALUE"""),13114.0)</f>
        <v>13114</v>
      </c>
      <c r="H116" s="258">
        <f>IFERROR(__xludf.DUMMYFUNCTION("""COMPUTED_VALUE"""),2062292.0)</f>
        <v>2062292</v>
      </c>
      <c r="I116" s="329">
        <f>IFERROR(__xludf.DUMMYFUNCTION("""COMPUTED_VALUE"""),1153.0)</f>
        <v>1153</v>
      </c>
      <c r="J116" s="329">
        <f>IFERROR(__xludf.DUMMYFUNCTION("""COMPUTED_VALUE"""),892.0)</f>
        <v>892</v>
      </c>
      <c r="K116" s="329">
        <f>IFERROR(__xludf.DUMMYFUNCTION("""COMPUTED_VALUE"""),94014.0)</f>
        <v>94014</v>
      </c>
      <c r="L116" s="329">
        <f>IFERROR(__xludf.DUMMYFUNCTION("""COMPUTED_VALUE"""),2938.0)</f>
        <v>2938</v>
      </c>
      <c r="M116" s="329">
        <f>IFERROR(__xludf.DUMMYFUNCTION("""COMPUTED_VALUE"""),537937.0)</f>
        <v>537937</v>
      </c>
      <c r="N116" s="329">
        <f>IFERROR(__xludf.DUMMYFUNCTION("""COMPUTED_VALUE"""),631951.0)</f>
        <v>631951</v>
      </c>
      <c r="O116" s="329">
        <f>IFERROR(__xludf.DUMMYFUNCTION("""COMPUTED_VALUE"""),67.0)</f>
        <v>67</v>
      </c>
      <c r="P116" s="329">
        <f>IFERROR(__xludf.DUMMYFUNCTION("""COMPUTED_VALUE"""),6809.0)</f>
        <v>6809</v>
      </c>
      <c r="Q116" s="329">
        <f>IFERROR(__xludf.DUMMYFUNCTION("""COMPUTED_VALUE"""),60.0)</f>
        <v>60</v>
      </c>
      <c r="R116" s="329">
        <f>IFERROR(__xludf.DUMMYFUNCTION("""COMPUTED_VALUE"""),5597.0)</f>
        <v>5597</v>
      </c>
      <c r="S116" s="329">
        <f>IFERROR(__xludf.DUMMYFUNCTION("""COMPUTED_VALUE"""),12.0)</f>
        <v>12</v>
      </c>
      <c r="T116" s="329">
        <f>IFERROR(__xludf.DUMMYFUNCTION("""COMPUTED_VALUE"""),760.0)</f>
        <v>760</v>
      </c>
      <c r="U116" s="329">
        <f>IFERROR(__xludf.DUMMYFUNCTION("""COMPUTED_VALUE"""),452.0)</f>
        <v>452</v>
      </c>
      <c r="V116" s="329">
        <f>IFERROR(__xludf.DUMMYFUNCTION("""COMPUTED_VALUE"""),459.0)</f>
        <v>459</v>
      </c>
      <c r="W116" s="329">
        <f>IFERROR(__xludf.DUMMYFUNCTION("""COMPUTED_VALUE"""),64.0)</f>
        <v>64</v>
      </c>
      <c r="X116" s="329">
        <f>IFERROR(__xludf.DUMMYFUNCTION("""COMPUTED_VALUE"""),42.0)</f>
        <v>42</v>
      </c>
      <c r="Y116" s="329">
        <f>IFERROR(__xludf.DUMMYFUNCTION("""COMPUTED_VALUE"""),19.0)</f>
        <v>19</v>
      </c>
      <c r="Z116" s="329">
        <f>IFERROR(__xludf.DUMMYFUNCTION("""COMPUTED_VALUE"""),1995.0)</f>
        <v>1995</v>
      </c>
      <c r="AA116" s="258">
        <f>IFERROR(__xludf.DUMMYFUNCTION("""COMPUTED_VALUE"""),2344.0)</f>
        <v>2344</v>
      </c>
      <c r="AB116" s="258">
        <f>IFERROR(__xludf.DUMMYFUNCTION("""COMPUTED_VALUE"""),282.0)</f>
        <v>282</v>
      </c>
      <c r="AC116" s="258">
        <f>IFERROR(__xludf.DUMMYFUNCTION("""COMPUTED_VALUE"""),2626.0)</f>
        <v>2626</v>
      </c>
      <c r="AD116" s="258">
        <f>IFERROR(__xludf.DUMMYFUNCTION("""COMPUTED_VALUE"""),29263.0)</f>
        <v>29263</v>
      </c>
      <c r="AE116" s="258">
        <f>IFERROR(__xludf.DUMMYFUNCTION("""COMPUTED_VALUE"""),2344.0)</f>
        <v>2344</v>
      </c>
      <c r="AF116" s="258">
        <f>IFERROR(__xludf.DUMMYFUNCTION("""COMPUTED_VALUE"""),28859.0)</f>
        <v>28859</v>
      </c>
      <c r="AG116" s="258">
        <f>IFERROR(__xludf.DUMMYFUNCTION("""COMPUTED_VALUE"""),282.0)</f>
        <v>282</v>
      </c>
      <c r="AH116" s="258">
        <f>IFERROR(__xludf.DUMMYFUNCTION("""COMPUTED_VALUE"""),404.0)</f>
        <v>404</v>
      </c>
    </row>
    <row r="117">
      <c r="A117" s="328">
        <f>IFERROR(__xludf.DUMMYFUNCTION("""COMPUTED_VALUE"""),44201.0)</f>
        <v>44201</v>
      </c>
      <c r="B117" s="329">
        <f>IFERROR(__xludf.DUMMYFUNCTION("""COMPUTED_VALUE"""),1882.0)</f>
        <v>1882</v>
      </c>
      <c r="C117" s="329">
        <f>IFERROR(__xludf.DUMMYFUNCTION("""COMPUTED_VALUE"""),1302.0)</f>
        <v>1302</v>
      </c>
      <c r="D117" s="329">
        <f>IFERROR(__xludf.DUMMYFUNCTION("""COMPUTED_VALUE"""),114942.0)</f>
        <v>114942</v>
      </c>
      <c r="E117" s="329">
        <f>IFERROR(__xludf.DUMMYFUNCTION("""COMPUTED_VALUE"""),19205.0)</f>
        <v>19205</v>
      </c>
      <c r="F117" s="258">
        <f>IFERROR(__xludf.DUMMYFUNCTION("""COMPUTED_VALUE"""),1968437.0)</f>
        <v>1968437</v>
      </c>
      <c r="G117" s="258">
        <f>IFERROR(__xludf.DUMMYFUNCTION("""COMPUTED_VALUE"""),21087.0)</f>
        <v>21087</v>
      </c>
      <c r="H117" s="258">
        <f>IFERROR(__xludf.DUMMYFUNCTION("""COMPUTED_VALUE"""),2083379.0)</f>
        <v>2083379</v>
      </c>
      <c r="I117" s="329">
        <f>IFERROR(__xludf.DUMMYFUNCTION("""COMPUTED_VALUE"""),1581.0)</f>
        <v>1581</v>
      </c>
      <c r="J117" s="329">
        <f>IFERROR(__xludf.DUMMYFUNCTION("""COMPUTED_VALUE"""),1128.0)</f>
        <v>1128</v>
      </c>
      <c r="K117" s="329">
        <f>IFERROR(__xludf.DUMMYFUNCTION("""COMPUTED_VALUE"""),95595.0)</f>
        <v>95595</v>
      </c>
      <c r="L117" s="329">
        <f>IFERROR(__xludf.DUMMYFUNCTION("""COMPUTED_VALUE"""),3836.0)</f>
        <v>3836</v>
      </c>
      <c r="M117" s="329">
        <f>IFERROR(__xludf.DUMMYFUNCTION("""COMPUTED_VALUE"""),541773.0)</f>
        <v>541773</v>
      </c>
      <c r="N117" s="329">
        <f>IFERROR(__xludf.DUMMYFUNCTION("""COMPUTED_VALUE"""),637368.0)</f>
        <v>637368</v>
      </c>
      <c r="O117" s="329">
        <f>IFERROR(__xludf.DUMMYFUNCTION("""COMPUTED_VALUE"""),56.0)</f>
        <v>56</v>
      </c>
      <c r="P117" s="329">
        <f>IFERROR(__xludf.DUMMYFUNCTION("""COMPUTED_VALUE"""),6865.0)</f>
        <v>6865</v>
      </c>
      <c r="Q117" s="329">
        <f>IFERROR(__xludf.DUMMYFUNCTION("""COMPUTED_VALUE"""),55.0)</f>
        <v>55</v>
      </c>
      <c r="R117" s="329">
        <f>IFERROR(__xludf.DUMMYFUNCTION("""COMPUTED_VALUE"""),5652.0)</f>
        <v>5652</v>
      </c>
      <c r="S117" s="329">
        <f>IFERROR(__xludf.DUMMYFUNCTION("""COMPUTED_VALUE"""),7.0)</f>
        <v>7</v>
      </c>
      <c r="T117" s="329">
        <f>IFERROR(__xludf.DUMMYFUNCTION("""COMPUTED_VALUE"""),767.0)</f>
        <v>767</v>
      </c>
      <c r="U117" s="329">
        <f>IFERROR(__xludf.DUMMYFUNCTION("""COMPUTED_VALUE"""),446.0)</f>
        <v>446</v>
      </c>
      <c r="V117" s="329">
        <f>IFERROR(__xludf.DUMMYFUNCTION("""COMPUTED_VALUE"""),452.0)</f>
        <v>452</v>
      </c>
      <c r="W117" s="329">
        <f>IFERROR(__xludf.DUMMYFUNCTION("""COMPUTED_VALUE"""),63.0)</f>
        <v>63</v>
      </c>
      <c r="X117" s="329">
        <f>IFERROR(__xludf.DUMMYFUNCTION("""COMPUTED_VALUE"""),41.0)</f>
        <v>41</v>
      </c>
      <c r="Y117" s="329">
        <f>IFERROR(__xludf.DUMMYFUNCTION("""COMPUTED_VALUE"""),13.0)</f>
        <v>13</v>
      </c>
      <c r="Z117" s="329">
        <f>IFERROR(__xludf.DUMMYFUNCTION("""COMPUTED_VALUE"""),2008.0)</f>
        <v>2008</v>
      </c>
      <c r="AA117" s="258">
        <f>IFERROR(__xludf.DUMMYFUNCTION("""COMPUTED_VALUE"""),2519.0)</f>
        <v>2519</v>
      </c>
      <c r="AB117" s="258">
        <f>IFERROR(__xludf.DUMMYFUNCTION("""COMPUTED_VALUE"""),240.0)</f>
        <v>240</v>
      </c>
      <c r="AC117" s="258">
        <f>IFERROR(__xludf.DUMMYFUNCTION("""COMPUTED_VALUE"""),2759.0)</f>
        <v>2759</v>
      </c>
      <c r="AD117" s="258">
        <f>IFERROR(__xludf.DUMMYFUNCTION("""COMPUTED_VALUE"""),32022.0)</f>
        <v>32022</v>
      </c>
      <c r="AE117" s="258">
        <f>IFERROR(__xludf.DUMMYFUNCTION("""COMPUTED_VALUE"""),2519.0)</f>
        <v>2519</v>
      </c>
      <c r="AF117" s="258">
        <f>IFERROR(__xludf.DUMMYFUNCTION("""COMPUTED_VALUE"""),31378.0)</f>
        <v>31378</v>
      </c>
      <c r="AG117" s="258">
        <f>IFERROR(__xludf.DUMMYFUNCTION("""COMPUTED_VALUE"""),240.0)</f>
        <v>240</v>
      </c>
      <c r="AH117" s="258">
        <f>IFERROR(__xludf.DUMMYFUNCTION("""COMPUTED_VALUE"""),644.0)</f>
        <v>644</v>
      </c>
    </row>
    <row r="118">
      <c r="A118" s="328">
        <f>IFERROR(__xludf.DUMMYFUNCTION("""COMPUTED_VALUE"""),44202.0)</f>
        <v>44202</v>
      </c>
      <c r="B118" s="329">
        <f>IFERROR(__xludf.DUMMYFUNCTION("""COMPUTED_VALUE"""),1372.0)</f>
        <v>1372</v>
      </c>
      <c r="C118" s="329">
        <f>IFERROR(__xludf.DUMMYFUNCTION("""COMPUTED_VALUE"""),1506.0)</f>
        <v>1506</v>
      </c>
      <c r="D118" s="329">
        <f>IFERROR(__xludf.DUMMYFUNCTION("""COMPUTED_VALUE"""),116314.0)</f>
        <v>116314</v>
      </c>
      <c r="E118" s="329">
        <f>IFERROR(__xludf.DUMMYFUNCTION("""COMPUTED_VALUE"""),18324.0)</f>
        <v>18324</v>
      </c>
      <c r="F118" s="258">
        <f>IFERROR(__xludf.DUMMYFUNCTION("""COMPUTED_VALUE"""),1986761.0)</f>
        <v>1986761</v>
      </c>
      <c r="G118" s="258">
        <f>IFERROR(__xludf.DUMMYFUNCTION("""COMPUTED_VALUE"""),19696.0)</f>
        <v>19696</v>
      </c>
      <c r="H118" s="258">
        <f>IFERROR(__xludf.DUMMYFUNCTION("""COMPUTED_VALUE"""),2103075.0)</f>
        <v>2103075</v>
      </c>
      <c r="I118" s="329">
        <f>IFERROR(__xludf.DUMMYFUNCTION("""COMPUTED_VALUE"""),1215.0)</f>
        <v>1215</v>
      </c>
      <c r="J118" s="329">
        <f>IFERROR(__xludf.DUMMYFUNCTION("""COMPUTED_VALUE"""),1316.0)</f>
        <v>1316</v>
      </c>
      <c r="K118" s="329">
        <f>IFERROR(__xludf.DUMMYFUNCTION("""COMPUTED_VALUE"""),96810.0)</f>
        <v>96810</v>
      </c>
      <c r="L118" s="329">
        <f>IFERROR(__xludf.DUMMYFUNCTION("""COMPUTED_VALUE"""),3047.0)</f>
        <v>3047</v>
      </c>
      <c r="M118" s="329">
        <f>IFERROR(__xludf.DUMMYFUNCTION("""COMPUTED_VALUE"""),544820.0)</f>
        <v>544820</v>
      </c>
      <c r="N118" s="329">
        <f>IFERROR(__xludf.DUMMYFUNCTION("""COMPUTED_VALUE"""),641630.0)</f>
        <v>641630</v>
      </c>
      <c r="O118" s="329">
        <f>IFERROR(__xludf.DUMMYFUNCTION("""COMPUTED_VALUE"""),59.0)</f>
        <v>59</v>
      </c>
      <c r="P118" s="329">
        <f>IFERROR(__xludf.DUMMYFUNCTION("""COMPUTED_VALUE"""),6924.0)</f>
        <v>6924</v>
      </c>
      <c r="Q118" s="329">
        <f>IFERROR(__xludf.DUMMYFUNCTION("""COMPUTED_VALUE"""),60.0)</f>
        <v>60</v>
      </c>
      <c r="R118" s="329">
        <f>IFERROR(__xludf.DUMMYFUNCTION("""COMPUTED_VALUE"""),5712.0)</f>
        <v>5712</v>
      </c>
      <c r="S118" s="329">
        <f>IFERROR(__xludf.DUMMYFUNCTION("""COMPUTED_VALUE"""),12.0)</f>
        <v>12</v>
      </c>
      <c r="T118" s="329">
        <f>IFERROR(__xludf.DUMMYFUNCTION("""COMPUTED_VALUE"""),779.0)</f>
        <v>779</v>
      </c>
      <c r="U118" s="329">
        <f>IFERROR(__xludf.DUMMYFUNCTION("""COMPUTED_VALUE"""),433.0)</f>
        <v>433</v>
      </c>
      <c r="V118" s="329">
        <f>IFERROR(__xludf.DUMMYFUNCTION("""COMPUTED_VALUE"""),444.0)</f>
        <v>444</v>
      </c>
      <c r="W118" s="329">
        <f>IFERROR(__xludf.DUMMYFUNCTION("""COMPUTED_VALUE"""),58.0)</f>
        <v>58</v>
      </c>
      <c r="X118" s="329">
        <f>IFERROR(__xludf.DUMMYFUNCTION("""COMPUTED_VALUE"""),39.0)</f>
        <v>39</v>
      </c>
      <c r="Y118" s="329">
        <f>IFERROR(__xludf.DUMMYFUNCTION("""COMPUTED_VALUE"""),19.0)</f>
        <v>19</v>
      </c>
      <c r="Z118" s="329">
        <f>IFERROR(__xludf.DUMMYFUNCTION("""COMPUTED_VALUE"""),2027.0)</f>
        <v>2027</v>
      </c>
      <c r="AA118" s="258">
        <f>IFERROR(__xludf.DUMMYFUNCTION("""COMPUTED_VALUE"""),1637.0)</f>
        <v>1637</v>
      </c>
      <c r="AB118" s="258">
        <f>IFERROR(__xludf.DUMMYFUNCTION("""COMPUTED_VALUE"""),470.0)</f>
        <v>470</v>
      </c>
      <c r="AC118" s="258">
        <f>IFERROR(__xludf.DUMMYFUNCTION("""COMPUTED_VALUE"""),2107.0)</f>
        <v>2107</v>
      </c>
      <c r="AD118" s="258">
        <f>IFERROR(__xludf.DUMMYFUNCTION("""COMPUTED_VALUE"""),34129.0)</f>
        <v>34129</v>
      </c>
      <c r="AE118" s="258">
        <f>IFERROR(__xludf.DUMMYFUNCTION("""COMPUTED_VALUE"""),1637.0)</f>
        <v>1637</v>
      </c>
      <c r="AF118" s="258">
        <f>IFERROR(__xludf.DUMMYFUNCTION("""COMPUTED_VALUE"""),33015.0)</f>
        <v>33015</v>
      </c>
      <c r="AG118" s="258">
        <f>IFERROR(__xludf.DUMMYFUNCTION("""COMPUTED_VALUE"""),470.0)</f>
        <v>470</v>
      </c>
      <c r="AH118" s="258">
        <f>IFERROR(__xludf.DUMMYFUNCTION("""COMPUTED_VALUE"""),1114.0)</f>
        <v>1114</v>
      </c>
    </row>
    <row r="119">
      <c r="A119" s="328">
        <f>IFERROR(__xludf.DUMMYFUNCTION("""COMPUTED_VALUE"""),44203.0)</f>
        <v>44203</v>
      </c>
      <c r="B119" s="329">
        <f>IFERROR(__xludf.DUMMYFUNCTION("""COMPUTED_VALUE"""),1262.0)</f>
        <v>1262</v>
      </c>
      <c r="C119" s="329">
        <f>IFERROR(__xludf.DUMMYFUNCTION("""COMPUTED_VALUE"""),1505.0)</f>
        <v>1505</v>
      </c>
      <c r="D119" s="329">
        <f>IFERROR(__xludf.DUMMYFUNCTION("""COMPUTED_VALUE"""),117576.0)</f>
        <v>117576</v>
      </c>
      <c r="E119" s="329">
        <f>IFERROR(__xludf.DUMMYFUNCTION("""COMPUTED_VALUE"""),17441.0)</f>
        <v>17441</v>
      </c>
      <c r="F119" s="258">
        <f>IFERROR(__xludf.DUMMYFUNCTION("""COMPUTED_VALUE"""),2004202.0)</f>
        <v>2004202</v>
      </c>
      <c r="G119" s="258">
        <f>IFERROR(__xludf.DUMMYFUNCTION("""COMPUTED_VALUE"""),18703.0)</f>
        <v>18703</v>
      </c>
      <c r="H119" s="258">
        <f>IFERROR(__xludf.DUMMYFUNCTION("""COMPUTED_VALUE"""),2121778.0)</f>
        <v>2121778</v>
      </c>
      <c r="I119" s="329">
        <f>IFERROR(__xludf.DUMMYFUNCTION("""COMPUTED_VALUE"""),1181.0)</f>
        <v>1181</v>
      </c>
      <c r="J119" s="329">
        <f>IFERROR(__xludf.DUMMYFUNCTION("""COMPUTED_VALUE"""),1326.0)</f>
        <v>1326</v>
      </c>
      <c r="K119" s="329">
        <f>IFERROR(__xludf.DUMMYFUNCTION("""COMPUTED_VALUE"""),97991.0)</f>
        <v>97991</v>
      </c>
      <c r="L119" s="329">
        <f>IFERROR(__xludf.DUMMYFUNCTION("""COMPUTED_VALUE"""),3246.0)</f>
        <v>3246</v>
      </c>
      <c r="M119" s="329">
        <f>IFERROR(__xludf.DUMMYFUNCTION("""COMPUTED_VALUE"""),548066.0)</f>
        <v>548066</v>
      </c>
      <c r="N119" s="329">
        <f>IFERROR(__xludf.DUMMYFUNCTION("""COMPUTED_VALUE"""),646057.0)</f>
        <v>646057</v>
      </c>
      <c r="O119" s="329">
        <f>IFERROR(__xludf.DUMMYFUNCTION("""COMPUTED_VALUE"""),51.0)</f>
        <v>51</v>
      </c>
      <c r="P119" s="329">
        <f>IFERROR(__xludf.DUMMYFUNCTION("""COMPUTED_VALUE"""),6975.0)</f>
        <v>6975</v>
      </c>
      <c r="Q119" s="329">
        <f>IFERROR(__xludf.DUMMYFUNCTION("""COMPUTED_VALUE"""),55.0)</f>
        <v>55</v>
      </c>
      <c r="R119" s="329">
        <f>IFERROR(__xludf.DUMMYFUNCTION("""COMPUTED_VALUE"""),5767.0)</f>
        <v>5767</v>
      </c>
      <c r="S119" s="329">
        <f>IFERROR(__xludf.DUMMYFUNCTION("""COMPUTED_VALUE"""),4.0)</f>
        <v>4</v>
      </c>
      <c r="T119" s="329">
        <f>IFERROR(__xludf.DUMMYFUNCTION("""COMPUTED_VALUE"""),783.0)</f>
        <v>783</v>
      </c>
      <c r="U119" s="329">
        <f>IFERROR(__xludf.DUMMYFUNCTION("""COMPUTED_VALUE"""),425.0)</f>
        <v>425</v>
      </c>
      <c r="V119" s="329">
        <f>IFERROR(__xludf.DUMMYFUNCTION("""COMPUTED_VALUE"""),435.0)</f>
        <v>435</v>
      </c>
      <c r="W119" s="329">
        <f>IFERROR(__xludf.DUMMYFUNCTION("""COMPUTED_VALUE"""),57.0)</f>
        <v>57</v>
      </c>
      <c r="X119" s="329">
        <f>IFERROR(__xludf.DUMMYFUNCTION("""COMPUTED_VALUE"""),36.0)</f>
        <v>36</v>
      </c>
      <c r="Y119" s="329">
        <f>IFERROR(__xludf.DUMMYFUNCTION("""COMPUTED_VALUE"""),11.0)</f>
        <v>11</v>
      </c>
      <c r="Z119" s="329">
        <f>IFERROR(__xludf.DUMMYFUNCTION("""COMPUTED_VALUE"""),2038.0)</f>
        <v>2038</v>
      </c>
      <c r="AA119" s="258">
        <f>IFERROR(__xludf.DUMMYFUNCTION("""COMPUTED_VALUE"""),1751.0)</f>
        <v>1751</v>
      </c>
      <c r="AB119" s="258">
        <f>IFERROR(__xludf.DUMMYFUNCTION("""COMPUTED_VALUE"""),706.0)</f>
        <v>706</v>
      </c>
      <c r="AC119" s="258">
        <f>IFERROR(__xludf.DUMMYFUNCTION("""COMPUTED_VALUE"""),2457.0)</f>
        <v>2457</v>
      </c>
      <c r="AD119" s="258">
        <f>IFERROR(__xludf.DUMMYFUNCTION("""COMPUTED_VALUE"""),36586.0)</f>
        <v>36586</v>
      </c>
      <c r="AE119" s="258">
        <f>IFERROR(__xludf.DUMMYFUNCTION("""COMPUTED_VALUE"""),1751.0)</f>
        <v>1751</v>
      </c>
      <c r="AF119" s="258">
        <f>IFERROR(__xludf.DUMMYFUNCTION("""COMPUTED_VALUE"""),34766.0)</f>
        <v>34766</v>
      </c>
      <c r="AG119" s="258">
        <f>IFERROR(__xludf.DUMMYFUNCTION("""COMPUTED_VALUE"""),706.0)</f>
        <v>706</v>
      </c>
      <c r="AH119" s="258">
        <f>IFERROR(__xludf.DUMMYFUNCTION("""COMPUTED_VALUE"""),1820.0)</f>
        <v>1820</v>
      </c>
    </row>
    <row r="120">
      <c r="A120" s="328">
        <f>IFERROR(__xludf.DUMMYFUNCTION("""COMPUTED_VALUE"""),44204.0)</f>
        <v>44204</v>
      </c>
      <c r="B120" s="329">
        <f>IFERROR(__xludf.DUMMYFUNCTION("""COMPUTED_VALUE"""),1421.0)</f>
        <v>1421</v>
      </c>
      <c r="C120" s="329">
        <f>IFERROR(__xludf.DUMMYFUNCTION("""COMPUTED_VALUE"""),1352.0)</f>
        <v>1352</v>
      </c>
      <c r="D120" s="329">
        <f>IFERROR(__xludf.DUMMYFUNCTION("""COMPUTED_VALUE"""),118997.0)</f>
        <v>118997</v>
      </c>
      <c r="E120" s="329">
        <f>IFERROR(__xludf.DUMMYFUNCTION("""COMPUTED_VALUE"""),20468.0)</f>
        <v>20468</v>
      </c>
      <c r="F120" s="258">
        <f>IFERROR(__xludf.DUMMYFUNCTION("""COMPUTED_VALUE"""),2024670.0)</f>
        <v>2024670</v>
      </c>
      <c r="G120" s="258">
        <f>IFERROR(__xludf.DUMMYFUNCTION("""COMPUTED_VALUE"""),21889.0)</f>
        <v>21889</v>
      </c>
      <c r="H120" s="258">
        <f>IFERROR(__xludf.DUMMYFUNCTION("""COMPUTED_VALUE"""),2143667.0)</f>
        <v>2143667</v>
      </c>
      <c r="I120" s="329">
        <f>IFERROR(__xludf.DUMMYFUNCTION("""COMPUTED_VALUE"""),1183.0)</f>
        <v>1183</v>
      </c>
      <c r="J120" s="329">
        <f>IFERROR(__xludf.DUMMYFUNCTION("""COMPUTED_VALUE"""),1193.0)</f>
        <v>1193</v>
      </c>
      <c r="K120" s="329">
        <f>IFERROR(__xludf.DUMMYFUNCTION("""COMPUTED_VALUE"""),99174.0)</f>
        <v>99174</v>
      </c>
      <c r="L120" s="329">
        <f>IFERROR(__xludf.DUMMYFUNCTION("""COMPUTED_VALUE"""),3857.0)</f>
        <v>3857</v>
      </c>
      <c r="M120" s="329">
        <f>IFERROR(__xludf.DUMMYFUNCTION("""COMPUTED_VALUE"""),551923.0)</f>
        <v>551923</v>
      </c>
      <c r="N120" s="329">
        <f>IFERROR(__xludf.DUMMYFUNCTION("""COMPUTED_VALUE"""),651097.0)</f>
        <v>651097</v>
      </c>
      <c r="O120" s="329">
        <f>IFERROR(__xludf.DUMMYFUNCTION("""COMPUTED_VALUE"""),56.0)</f>
        <v>56</v>
      </c>
      <c r="P120" s="329">
        <f>IFERROR(__xludf.DUMMYFUNCTION("""COMPUTED_VALUE"""),7031.0)</f>
        <v>7031</v>
      </c>
      <c r="Q120" s="329">
        <f>IFERROR(__xludf.DUMMYFUNCTION("""COMPUTED_VALUE"""),51.0)</f>
        <v>51</v>
      </c>
      <c r="R120" s="329">
        <f>IFERROR(__xludf.DUMMYFUNCTION("""COMPUTED_VALUE"""),5818.0)</f>
        <v>5818</v>
      </c>
      <c r="S120" s="329">
        <f>IFERROR(__xludf.DUMMYFUNCTION("""COMPUTED_VALUE"""),6.0)</f>
        <v>6</v>
      </c>
      <c r="T120" s="329">
        <f>IFERROR(__xludf.DUMMYFUNCTION("""COMPUTED_VALUE"""),789.0)</f>
        <v>789</v>
      </c>
      <c r="U120" s="329">
        <f>IFERROR(__xludf.DUMMYFUNCTION("""COMPUTED_VALUE"""),424.0)</f>
        <v>424</v>
      </c>
      <c r="V120" s="329">
        <f>IFERROR(__xludf.DUMMYFUNCTION("""COMPUTED_VALUE"""),427.0)</f>
        <v>427</v>
      </c>
      <c r="W120" s="329">
        <f>IFERROR(__xludf.DUMMYFUNCTION("""COMPUTED_VALUE"""),54.0)</f>
        <v>54</v>
      </c>
      <c r="X120" s="329">
        <f>IFERROR(__xludf.DUMMYFUNCTION("""COMPUTED_VALUE"""),35.0)</f>
        <v>35</v>
      </c>
      <c r="Y120" s="329">
        <f>IFERROR(__xludf.DUMMYFUNCTION("""COMPUTED_VALUE"""),13.0)</f>
        <v>13</v>
      </c>
      <c r="Z120" s="329">
        <f>IFERROR(__xludf.DUMMYFUNCTION("""COMPUTED_VALUE"""),2051.0)</f>
        <v>2051</v>
      </c>
      <c r="AA120" s="258">
        <f>IFERROR(__xludf.DUMMYFUNCTION("""COMPUTED_VALUE"""),1795.0)</f>
        <v>1795</v>
      </c>
      <c r="AB120" s="258">
        <f>IFERROR(__xludf.DUMMYFUNCTION("""COMPUTED_VALUE"""),1556.0)</f>
        <v>1556</v>
      </c>
      <c r="AC120" s="258">
        <f>IFERROR(__xludf.DUMMYFUNCTION("""COMPUTED_VALUE"""),3351.0)</f>
        <v>3351</v>
      </c>
      <c r="AD120" s="258">
        <f>IFERROR(__xludf.DUMMYFUNCTION("""COMPUTED_VALUE"""),39937.0)</f>
        <v>39937</v>
      </c>
      <c r="AE120" s="258">
        <f>IFERROR(__xludf.DUMMYFUNCTION("""COMPUTED_VALUE"""),1795.0)</f>
        <v>1795</v>
      </c>
      <c r="AF120" s="258">
        <f>IFERROR(__xludf.DUMMYFUNCTION("""COMPUTED_VALUE"""),36561.0)</f>
        <v>36561</v>
      </c>
      <c r="AG120" s="258">
        <f>IFERROR(__xludf.DUMMYFUNCTION("""COMPUTED_VALUE"""),1556.0)</f>
        <v>1556</v>
      </c>
      <c r="AH120" s="258">
        <f>IFERROR(__xludf.DUMMYFUNCTION("""COMPUTED_VALUE"""),3376.0)</f>
        <v>3376</v>
      </c>
    </row>
    <row r="121">
      <c r="A121" s="328">
        <f>IFERROR(__xludf.DUMMYFUNCTION("""COMPUTED_VALUE"""),44205.0)</f>
        <v>44205</v>
      </c>
      <c r="B121" s="329">
        <f>IFERROR(__xludf.DUMMYFUNCTION("""COMPUTED_VALUE"""),1287.0)</f>
        <v>1287</v>
      </c>
      <c r="C121" s="329">
        <f>IFERROR(__xludf.DUMMYFUNCTION("""COMPUTED_VALUE"""),1323.0)</f>
        <v>1323</v>
      </c>
      <c r="D121" s="329">
        <f>IFERROR(__xludf.DUMMYFUNCTION("""COMPUTED_VALUE"""),120284.0)</f>
        <v>120284</v>
      </c>
      <c r="E121" s="329">
        <f>IFERROR(__xludf.DUMMYFUNCTION("""COMPUTED_VALUE"""),17329.0)</f>
        <v>17329</v>
      </c>
      <c r="F121" s="258">
        <f>IFERROR(__xludf.DUMMYFUNCTION("""COMPUTED_VALUE"""),2041999.0)</f>
        <v>2041999</v>
      </c>
      <c r="G121" s="258">
        <f>IFERROR(__xludf.DUMMYFUNCTION("""COMPUTED_VALUE"""),18616.0)</f>
        <v>18616</v>
      </c>
      <c r="H121" s="258">
        <f>IFERROR(__xludf.DUMMYFUNCTION("""COMPUTED_VALUE"""),2162283.0)</f>
        <v>2162283</v>
      </c>
      <c r="I121" s="329">
        <f>IFERROR(__xludf.DUMMYFUNCTION("""COMPUTED_VALUE"""),1095.0)</f>
        <v>1095</v>
      </c>
      <c r="J121" s="329">
        <f>IFERROR(__xludf.DUMMYFUNCTION("""COMPUTED_VALUE"""),1153.0)</f>
        <v>1153</v>
      </c>
      <c r="K121" s="329">
        <f>IFERROR(__xludf.DUMMYFUNCTION("""COMPUTED_VALUE"""),100269.0)</f>
        <v>100269</v>
      </c>
      <c r="L121" s="329">
        <f>IFERROR(__xludf.DUMMYFUNCTION("""COMPUTED_VALUE"""),3379.0)</f>
        <v>3379</v>
      </c>
      <c r="M121" s="329">
        <f>IFERROR(__xludf.DUMMYFUNCTION("""COMPUTED_VALUE"""),555302.0)</f>
        <v>555302</v>
      </c>
      <c r="N121" s="329">
        <f>IFERROR(__xludf.DUMMYFUNCTION("""COMPUTED_VALUE"""),655571.0)</f>
        <v>655571</v>
      </c>
      <c r="O121" s="329">
        <f>IFERROR(__xludf.DUMMYFUNCTION("""COMPUTED_VALUE"""),65.0)</f>
        <v>65</v>
      </c>
      <c r="P121" s="329">
        <f>IFERROR(__xludf.DUMMYFUNCTION("""COMPUTED_VALUE"""),7096.0)</f>
        <v>7096</v>
      </c>
      <c r="Q121" s="329">
        <f>IFERROR(__xludf.DUMMYFUNCTION("""COMPUTED_VALUE"""),38.0)</f>
        <v>38</v>
      </c>
      <c r="R121" s="329">
        <f>IFERROR(__xludf.DUMMYFUNCTION("""COMPUTED_VALUE"""),5856.0)</f>
        <v>5856</v>
      </c>
      <c r="S121" s="329">
        <f>IFERROR(__xludf.DUMMYFUNCTION("""COMPUTED_VALUE"""),6.0)</f>
        <v>6</v>
      </c>
      <c r="T121" s="329">
        <f>IFERROR(__xludf.DUMMYFUNCTION("""COMPUTED_VALUE"""),795.0)</f>
        <v>795</v>
      </c>
      <c r="U121" s="329">
        <f>IFERROR(__xludf.DUMMYFUNCTION("""COMPUTED_VALUE"""),445.0)</f>
        <v>445</v>
      </c>
      <c r="V121" s="329">
        <f>IFERROR(__xludf.DUMMYFUNCTION("""COMPUTED_VALUE"""),431.0)</f>
        <v>431</v>
      </c>
      <c r="W121" s="329">
        <f>IFERROR(__xludf.DUMMYFUNCTION("""COMPUTED_VALUE"""),52.0)</f>
        <v>52</v>
      </c>
      <c r="X121" s="329">
        <f>IFERROR(__xludf.DUMMYFUNCTION("""COMPUTED_VALUE"""),33.0)</f>
        <v>33</v>
      </c>
      <c r="Y121" s="329">
        <f>IFERROR(__xludf.DUMMYFUNCTION("""COMPUTED_VALUE"""),15.0)</f>
        <v>15</v>
      </c>
      <c r="Z121" s="329">
        <f>IFERROR(__xludf.DUMMYFUNCTION("""COMPUTED_VALUE"""),2066.0)</f>
        <v>2066</v>
      </c>
      <c r="AA121" s="258">
        <f>IFERROR(__xludf.DUMMYFUNCTION("""COMPUTED_VALUE"""),1479.0)</f>
        <v>1479</v>
      </c>
      <c r="AB121" s="258">
        <f>IFERROR(__xludf.DUMMYFUNCTION("""COMPUTED_VALUE"""),697.0)</f>
        <v>697</v>
      </c>
      <c r="AC121" s="258">
        <f>IFERROR(__xludf.DUMMYFUNCTION("""COMPUTED_VALUE"""),2176.0)</f>
        <v>2176</v>
      </c>
      <c r="AD121" s="258">
        <f>IFERROR(__xludf.DUMMYFUNCTION("""COMPUTED_VALUE"""),42113.0)</f>
        <v>42113</v>
      </c>
      <c r="AE121" s="258">
        <f>IFERROR(__xludf.DUMMYFUNCTION("""COMPUTED_VALUE"""),1479.0)</f>
        <v>1479</v>
      </c>
      <c r="AF121" s="258">
        <f>IFERROR(__xludf.DUMMYFUNCTION("""COMPUTED_VALUE"""),38040.0)</f>
        <v>38040</v>
      </c>
      <c r="AG121" s="258">
        <f>IFERROR(__xludf.DUMMYFUNCTION("""COMPUTED_VALUE"""),697.0)</f>
        <v>697</v>
      </c>
      <c r="AH121" s="258">
        <f>IFERROR(__xludf.DUMMYFUNCTION("""COMPUTED_VALUE"""),4073.0)</f>
        <v>4073</v>
      </c>
    </row>
    <row r="122">
      <c r="A122" s="328">
        <f>IFERROR(__xludf.DUMMYFUNCTION("""COMPUTED_VALUE"""),44206.0)</f>
        <v>44206</v>
      </c>
      <c r="B122" s="329">
        <f>IFERROR(__xludf.DUMMYFUNCTION("""COMPUTED_VALUE"""),739.0)</f>
        <v>739</v>
      </c>
      <c r="C122" s="329">
        <f>IFERROR(__xludf.DUMMYFUNCTION("""COMPUTED_VALUE"""),1149.0)</f>
        <v>1149</v>
      </c>
      <c r="D122" s="329">
        <f>IFERROR(__xludf.DUMMYFUNCTION("""COMPUTED_VALUE"""),121023.0)</f>
        <v>121023</v>
      </c>
      <c r="E122" s="329">
        <f>IFERROR(__xludf.DUMMYFUNCTION("""COMPUTED_VALUE"""),8781.0)</f>
        <v>8781</v>
      </c>
      <c r="F122" s="258">
        <f>IFERROR(__xludf.DUMMYFUNCTION("""COMPUTED_VALUE"""),2050780.0)</f>
        <v>2050780</v>
      </c>
      <c r="G122" s="258">
        <f>IFERROR(__xludf.DUMMYFUNCTION("""COMPUTED_VALUE"""),9520.0)</f>
        <v>9520</v>
      </c>
      <c r="H122" s="258">
        <f>IFERROR(__xludf.DUMMYFUNCTION("""COMPUTED_VALUE"""),2171803.0)</f>
        <v>2171803</v>
      </c>
      <c r="I122" s="329">
        <f>IFERROR(__xludf.DUMMYFUNCTION("""COMPUTED_VALUE"""),656.0)</f>
        <v>656</v>
      </c>
      <c r="J122" s="329">
        <f>IFERROR(__xludf.DUMMYFUNCTION("""COMPUTED_VALUE"""),978.0)</f>
        <v>978</v>
      </c>
      <c r="K122" s="329">
        <f>IFERROR(__xludf.DUMMYFUNCTION("""COMPUTED_VALUE"""),100925.0)</f>
        <v>100925</v>
      </c>
      <c r="L122" s="329">
        <f>IFERROR(__xludf.DUMMYFUNCTION("""COMPUTED_VALUE"""),2056.0)</f>
        <v>2056</v>
      </c>
      <c r="M122" s="329">
        <f>IFERROR(__xludf.DUMMYFUNCTION("""COMPUTED_VALUE"""),557358.0)</f>
        <v>557358</v>
      </c>
      <c r="N122" s="329">
        <f>IFERROR(__xludf.DUMMYFUNCTION("""COMPUTED_VALUE"""),658283.0)</f>
        <v>658283</v>
      </c>
      <c r="O122" s="329">
        <f>IFERROR(__xludf.DUMMYFUNCTION("""COMPUTED_VALUE"""),45.0)</f>
        <v>45</v>
      </c>
      <c r="P122" s="329">
        <f>IFERROR(__xludf.DUMMYFUNCTION("""COMPUTED_VALUE"""),7141.0)</f>
        <v>7141</v>
      </c>
      <c r="Q122" s="329">
        <f>IFERROR(__xludf.DUMMYFUNCTION("""COMPUTED_VALUE"""),40.0)</f>
        <v>40</v>
      </c>
      <c r="R122" s="329">
        <f>IFERROR(__xludf.DUMMYFUNCTION("""COMPUTED_VALUE"""),5896.0)</f>
        <v>5896</v>
      </c>
      <c r="S122" s="329">
        <f>IFERROR(__xludf.DUMMYFUNCTION("""COMPUTED_VALUE"""),5.0)</f>
        <v>5</v>
      </c>
      <c r="T122" s="329">
        <f>IFERROR(__xludf.DUMMYFUNCTION("""COMPUTED_VALUE"""),800.0)</f>
        <v>800</v>
      </c>
      <c r="U122" s="329">
        <f>IFERROR(__xludf.DUMMYFUNCTION("""COMPUTED_VALUE"""),445.0)</f>
        <v>445</v>
      </c>
      <c r="V122" s="329">
        <f>IFERROR(__xludf.DUMMYFUNCTION("""COMPUTED_VALUE"""),438.0)</f>
        <v>438</v>
      </c>
      <c r="W122" s="329">
        <f>IFERROR(__xludf.DUMMYFUNCTION("""COMPUTED_VALUE"""),55.0)</f>
        <v>55</v>
      </c>
      <c r="X122" s="329">
        <f>IFERROR(__xludf.DUMMYFUNCTION("""COMPUTED_VALUE"""),34.0)</f>
        <v>34</v>
      </c>
      <c r="Y122" s="329">
        <f>IFERROR(__xludf.DUMMYFUNCTION("""COMPUTED_VALUE"""),15.0)</f>
        <v>15</v>
      </c>
      <c r="Z122" s="329">
        <f>IFERROR(__xludf.DUMMYFUNCTION("""COMPUTED_VALUE"""),2081.0)</f>
        <v>2081</v>
      </c>
      <c r="AA122" s="258">
        <f>IFERROR(__xludf.DUMMYFUNCTION("""COMPUTED_VALUE"""),339.0)</f>
        <v>339</v>
      </c>
      <c r="AB122" s="258">
        <f>IFERROR(__xludf.DUMMYFUNCTION("""COMPUTED_VALUE"""),764.0)</f>
        <v>764</v>
      </c>
      <c r="AC122" s="258">
        <f>IFERROR(__xludf.DUMMYFUNCTION("""COMPUTED_VALUE"""),1103.0)</f>
        <v>1103</v>
      </c>
      <c r="AD122" s="258">
        <f>IFERROR(__xludf.DUMMYFUNCTION("""COMPUTED_VALUE"""),43216.0)</f>
        <v>43216</v>
      </c>
      <c r="AE122" s="258">
        <f>IFERROR(__xludf.DUMMYFUNCTION("""COMPUTED_VALUE"""),339.0)</f>
        <v>339</v>
      </c>
      <c r="AF122" s="258">
        <f>IFERROR(__xludf.DUMMYFUNCTION("""COMPUTED_VALUE"""),38379.0)</f>
        <v>38379</v>
      </c>
      <c r="AG122" s="258">
        <f>IFERROR(__xludf.DUMMYFUNCTION("""COMPUTED_VALUE"""),764.0)</f>
        <v>764</v>
      </c>
      <c r="AH122" s="258">
        <f>IFERROR(__xludf.DUMMYFUNCTION("""COMPUTED_VALUE"""),4837.0)</f>
        <v>4837</v>
      </c>
    </row>
    <row r="123">
      <c r="A123" s="328">
        <f>IFERROR(__xludf.DUMMYFUNCTION("""COMPUTED_VALUE"""),44207.0)</f>
        <v>44207</v>
      </c>
      <c r="B123" s="329">
        <f>IFERROR(__xludf.DUMMYFUNCTION("""COMPUTED_VALUE"""),1016.0)</f>
        <v>1016</v>
      </c>
      <c r="C123" s="329">
        <f>IFERROR(__xludf.DUMMYFUNCTION("""COMPUTED_VALUE"""),1014.0)</f>
        <v>1014</v>
      </c>
      <c r="D123" s="329">
        <f>IFERROR(__xludf.DUMMYFUNCTION("""COMPUTED_VALUE"""),122039.0)</f>
        <v>122039</v>
      </c>
      <c r="E123" s="329">
        <f>IFERROR(__xludf.DUMMYFUNCTION("""COMPUTED_VALUE"""),13399.0)</f>
        <v>13399</v>
      </c>
      <c r="F123" s="258">
        <f>IFERROR(__xludf.DUMMYFUNCTION("""COMPUTED_VALUE"""),2064179.0)</f>
        <v>2064179</v>
      </c>
      <c r="G123" s="258">
        <f>IFERROR(__xludf.DUMMYFUNCTION("""COMPUTED_VALUE"""),14415.0)</f>
        <v>14415</v>
      </c>
      <c r="H123" s="258">
        <f>IFERROR(__xludf.DUMMYFUNCTION("""COMPUTED_VALUE"""),2186218.0)</f>
        <v>2186218</v>
      </c>
      <c r="I123" s="329">
        <f>IFERROR(__xludf.DUMMYFUNCTION("""COMPUTED_VALUE"""),931.0)</f>
        <v>931</v>
      </c>
      <c r="J123" s="329">
        <f>IFERROR(__xludf.DUMMYFUNCTION("""COMPUTED_VALUE"""),894.0)</f>
        <v>894</v>
      </c>
      <c r="K123" s="329">
        <f>IFERROR(__xludf.DUMMYFUNCTION("""COMPUTED_VALUE"""),101856.0)</f>
        <v>101856</v>
      </c>
      <c r="L123" s="329">
        <f>IFERROR(__xludf.DUMMYFUNCTION("""COMPUTED_VALUE"""),3347.0)</f>
        <v>3347</v>
      </c>
      <c r="M123" s="329">
        <f>IFERROR(__xludf.DUMMYFUNCTION("""COMPUTED_VALUE"""),560705.0)</f>
        <v>560705</v>
      </c>
      <c r="N123" s="329">
        <f>IFERROR(__xludf.DUMMYFUNCTION("""COMPUTED_VALUE"""),662561.0)</f>
        <v>662561</v>
      </c>
      <c r="O123" s="329">
        <f>IFERROR(__xludf.DUMMYFUNCTION("""COMPUTED_VALUE"""),63.0)</f>
        <v>63</v>
      </c>
      <c r="P123" s="329">
        <f>IFERROR(__xludf.DUMMYFUNCTION("""COMPUTED_VALUE"""),7204.0)</f>
        <v>7204</v>
      </c>
      <c r="Q123" s="329">
        <f>IFERROR(__xludf.DUMMYFUNCTION("""COMPUTED_VALUE"""),50.0)</f>
        <v>50</v>
      </c>
      <c r="R123" s="329">
        <f>IFERROR(__xludf.DUMMYFUNCTION("""COMPUTED_VALUE"""),5946.0)</f>
        <v>5946</v>
      </c>
      <c r="S123" s="329">
        <f>IFERROR(__xludf.DUMMYFUNCTION("""COMPUTED_VALUE"""),9.0)</f>
        <v>9</v>
      </c>
      <c r="T123" s="329">
        <f>IFERROR(__xludf.DUMMYFUNCTION("""COMPUTED_VALUE"""),809.0)</f>
        <v>809</v>
      </c>
      <c r="U123" s="329">
        <f>IFERROR(__xludf.DUMMYFUNCTION("""COMPUTED_VALUE"""),449.0)</f>
        <v>449</v>
      </c>
      <c r="V123" s="329">
        <f>IFERROR(__xludf.DUMMYFUNCTION("""COMPUTED_VALUE"""),446.0)</f>
        <v>446</v>
      </c>
      <c r="W123" s="329">
        <f>IFERROR(__xludf.DUMMYFUNCTION("""COMPUTED_VALUE"""),54.0)</f>
        <v>54</v>
      </c>
      <c r="X123" s="329">
        <f>IFERROR(__xludf.DUMMYFUNCTION("""COMPUTED_VALUE"""),36.0)</f>
        <v>36</v>
      </c>
      <c r="Y123" s="329">
        <f>IFERROR(__xludf.DUMMYFUNCTION("""COMPUTED_VALUE"""),22.0)</f>
        <v>22</v>
      </c>
      <c r="Z123" s="329">
        <f>IFERROR(__xludf.DUMMYFUNCTION("""COMPUTED_VALUE"""),2103.0)</f>
        <v>2103</v>
      </c>
      <c r="AA123" s="258">
        <f>IFERROR(__xludf.DUMMYFUNCTION("""COMPUTED_VALUE"""),1320.0)</f>
        <v>1320</v>
      </c>
      <c r="AB123" s="258">
        <f>IFERROR(__xludf.DUMMYFUNCTION("""COMPUTED_VALUE"""),1517.0)</f>
        <v>1517</v>
      </c>
      <c r="AC123" s="258">
        <f>IFERROR(__xludf.DUMMYFUNCTION("""COMPUTED_VALUE"""),2837.0)</f>
        <v>2837</v>
      </c>
      <c r="AD123" s="258">
        <f>IFERROR(__xludf.DUMMYFUNCTION("""COMPUTED_VALUE"""),46053.0)</f>
        <v>46053</v>
      </c>
      <c r="AE123" s="258">
        <f>IFERROR(__xludf.DUMMYFUNCTION("""COMPUTED_VALUE"""),1320.0)</f>
        <v>1320</v>
      </c>
      <c r="AF123" s="258">
        <f>IFERROR(__xludf.DUMMYFUNCTION("""COMPUTED_VALUE"""),39699.0)</f>
        <v>39699</v>
      </c>
      <c r="AG123" s="258">
        <f>IFERROR(__xludf.DUMMYFUNCTION("""COMPUTED_VALUE"""),1517.0)</f>
        <v>1517</v>
      </c>
      <c r="AH123" s="258">
        <f>IFERROR(__xludf.DUMMYFUNCTION("""COMPUTED_VALUE"""),6354.0)</f>
        <v>6354</v>
      </c>
    </row>
    <row r="124">
      <c r="A124" s="328">
        <f>IFERROR(__xludf.DUMMYFUNCTION("""COMPUTED_VALUE"""),44208.0)</f>
        <v>44208</v>
      </c>
      <c r="B124" s="329">
        <f>IFERROR(__xludf.DUMMYFUNCTION("""COMPUTED_VALUE"""),1116.0)</f>
        <v>1116</v>
      </c>
      <c r="C124" s="329">
        <f>IFERROR(__xludf.DUMMYFUNCTION("""COMPUTED_VALUE"""),957.0)</f>
        <v>957</v>
      </c>
      <c r="D124" s="329">
        <f>IFERROR(__xludf.DUMMYFUNCTION("""COMPUTED_VALUE"""),123155.0)</f>
        <v>123155</v>
      </c>
      <c r="E124" s="329">
        <f>IFERROR(__xludf.DUMMYFUNCTION("""COMPUTED_VALUE"""),18313.0)</f>
        <v>18313</v>
      </c>
      <c r="F124" s="258">
        <f>IFERROR(__xludf.DUMMYFUNCTION("""COMPUTED_VALUE"""),2082492.0)</f>
        <v>2082492</v>
      </c>
      <c r="G124" s="258">
        <f>IFERROR(__xludf.DUMMYFUNCTION("""COMPUTED_VALUE"""),19429.0)</f>
        <v>19429</v>
      </c>
      <c r="H124" s="258">
        <f>IFERROR(__xludf.DUMMYFUNCTION("""COMPUTED_VALUE"""),2205647.0)</f>
        <v>2205647</v>
      </c>
      <c r="I124" s="329">
        <f>IFERROR(__xludf.DUMMYFUNCTION("""COMPUTED_VALUE"""),981.0)</f>
        <v>981</v>
      </c>
      <c r="J124" s="329">
        <f>IFERROR(__xludf.DUMMYFUNCTION("""COMPUTED_VALUE"""),856.0)</f>
        <v>856</v>
      </c>
      <c r="K124" s="329">
        <f>IFERROR(__xludf.DUMMYFUNCTION("""COMPUTED_VALUE"""),102837.0)</f>
        <v>102837</v>
      </c>
      <c r="L124" s="329">
        <f>IFERROR(__xludf.DUMMYFUNCTION("""COMPUTED_VALUE"""),3684.0)</f>
        <v>3684</v>
      </c>
      <c r="M124" s="329">
        <f>IFERROR(__xludf.DUMMYFUNCTION("""COMPUTED_VALUE"""),564389.0)</f>
        <v>564389</v>
      </c>
      <c r="N124" s="329">
        <f>IFERROR(__xludf.DUMMYFUNCTION("""COMPUTED_VALUE"""),667226.0)</f>
        <v>667226</v>
      </c>
      <c r="O124" s="329">
        <f>IFERROR(__xludf.DUMMYFUNCTION("""COMPUTED_VALUE"""),61.0)</f>
        <v>61</v>
      </c>
      <c r="P124" s="329">
        <f>IFERROR(__xludf.DUMMYFUNCTION("""COMPUTED_VALUE"""),7265.0)</f>
        <v>7265</v>
      </c>
      <c r="Q124" s="329">
        <f>IFERROR(__xludf.DUMMYFUNCTION("""COMPUTED_VALUE"""),76.0)</f>
        <v>76</v>
      </c>
      <c r="R124" s="329">
        <f>IFERROR(__xludf.DUMMYFUNCTION("""COMPUTED_VALUE"""),6022.0)</f>
        <v>6022</v>
      </c>
      <c r="S124" s="329">
        <f>IFERROR(__xludf.DUMMYFUNCTION("""COMPUTED_VALUE"""),8.0)</f>
        <v>8</v>
      </c>
      <c r="T124" s="329">
        <f>IFERROR(__xludf.DUMMYFUNCTION("""COMPUTED_VALUE"""),817.0)</f>
        <v>817</v>
      </c>
      <c r="U124" s="329">
        <f>IFERROR(__xludf.DUMMYFUNCTION("""COMPUTED_VALUE"""),426.0)</f>
        <v>426</v>
      </c>
      <c r="V124" s="329">
        <f>IFERROR(__xludf.DUMMYFUNCTION("""COMPUTED_VALUE"""),440.0)</f>
        <v>440</v>
      </c>
      <c r="W124" s="329">
        <f>IFERROR(__xludf.DUMMYFUNCTION("""COMPUTED_VALUE"""),56.0)</f>
        <v>56</v>
      </c>
      <c r="X124" s="329">
        <f>IFERROR(__xludf.DUMMYFUNCTION("""COMPUTED_VALUE"""),37.0)</f>
        <v>37</v>
      </c>
      <c r="Y124" s="329">
        <f>IFERROR(__xludf.DUMMYFUNCTION("""COMPUTED_VALUE"""),15.0)</f>
        <v>15</v>
      </c>
      <c r="Z124" s="329">
        <f>IFERROR(__xludf.DUMMYFUNCTION("""COMPUTED_VALUE"""),2118.0)</f>
        <v>2118</v>
      </c>
      <c r="AA124" s="258">
        <f>IFERROR(__xludf.DUMMYFUNCTION("""COMPUTED_VALUE"""),1917.0)</f>
        <v>1917</v>
      </c>
      <c r="AB124" s="258">
        <f>IFERROR(__xludf.DUMMYFUNCTION("""COMPUTED_VALUE"""),1292.0)</f>
        <v>1292</v>
      </c>
      <c r="AC124" s="258">
        <f>IFERROR(__xludf.DUMMYFUNCTION("""COMPUTED_VALUE"""),3209.0)</f>
        <v>3209</v>
      </c>
      <c r="AD124" s="258">
        <f>IFERROR(__xludf.DUMMYFUNCTION("""COMPUTED_VALUE"""),49262.0)</f>
        <v>49262</v>
      </c>
      <c r="AE124" s="258">
        <f>IFERROR(__xludf.DUMMYFUNCTION("""COMPUTED_VALUE"""),1917.0)</f>
        <v>1917</v>
      </c>
      <c r="AF124" s="258">
        <f>IFERROR(__xludf.DUMMYFUNCTION("""COMPUTED_VALUE"""),41616.0)</f>
        <v>41616</v>
      </c>
      <c r="AG124" s="258">
        <f>IFERROR(__xludf.DUMMYFUNCTION("""COMPUTED_VALUE"""),1292.0)</f>
        <v>1292</v>
      </c>
      <c r="AH124" s="258">
        <f>IFERROR(__xludf.DUMMYFUNCTION("""COMPUTED_VALUE"""),7646.0)</f>
        <v>7646</v>
      </c>
    </row>
    <row r="125">
      <c r="A125" s="328">
        <f>IFERROR(__xludf.DUMMYFUNCTION("""COMPUTED_VALUE"""),44209.0)</f>
        <v>44209</v>
      </c>
      <c r="B125" s="329">
        <f>IFERROR(__xludf.DUMMYFUNCTION("""COMPUTED_VALUE"""),1034.0)</f>
        <v>1034</v>
      </c>
      <c r="C125" s="329">
        <f>IFERROR(__xludf.DUMMYFUNCTION("""COMPUTED_VALUE"""),1055.0)</f>
        <v>1055</v>
      </c>
      <c r="D125" s="329">
        <f>IFERROR(__xludf.DUMMYFUNCTION("""COMPUTED_VALUE"""),124189.0)</f>
        <v>124189</v>
      </c>
      <c r="E125" s="329">
        <f>IFERROR(__xludf.DUMMYFUNCTION("""COMPUTED_VALUE"""),19973.0)</f>
        <v>19973</v>
      </c>
      <c r="F125" s="258">
        <f>IFERROR(__xludf.DUMMYFUNCTION("""COMPUTED_VALUE"""),2102465.0)</f>
        <v>2102465</v>
      </c>
      <c r="G125" s="258">
        <f>IFERROR(__xludf.DUMMYFUNCTION("""COMPUTED_VALUE"""),21007.0)</f>
        <v>21007</v>
      </c>
      <c r="H125" s="258">
        <f>IFERROR(__xludf.DUMMYFUNCTION("""COMPUTED_VALUE"""),2226654.0)</f>
        <v>2226654</v>
      </c>
      <c r="I125" s="329">
        <f>IFERROR(__xludf.DUMMYFUNCTION("""COMPUTED_VALUE"""),855.0)</f>
        <v>855</v>
      </c>
      <c r="J125" s="329">
        <f>IFERROR(__xludf.DUMMYFUNCTION("""COMPUTED_VALUE"""),922.0)</f>
        <v>922</v>
      </c>
      <c r="K125" s="329">
        <f>IFERROR(__xludf.DUMMYFUNCTION("""COMPUTED_VALUE"""),103692.0)</f>
        <v>103692</v>
      </c>
      <c r="L125" s="329">
        <f>IFERROR(__xludf.DUMMYFUNCTION("""COMPUTED_VALUE"""),3885.0)</f>
        <v>3885</v>
      </c>
      <c r="M125" s="329">
        <f>IFERROR(__xludf.DUMMYFUNCTION("""COMPUTED_VALUE"""),568274.0)</f>
        <v>568274</v>
      </c>
      <c r="N125" s="329">
        <f>IFERROR(__xludf.DUMMYFUNCTION("""COMPUTED_VALUE"""),671966.0)</f>
        <v>671966</v>
      </c>
      <c r="O125" s="329">
        <f>IFERROR(__xludf.DUMMYFUNCTION("""COMPUTED_VALUE"""),68.0)</f>
        <v>68</v>
      </c>
      <c r="P125" s="329">
        <f>IFERROR(__xludf.DUMMYFUNCTION("""COMPUTED_VALUE"""),7333.0)</f>
        <v>7333</v>
      </c>
      <c r="Q125" s="329">
        <f>IFERROR(__xludf.DUMMYFUNCTION("""COMPUTED_VALUE"""),56.0)</f>
        <v>56</v>
      </c>
      <c r="R125" s="329">
        <f>IFERROR(__xludf.DUMMYFUNCTION("""COMPUTED_VALUE"""),6078.0)</f>
        <v>6078</v>
      </c>
      <c r="S125" s="329">
        <f>IFERROR(__xludf.DUMMYFUNCTION("""COMPUTED_VALUE"""),5.0)</f>
        <v>5</v>
      </c>
      <c r="T125" s="329">
        <f>IFERROR(__xludf.DUMMYFUNCTION("""COMPUTED_VALUE"""),822.0)</f>
        <v>822</v>
      </c>
      <c r="U125" s="329">
        <f>IFERROR(__xludf.DUMMYFUNCTION("""COMPUTED_VALUE"""),433.0)</f>
        <v>433</v>
      </c>
      <c r="V125" s="329">
        <f>IFERROR(__xludf.DUMMYFUNCTION("""COMPUTED_VALUE"""),436.0)</f>
        <v>436</v>
      </c>
      <c r="W125" s="329">
        <f>IFERROR(__xludf.DUMMYFUNCTION("""COMPUTED_VALUE"""),56.0)</f>
        <v>56</v>
      </c>
      <c r="X125" s="329">
        <f>IFERROR(__xludf.DUMMYFUNCTION("""COMPUTED_VALUE"""),37.0)</f>
        <v>37</v>
      </c>
      <c r="Y125" s="329">
        <f>IFERROR(__xludf.DUMMYFUNCTION("""COMPUTED_VALUE"""),11.0)</f>
        <v>11</v>
      </c>
      <c r="Z125" s="329">
        <f>IFERROR(__xludf.DUMMYFUNCTION("""COMPUTED_VALUE"""),2129.0)</f>
        <v>2129</v>
      </c>
      <c r="AA125" s="258">
        <f>IFERROR(__xludf.DUMMYFUNCTION("""COMPUTED_VALUE"""),1313.0)</f>
        <v>1313</v>
      </c>
      <c r="AB125" s="258">
        <f>IFERROR(__xludf.DUMMYFUNCTION("""COMPUTED_VALUE"""),1221.0)</f>
        <v>1221</v>
      </c>
      <c r="AC125" s="258">
        <f>IFERROR(__xludf.DUMMYFUNCTION("""COMPUTED_VALUE"""),2534.0)</f>
        <v>2534</v>
      </c>
      <c r="AD125" s="258">
        <f>IFERROR(__xludf.DUMMYFUNCTION("""COMPUTED_VALUE"""),51796.0)</f>
        <v>51796</v>
      </c>
      <c r="AE125" s="258">
        <f>IFERROR(__xludf.DUMMYFUNCTION("""COMPUTED_VALUE"""),1313.0)</f>
        <v>1313</v>
      </c>
      <c r="AF125" s="258">
        <f>IFERROR(__xludf.DUMMYFUNCTION("""COMPUTED_VALUE"""),42929.0)</f>
        <v>42929</v>
      </c>
      <c r="AG125" s="258">
        <f>IFERROR(__xludf.DUMMYFUNCTION("""COMPUTED_VALUE"""),1221.0)</f>
        <v>1221</v>
      </c>
      <c r="AH125" s="258">
        <f>IFERROR(__xludf.DUMMYFUNCTION("""COMPUTED_VALUE"""),8867.0)</f>
        <v>8867</v>
      </c>
    </row>
    <row r="126">
      <c r="A126" s="328">
        <f>IFERROR(__xludf.DUMMYFUNCTION("""COMPUTED_VALUE"""),44210.0)</f>
        <v>44210</v>
      </c>
      <c r="B126" s="329">
        <f>IFERROR(__xludf.DUMMYFUNCTION("""COMPUTED_VALUE"""),1145.0)</f>
        <v>1145</v>
      </c>
      <c r="C126" s="329">
        <f>IFERROR(__xludf.DUMMYFUNCTION("""COMPUTED_VALUE"""),1098.0)</f>
        <v>1098</v>
      </c>
      <c r="D126" s="329">
        <f>IFERROR(__xludf.DUMMYFUNCTION("""COMPUTED_VALUE"""),125334.0)</f>
        <v>125334</v>
      </c>
      <c r="E126" s="329">
        <f>IFERROR(__xludf.DUMMYFUNCTION("""COMPUTED_VALUE"""),20572.0)</f>
        <v>20572</v>
      </c>
      <c r="F126" s="258">
        <f>IFERROR(__xludf.DUMMYFUNCTION("""COMPUTED_VALUE"""),2123037.0)</f>
        <v>2123037</v>
      </c>
      <c r="G126" s="258">
        <f>IFERROR(__xludf.DUMMYFUNCTION("""COMPUTED_VALUE"""),21717.0)</f>
        <v>21717</v>
      </c>
      <c r="H126" s="258">
        <f>IFERROR(__xludf.DUMMYFUNCTION("""COMPUTED_VALUE"""),2248371.0)</f>
        <v>2248371</v>
      </c>
      <c r="I126" s="329">
        <f>IFERROR(__xludf.DUMMYFUNCTION("""COMPUTED_VALUE"""),1013.0)</f>
        <v>1013</v>
      </c>
      <c r="J126" s="329">
        <f>IFERROR(__xludf.DUMMYFUNCTION("""COMPUTED_VALUE"""),950.0)</f>
        <v>950</v>
      </c>
      <c r="K126" s="329">
        <f>IFERROR(__xludf.DUMMYFUNCTION("""COMPUTED_VALUE"""),104705.0)</f>
        <v>104705</v>
      </c>
      <c r="L126" s="329">
        <f>IFERROR(__xludf.DUMMYFUNCTION("""COMPUTED_VALUE"""),3948.0)</f>
        <v>3948</v>
      </c>
      <c r="M126" s="329">
        <f>IFERROR(__xludf.DUMMYFUNCTION("""COMPUTED_VALUE"""),572222.0)</f>
        <v>572222</v>
      </c>
      <c r="N126" s="329">
        <f>IFERROR(__xludf.DUMMYFUNCTION("""COMPUTED_VALUE"""),676927.0)</f>
        <v>676927</v>
      </c>
      <c r="O126" s="329">
        <f>IFERROR(__xludf.DUMMYFUNCTION("""COMPUTED_VALUE"""),64.0)</f>
        <v>64</v>
      </c>
      <c r="P126" s="329">
        <f>IFERROR(__xludf.DUMMYFUNCTION("""COMPUTED_VALUE"""),7397.0)</f>
        <v>7397</v>
      </c>
      <c r="Q126" s="329">
        <f>IFERROR(__xludf.DUMMYFUNCTION("""COMPUTED_VALUE"""),60.0)</f>
        <v>60</v>
      </c>
      <c r="R126" s="329">
        <f>IFERROR(__xludf.DUMMYFUNCTION("""COMPUTED_VALUE"""),6138.0)</f>
        <v>6138</v>
      </c>
      <c r="S126" s="329">
        <f>IFERROR(__xludf.DUMMYFUNCTION("""COMPUTED_VALUE"""),5.0)</f>
        <v>5</v>
      </c>
      <c r="T126" s="329">
        <f>IFERROR(__xludf.DUMMYFUNCTION("""COMPUTED_VALUE"""),827.0)</f>
        <v>827</v>
      </c>
      <c r="U126" s="329">
        <f>IFERROR(__xludf.DUMMYFUNCTION("""COMPUTED_VALUE"""),432.0)</f>
        <v>432</v>
      </c>
      <c r="V126" s="329">
        <f>IFERROR(__xludf.DUMMYFUNCTION("""COMPUTED_VALUE"""),430.0)</f>
        <v>430</v>
      </c>
      <c r="W126" s="329">
        <f>IFERROR(__xludf.DUMMYFUNCTION("""COMPUTED_VALUE"""),58.0)</f>
        <v>58</v>
      </c>
      <c r="X126" s="329">
        <f>IFERROR(__xludf.DUMMYFUNCTION("""COMPUTED_VALUE"""),40.0)</f>
        <v>40</v>
      </c>
      <c r="Y126" s="329">
        <f>IFERROR(__xludf.DUMMYFUNCTION("""COMPUTED_VALUE"""),10.0)</f>
        <v>10</v>
      </c>
      <c r="Z126" s="329">
        <f>IFERROR(__xludf.DUMMYFUNCTION("""COMPUTED_VALUE"""),2139.0)</f>
        <v>2139</v>
      </c>
      <c r="AA126" s="258">
        <f>IFERROR(__xludf.DUMMYFUNCTION("""COMPUTED_VALUE"""),2343.0)</f>
        <v>2343</v>
      </c>
      <c r="AB126" s="258">
        <f>IFERROR(__xludf.DUMMYFUNCTION("""COMPUTED_VALUE"""),598.0)</f>
        <v>598</v>
      </c>
      <c r="AC126" s="258">
        <f>IFERROR(__xludf.DUMMYFUNCTION("""COMPUTED_VALUE"""),2941.0)</f>
        <v>2941</v>
      </c>
      <c r="AD126" s="258">
        <f>IFERROR(__xludf.DUMMYFUNCTION("""COMPUTED_VALUE"""),54737.0)</f>
        <v>54737</v>
      </c>
      <c r="AE126" s="258">
        <f>IFERROR(__xludf.DUMMYFUNCTION("""COMPUTED_VALUE"""),2343.0)</f>
        <v>2343</v>
      </c>
      <c r="AF126" s="258">
        <f>IFERROR(__xludf.DUMMYFUNCTION("""COMPUTED_VALUE"""),45272.0)</f>
        <v>45272</v>
      </c>
      <c r="AG126" s="258">
        <f>IFERROR(__xludf.DUMMYFUNCTION("""COMPUTED_VALUE"""),598.0)</f>
        <v>598</v>
      </c>
      <c r="AH126" s="258">
        <f>IFERROR(__xludf.DUMMYFUNCTION("""COMPUTED_VALUE"""),9465.0)</f>
        <v>9465</v>
      </c>
    </row>
    <row r="127">
      <c r="A127" s="328">
        <f>IFERROR(__xludf.DUMMYFUNCTION("""COMPUTED_VALUE"""),44211.0)</f>
        <v>44211</v>
      </c>
      <c r="B127" s="329">
        <f>IFERROR(__xludf.DUMMYFUNCTION("""COMPUTED_VALUE"""),1101.0)</f>
        <v>1101</v>
      </c>
      <c r="C127" s="329">
        <f>IFERROR(__xludf.DUMMYFUNCTION("""COMPUTED_VALUE"""),1093.0)</f>
        <v>1093</v>
      </c>
      <c r="D127" s="329">
        <f>IFERROR(__xludf.DUMMYFUNCTION("""COMPUTED_VALUE"""),126435.0)</f>
        <v>126435</v>
      </c>
      <c r="E127" s="329">
        <f>IFERROR(__xludf.DUMMYFUNCTION("""COMPUTED_VALUE"""),17565.0)</f>
        <v>17565</v>
      </c>
      <c r="F127" s="258">
        <f>IFERROR(__xludf.DUMMYFUNCTION("""COMPUTED_VALUE"""),2140602.0)</f>
        <v>2140602</v>
      </c>
      <c r="G127" s="258">
        <f>IFERROR(__xludf.DUMMYFUNCTION("""COMPUTED_VALUE"""),18666.0)</f>
        <v>18666</v>
      </c>
      <c r="H127" s="258">
        <f>IFERROR(__xludf.DUMMYFUNCTION("""COMPUTED_VALUE"""),2267037.0)</f>
        <v>2267037</v>
      </c>
      <c r="I127" s="329">
        <f>IFERROR(__xludf.DUMMYFUNCTION("""COMPUTED_VALUE"""),917.0)</f>
        <v>917</v>
      </c>
      <c r="J127" s="329">
        <f>IFERROR(__xludf.DUMMYFUNCTION("""COMPUTED_VALUE"""),928.0)</f>
        <v>928</v>
      </c>
      <c r="K127" s="329">
        <f>IFERROR(__xludf.DUMMYFUNCTION("""COMPUTED_VALUE"""),105622.0)</f>
        <v>105622</v>
      </c>
      <c r="L127" s="329">
        <f>IFERROR(__xludf.DUMMYFUNCTION("""COMPUTED_VALUE"""),3265.0)</f>
        <v>3265</v>
      </c>
      <c r="M127" s="329">
        <f>IFERROR(__xludf.DUMMYFUNCTION("""COMPUTED_VALUE"""),575487.0)</f>
        <v>575487</v>
      </c>
      <c r="N127" s="329">
        <f>IFERROR(__xludf.DUMMYFUNCTION("""COMPUTED_VALUE"""),681109.0)</f>
        <v>681109</v>
      </c>
      <c r="O127" s="329">
        <f>IFERROR(__xludf.DUMMYFUNCTION("""COMPUTED_VALUE"""),60.0)</f>
        <v>60</v>
      </c>
      <c r="P127" s="329">
        <f>IFERROR(__xludf.DUMMYFUNCTION("""COMPUTED_VALUE"""),7457.0)</f>
        <v>7457</v>
      </c>
      <c r="Q127" s="329">
        <f>IFERROR(__xludf.DUMMYFUNCTION("""COMPUTED_VALUE"""),74.0)</f>
        <v>74</v>
      </c>
      <c r="R127" s="329">
        <f>IFERROR(__xludf.DUMMYFUNCTION("""COMPUTED_VALUE"""),6212.0)</f>
        <v>6212</v>
      </c>
      <c r="S127" s="329">
        <f>IFERROR(__xludf.DUMMYFUNCTION("""COMPUTED_VALUE"""),8.0)</f>
        <v>8</v>
      </c>
      <c r="T127" s="329">
        <f>IFERROR(__xludf.DUMMYFUNCTION("""COMPUTED_VALUE"""),835.0)</f>
        <v>835</v>
      </c>
      <c r="U127" s="329">
        <f>IFERROR(__xludf.DUMMYFUNCTION("""COMPUTED_VALUE"""),410.0)</f>
        <v>410</v>
      </c>
      <c r="V127" s="329">
        <f>IFERROR(__xludf.DUMMYFUNCTION("""COMPUTED_VALUE"""),425.0)</f>
        <v>425</v>
      </c>
      <c r="W127" s="329">
        <f>IFERROR(__xludf.DUMMYFUNCTION("""COMPUTED_VALUE"""),57.0)</f>
        <v>57</v>
      </c>
      <c r="X127" s="329">
        <f>IFERROR(__xludf.DUMMYFUNCTION("""COMPUTED_VALUE"""),38.0)</f>
        <v>38</v>
      </c>
      <c r="Y127" s="329">
        <f>IFERROR(__xludf.DUMMYFUNCTION("""COMPUTED_VALUE"""),16.0)</f>
        <v>16</v>
      </c>
      <c r="Z127" s="329">
        <f>IFERROR(__xludf.DUMMYFUNCTION("""COMPUTED_VALUE"""),2155.0)</f>
        <v>2155</v>
      </c>
      <c r="AA127" s="258">
        <f>IFERROR(__xludf.DUMMYFUNCTION("""COMPUTED_VALUE"""),1622.0)</f>
        <v>1622</v>
      </c>
      <c r="AB127" s="258">
        <f>IFERROR(__xludf.DUMMYFUNCTION("""COMPUTED_VALUE"""),576.0)</f>
        <v>576</v>
      </c>
      <c r="AC127" s="258">
        <f>IFERROR(__xludf.DUMMYFUNCTION("""COMPUTED_VALUE"""),2198.0)</f>
        <v>2198</v>
      </c>
      <c r="AD127" s="258">
        <f>IFERROR(__xludf.DUMMYFUNCTION("""COMPUTED_VALUE"""),56935.0)</f>
        <v>56935</v>
      </c>
      <c r="AE127" s="258">
        <f>IFERROR(__xludf.DUMMYFUNCTION("""COMPUTED_VALUE"""),1622.0)</f>
        <v>1622</v>
      </c>
      <c r="AF127" s="258">
        <f>IFERROR(__xludf.DUMMYFUNCTION("""COMPUTED_VALUE"""),46894.0)</f>
        <v>46894</v>
      </c>
      <c r="AG127" s="258">
        <f>IFERROR(__xludf.DUMMYFUNCTION("""COMPUTED_VALUE"""),576.0)</f>
        <v>576</v>
      </c>
      <c r="AH127" s="258">
        <f>IFERROR(__xludf.DUMMYFUNCTION("""COMPUTED_VALUE"""),10041.0)</f>
        <v>10041</v>
      </c>
    </row>
    <row r="128">
      <c r="A128" s="328">
        <f>IFERROR(__xludf.DUMMYFUNCTION("""COMPUTED_VALUE"""),44212.0)</f>
        <v>44212</v>
      </c>
      <c r="B128" s="329">
        <f>IFERROR(__xludf.DUMMYFUNCTION("""COMPUTED_VALUE"""),920.0)</f>
        <v>920</v>
      </c>
      <c r="C128" s="329">
        <f>IFERROR(__xludf.DUMMYFUNCTION("""COMPUTED_VALUE"""),1055.0)</f>
        <v>1055</v>
      </c>
      <c r="D128" s="329">
        <f>IFERROR(__xludf.DUMMYFUNCTION("""COMPUTED_VALUE"""),127355.0)</f>
        <v>127355</v>
      </c>
      <c r="E128" s="329">
        <f>IFERROR(__xludf.DUMMYFUNCTION("""COMPUTED_VALUE"""),16699.0)</f>
        <v>16699</v>
      </c>
      <c r="F128" s="258">
        <f>IFERROR(__xludf.DUMMYFUNCTION("""COMPUTED_VALUE"""),2157301.0)</f>
        <v>2157301</v>
      </c>
      <c r="G128" s="258">
        <f>IFERROR(__xludf.DUMMYFUNCTION("""COMPUTED_VALUE"""),17619.0)</f>
        <v>17619</v>
      </c>
      <c r="H128" s="258">
        <f>IFERROR(__xludf.DUMMYFUNCTION("""COMPUTED_VALUE"""),2284656.0)</f>
        <v>2284656</v>
      </c>
      <c r="I128" s="329">
        <f>IFERROR(__xludf.DUMMYFUNCTION("""COMPUTED_VALUE"""),757.0)</f>
        <v>757</v>
      </c>
      <c r="J128" s="329">
        <f>IFERROR(__xludf.DUMMYFUNCTION("""COMPUTED_VALUE"""),896.0)</f>
        <v>896</v>
      </c>
      <c r="K128" s="329">
        <f>IFERROR(__xludf.DUMMYFUNCTION("""COMPUTED_VALUE"""),106379.0)</f>
        <v>106379</v>
      </c>
      <c r="L128" s="329">
        <f>IFERROR(__xludf.DUMMYFUNCTION("""COMPUTED_VALUE"""),2824.0)</f>
        <v>2824</v>
      </c>
      <c r="M128" s="329">
        <f>IFERROR(__xludf.DUMMYFUNCTION("""COMPUTED_VALUE"""),578311.0)</f>
        <v>578311</v>
      </c>
      <c r="N128" s="329">
        <f>IFERROR(__xludf.DUMMYFUNCTION("""COMPUTED_VALUE"""),684690.0)</f>
        <v>684690</v>
      </c>
      <c r="O128" s="329">
        <f>IFERROR(__xludf.DUMMYFUNCTION("""COMPUTED_VALUE"""),54.0)</f>
        <v>54</v>
      </c>
      <c r="P128" s="329">
        <f>IFERROR(__xludf.DUMMYFUNCTION("""COMPUTED_VALUE"""),7511.0)</f>
        <v>7511</v>
      </c>
      <c r="Q128" s="329">
        <f>IFERROR(__xludf.DUMMYFUNCTION("""COMPUTED_VALUE"""),51.0)</f>
        <v>51</v>
      </c>
      <c r="R128" s="329">
        <f>IFERROR(__xludf.DUMMYFUNCTION("""COMPUTED_VALUE"""),6263.0)</f>
        <v>6263</v>
      </c>
      <c r="S128" s="329">
        <f>IFERROR(__xludf.DUMMYFUNCTION("""COMPUTED_VALUE"""),3.0)</f>
        <v>3</v>
      </c>
      <c r="T128" s="329">
        <f>IFERROR(__xludf.DUMMYFUNCTION("""COMPUTED_VALUE"""),838.0)</f>
        <v>838</v>
      </c>
      <c r="U128" s="329">
        <f>IFERROR(__xludf.DUMMYFUNCTION("""COMPUTED_VALUE"""),410.0)</f>
        <v>410</v>
      </c>
      <c r="V128" s="329">
        <f>IFERROR(__xludf.DUMMYFUNCTION("""COMPUTED_VALUE"""),417.0)</f>
        <v>417</v>
      </c>
      <c r="W128" s="329">
        <f>IFERROR(__xludf.DUMMYFUNCTION("""COMPUTED_VALUE"""),59.0)</f>
        <v>59</v>
      </c>
      <c r="X128" s="329">
        <f>IFERROR(__xludf.DUMMYFUNCTION("""COMPUTED_VALUE"""),43.0)</f>
        <v>43</v>
      </c>
      <c r="Y128" s="329">
        <f>IFERROR(__xludf.DUMMYFUNCTION("""COMPUTED_VALUE"""),15.0)</f>
        <v>15</v>
      </c>
      <c r="Z128" s="329">
        <f>IFERROR(__xludf.DUMMYFUNCTION("""COMPUTED_VALUE"""),2170.0)</f>
        <v>2170</v>
      </c>
      <c r="AA128" s="258">
        <f>IFERROR(__xludf.DUMMYFUNCTION("""COMPUTED_VALUE"""),2265.0)</f>
        <v>2265</v>
      </c>
      <c r="AB128" s="258">
        <f>IFERROR(__xludf.DUMMYFUNCTION("""COMPUTED_VALUE"""),595.0)</f>
        <v>595</v>
      </c>
      <c r="AC128" s="258">
        <f>IFERROR(__xludf.DUMMYFUNCTION("""COMPUTED_VALUE"""),2860.0)</f>
        <v>2860</v>
      </c>
      <c r="AD128" s="258">
        <f>IFERROR(__xludf.DUMMYFUNCTION("""COMPUTED_VALUE"""),59795.0)</f>
        <v>59795</v>
      </c>
      <c r="AE128" s="258">
        <f>IFERROR(__xludf.DUMMYFUNCTION("""COMPUTED_VALUE"""),2265.0)</f>
        <v>2265</v>
      </c>
      <c r="AF128" s="258">
        <f>IFERROR(__xludf.DUMMYFUNCTION("""COMPUTED_VALUE"""),49159.0)</f>
        <v>49159</v>
      </c>
      <c r="AG128" s="258">
        <f>IFERROR(__xludf.DUMMYFUNCTION("""COMPUTED_VALUE"""),595.0)</f>
        <v>595</v>
      </c>
      <c r="AH128" s="258">
        <f>IFERROR(__xludf.DUMMYFUNCTION("""COMPUTED_VALUE"""),10636.0)</f>
        <v>10636</v>
      </c>
    </row>
    <row r="129">
      <c r="A129" s="328">
        <f>IFERROR(__xludf.DUMMYFUNCTION("""COMPUTED_VALUE"""),44213.0)</f>
        <v>44213</v>
      </c>
      <c r="B129" s="329">
        <f>IFERROR(__xludf.DUMMYFUNCTION("""COMPUTED_VALUE"""),626.0)</f>
        <v>626</v>
      </c>
      <c r="C129" s="329">
        <f>IFERROR(__xludf.DUMMYFUNCTION("""COMPUTED_VALUE"""),882.0)</f>
        <v>882</v>
      </c>
      <c r="D129" s="329">
        <f>IFERROR(__xludf.DUMMYFUNCTION("""COMPUTED_VALUE"""),127981.0)</f>
        <v>127981</v>
      </c>
      <c r="E129" s="329">
        <f>IFERROR(__xludf.DUMMYFUNCTION("""COMPUTED_VALUE"""),10063.0)</f>
        <v>10063</v>
      </c>
      <c r="F129" s="258">
        <f>IFERROR(__xludf.DUMMYFUNCTION("""COMPUTED_VALUE"""),2167364.0)</f>
        <v>2167364</v>
      </c>
      <c r="G129" s="258">
        <f>IFERROR(__xludf.DUMMYFUNCTION("""COMPUTED_VALUE"""),10689.0)</f>
        <v>10689</v>
      </c>
      <c r="H129" s="258">
        <f>IFERROR(__xludf.DUMMYFUNCTION("""COMPUTED_VALUE"""),2295345.0)</f>
        <v>2295345</v>
      </c>
      <c r="I129" s="329">
        <f>IFERROR(__xludf.DUMMYFUNCTION("""COMPUTED_VALUE"""),512.0)</f>
        <v>512</v>
      </c>
      <c r="J129" s="329">
        <f>IFERROR(__xludf.DUMMYFUNCTION("""COMPUTED_VALUE"""),729.0)</f>
        <v>729</v>
      </c>
      <c r="K129" s="329">
        <f>IFERROR(__xludf.DUMMYFUNCTION("""COMPUTED_VALUE"""),106891.0)</f>
        <v>106891</v>
      </c>
      <c r="L129" s="329">
        <f>IFERROR(__xludf.DUMMYFUNCTION("""COMPUTED_VALUE"""),1775.0)</f>
        <v>1775</v>
      </c>
      <c r="M129" s="329">
        <f>IFERROR(__xludf.DUMMYFUNCTION("""COMPUTED_VALUE"""),580086.0)</f>
        <v>580086</v>
      </c>
      <c r="N129" s="329">
        <f>IFERROR(__xludf.DUMMYFUNCTION("""COMPUTED_VALUE"""),686977.0)</f>
        <v>686977</v>
      </c>
      <c r="O129" s="329">
        <f>IFERROR(__xludf.DUMMYFUNCTION("""COMPUTED_VALUE"""),47.0)</f>
        <v>47</v>
      </c>
      <c r="P129" s="329">
        <f>IFERROR(__xludf.DUMMYFUNCTION("""COMPUTED_VALUE"""),7558.0)</f>
        <v>7558</v>
      </c>
      <c r="Q129" s="329">
        <f>IFERROR(__xludf.DUMMYFUNCTION("""COMPUTED_VALUE"""),41.0)</f>
        <v>41</v>
      </c>
      <c r="R129" s="329">
        <f>IFERROR(__xludf.DUMMYFUNCTION("""COMPUTED_VALUE"""),6304.0)</f>
        <v>6304</v>
      </c>
      <c r="S129" s="329">
        <f>IFERROR(__xludf.DUMMYFUNCTION("""COMPUTED_VALUE"""),4.0)</f>
        <v>4</v>
      </c>
      <c r="T129" s="329">
        <f>IFERROR(__xludf.DUMMYFUNCTION("""COMPUTED_VALUE"""),842.0)</f>
        <v>842</v>
      </c>
      <c r="U129" s="329">
        <f>IFERROR(__xludf.DUMMYFUNCTION("""COMPUTED_VALUE"""),412.0)</f>
        <v>412</v>
      </c>
      <c r="V129" s="329">
        <f>IFERROR(__xludf.DUMMYFUNCTION("""COMPUTED_VALUE"""),411.0)</f>
        <v>411</v>
      </c>
      <c r="W129" s="329">
        <f>IFERROR(__xludf.DUMMYFUNCTION("""COMPUTED_VALUE"""),57.0)</f>
        <v>57</v>
      </c>
      <c r="X129" s="329">
        <f>IFERROR(__xludf.DUMMYFUNCTION("""COMPUTED_VALUE"""),42.0)</f>
        <v>42</v>
      </c>
      <c r="Y129" s="329">
        <f>IFERROR(__xludf.DUMMYFUNCTION("""COMPUTED_VALUE"""),8.0)</f>
        <v>8</v>
      </c>
      <c r="Z129" s="329">
        <f>IFERROR(__xludf.DUMMYFUNCTION("""COMPUTED_VALUE"""),2178.0)</f>
        <v>2178</v>
      </c>
      <c r="AA129" s="258">
        <f>IFERROR(__xludf.DUMMYFUNCTION("""COMPUTED_VALUE"""),337.0)</f>
        <v>337</v>
      </c>
      <c r="AB129" s="258">
        <f>IFERROR(__xludf.DUMMYFUNCTION("""COMPUTED_VALUE"""),208.0)</f>
        <v>208</v>
      </c>
      <c r="AC129" s="258">
        <f>IFERROR(__xludf.DUMMYFUNCTION("""COMPUTED_VALUE"""),545.0)</f>
        <v>545</v>
      </c>
      <c r="AD129" s="258">
        <f>IFERROR(__xludf.DUMMYFUNCTION("""COMPUTED_VALUE"""),60340.0)</f>
        <v>60340</v>
      </c>
      <c r="AE129" s="258">
        <f>IFERROR(__xludf.DUMMYFUNCTION("""COMPUTED_VALUE"""),337.0)</f>
        <v>337</v>
      </c>
      <c r="AF129" s="258">
        <f>IFERROR(__xludf.DUMMYFUNCTION("""COMPUTED_VALUE"""),49496.0)</f>
        <v>49496</v>
      </c>
      <c r="AG129" s="258">
        <f>IFERROR(__xludf.DUMMYFUNCTION("""COMPUTED_VALUE"""),208.0)</f>
        <v>208</v>
      </c>
      <c r="AH129" s="258">
        <f>IFERROR(__xludf.DUMMYFUNCTION("""COMPUTED_VALUE"""),10844.0)</f>
        <v>10844</v>
      </c>
    </row>
    <row r="130">
      <c r="A130" s="328">
        <f>IFERROR(__xludf.DUMMYFUNCTION("""COMPUTED_VALUE"""),44214.0)</f>
        <v>44214</v>
      </c>
      <c r="B130" s="329">
        <f>IFERROR(__xludf.DUMMYFUNCTION("""COMPUTED_VALUE"""),559.0)</f>
        <v>559</v>
      </c>
      <c r="C130" s="329">
        <f>IFERROR(__xludf.DUMMYFUNCTION("""COMPUTED_VALUE"""),702.0)</f>
        <v>702</v>
      </c>
      <c r="D130" s="329">
        <f>IFERROR(__xludf.DUMMYFUNCTION("""COMPUTED_VALUE"""),128540.0)</f>
        <v>128540</v>
      </c>
      <c r="E130" s="329">
        <f>IFERROR(__xludf.DUMMYFUNCTION("""COMPUTED_VALUE"""),8810.0)</f>
        <v>8810</v>
      </c>
      <c r="F130" s="258">
        <f>IFERROR(__xludf.DUMMYFUNCTION("""COMPUTED_VALUE"""),2176174.0)</f>
        <v>2176174</v>
      </c>
      <c r="G130" s="258">
        <f>IFERROR(__xludf.DUMMYFUNCTION("""COMPUTED_VALUE"""),9369.0)</f>
        <v>9369</v>
      </c>
      <c r="H130" s="258">
        <f>IFERROR(__xludf.DUMMYFUNCTION("""COMPUTED_VALUE"""),2304714.0)</f>
        <v>2304714</v>
      </c>
      <c r="I130" s="329">
        <f>IFERROR(__xludf.DUMMYFUNCTION("""COMPUTED_VALUE"""),483.0)</f>
        <v>483</v>
      </c>
      <c r="J130" s="329">
        <f>IFERROR(__xludf.DUMMYFUNCTION("""COMPUTED_VALUE"""),584.0)</f>
        <v>584</v>
      </c>
      <c r="K130" s="329">
        <f>IFERROR(__xludf.DUMMYFUNCTION("""COMPUTED_VALUE"""),107374.0)</f>
        <v>107374</v>
      </c>
      <c r="L130" s="329">
        <f>IFERROR(__xludf.DUMMYFUNCTION("""COMPUTED_VALUE"""),1376.0)</f>
        <v>1376</v>
      </c>
      <c r="M130" s="329">
        <f>IFERROR(__xludf.DUMMYFUNCTION("""COMPUTED_VALUE"""),581462.0)</f>
        <v>581462</v>
      </c>
      <c r="N130" s="329">
        <f>IFERROR(__xludf.DUMMYFUNCTION("""COMPUTED_VALUE"""),688836.0)</f>
        <v>688836</v>
      </c>
      <c r="O130" s="329">
        <f>IFERROR(__xludf.DUMMYFUNCTION("""COMPUTED_VALUE"""),60.0)</f>
        <v>60</v>
      </c>
      <c r="P130" s="329">
        <f>IFERROR(__xludf.DUMMYFUNCTION("""COMPUTED_VALUE"""),7618.0)</f>
        <v>7618</v>
      </c>
      <c r="Q130" s="329">
        <f>IFERROR(__xludf.DUMMYFUNCTION("""COMPUTED_VALUE"""),42.0)</f>
        <v>42</v>
      </c>
      <c r="R130" s="329">
        <f>IFERROR(__xludf.DUMMYFUNCTION("""COMPUTED_VALUE"""),6346.0)</f>
        <v>6346</v>
      </c>
      <c r="S130" s="329">
        <f>IFERROR(__xludf.DUMMYFUNCTION("""COMPUTED_VALUE"""),8.0)</f>
        <v>8</v>
      </c>
      <c r="T130" s="329">
        <f>IFERROR(__xludf.DUMMYFUNCTION("""COMPUTED_VALUE"""),850.0)</f>
        <v>850</v>
      </c>
      <c r="U130" s="329">
        <f>IFERROR(__xludf.DUMMYFUNCTION("""COMPUTED_VALUE"""),422.0)</f>
        <v>422</v>
      </c>
      <c r="V130" s="329">
        <f>IFERROR(__xludf.DUMMYFUNCTION("""COMPUTED_VALUE"""),415.0)</f>
        <v>415</v>
      </c>
      <c r="W130" s="329">
        <f>IFERROR(__xludf.DUMMYFUNCTION("""COMPUTED_VALUE"""),56.0)</f>
        <v>56</v>
      </c>
      <c r="X130" s="329">
        <f>IFERROR(__xludf.DUMMYFUNCTION("""COMPUTED_VALUE"""),40.0)</f>
        <v>40</v>
      </c>
      <c r="Y130" s="329">
        <f>IFERROR(__xludf.DUMMYFUNCTION("""COMPUTED_VALUE"""),19.0)</f>
        <v>19</v>
      </c>
      <c r="Z130" s="329">
        <f>IFERROR(__xludf.DUMMYFUNCTION("""COMPUTED_VALUE"""),2197.0)</f>
        <v>2197</v>
      </c>
      <c r="AA130" s="258">
        <f>IFERROR(__xludf.DUMMYFUNCTION("""COMPUTED_VALUE"""),1219.0)</f>
        <v>1219</v>
      </c>
      <c r="AB130" s="258">
        <f>IFERROR(__xludf.DUMMYFUNCTION("""COMPUTED_VALUE"""),1065.0)</f>
        <v>1065</v>
      </c>
      <c r="AC130" s="258">
        <f>IFERROR(__xludf.DUMMYFUNCTION("""COMPUTED_VALUE"""),2284.0)</f>
        <v>2284</v>
      </c>
      <c r="AD130" s="258">
        <f>IFERROR(__xludf.DUMMYFUNCTION("""COMPUTED_VALUE"""),62624.0)</f>
        <v>62624</v>
      </c>
      <c r="AE130" s="258">
        <f>IFERROR(__xludf.DUMMYFUNCTION("""COMPUTED_VALUE"""),1219.0)</f>
        <v>1219</v>
      </c>
      <c r="AF130" s="258">
        <f>IFERROR(__xludf.DUMMYFUNCTION("""COMPUTED_VALUE"""),50715.0)</f>
        <v>50715</v>
      </c>
      <c r="AG130" s="258">
        <f>IFERROR(__xludf.DUMMYFUNCTION("""COMPUTED_VALUE"""),1065.0)</f>
        <v>1065</v>
      </c>
      <c r="AH130" s="258">
        <f>IFERROR(__xludf.DUMMYFUNCTION("""COMPUTED_VALUE"""),11909.0)</f>
        <v>11909</v>
      </c>
    </row>
    <row r="131">
      <c r="A131" s="328">
        <f>IFERROR(__xludf.DUMMYFUNCTION("""COMPUTED_VALUE"""),44215.0)</f>
        <v>44215</v>
      </c>
      <c r="B131" s="329">
        <f>IFERROR(__xludf.DUMMYFUNCTION("""COMPUTED_VALUE"""),954.0)</f>
        <v>954</v>
      </c>
      <c r="C131" s="329">
        <f>IFERROR(__xludf.DUMMYFUNCTION("""COMPUTED_VALUE"""),713.0)</f>
        <v>713</v>
      </c>
      <c r="D131" s="329">
        <f>IFERROR(__xludf.DUMMYFUNCTION("""COMPUTED_VALUE"""),129494.0)</f>
        <v>129494</v>
      </c>
      <c r="E131" s="329">
        <f>IFERROR(__xludf.DUMMYFUNCTION("""COMPUTED_VALUE"""),18645.0)</f>
        <v>18645</v>
      </c>
      <c r="F131" s="258">
        <f>IFERROR(__xludf.DUMMYFUNCTION("""COMPUTED_VALUE"""),2194819.0)</f>
        <v>2194819</v>
      </c>
      <c r="G131" s="258">
        <f>IFERROR(__xludf.DUMMYFUNCTION("""COMPUTED_VALUE"""),19599.0)</f>
        <v>19599</v>
      </c>
      <c r="H131" s="258">
        <f>IFERROR(__xludf.DUMMYFUNCTION("""COMPUTED_VALUE"""),2324313.0)</f>
        <v>2324313</v>
      </c>
      <c r="I131" s="329">
        <f>IFERROR(__xludf.DUMMYFUNCTION("""COMPUTED_VALUE"""),867.0)</f>
        <v>867</v>
      </c>
      <c r="J131" s="329">
        <f>IFERROR(__xludf.DUMMYFUNCTION("""COMPUTED_VALUE"""),621.0)</f>
        <v>621</v>
      </c>
      <c r="K131" s="329">
        <f>IFERROR(__xludf.DUMMYFUNCTION("""COMPUTED_VALUE"""),108241.0)</f>
        <v>108241</v>
      </c>
      <c r="L131" s="329">
        <f>IFERROR(__xludf.DUMMYFUNCTION("""COMPUTED_VALUE"""),3134.0)</f>
        <v>3134</v>
      </c>
      <c r="M131" s="329">
        <f>IFERROR(__xludf.DUMMYFUNCTION("""COMPUTED_VALUE"""),584596.0)</f>
        <v>584596</v>
      </c>
      <c r="N131" s="329">
        <f>IFERROR(__xludf.DUMMYFUNCTION("""COMPUTED_VALUE"""),692837.0)</f>
        <v>692837</v>
      </c>
      <c r="O131" s="329">
        <f>IFERROR(__xludf.DUMMYFUNCTION("""COMPUTED_VALUE"""),67.0)</f>
        <v>67</v>
      </c>
      <c r="P131" s="329">
        <f>IFERROR(__xludf.DUMMYFUNCTION("""COMPUTED_VALUE"""),7685.0)</f>
        <v>7685</v>
      </c>
      <c r="Q131" s="329">
        <f>IFERROR(__xludf.DUMMYFUNCTION("""COMPUTED_VALUE"""),60.0)</f>
        <v>60</v>
      </c>
      <c r="R131" s="329">
        <f>IFERROR(__xludf.DUMMYFUNCTION("""COMPUTED_VALUE"""),6406.0)</f>
        <v>6406</v>
      </c>
      <c r="S131" s="329">
        <f>IFERROR(__xludf.DUMMYFUNCTION("""COMPUTED_VALUE"""),9.0)</f>
        <v>9</v>
      </c>
      <c r="T131" s="329">
        <f>IFERROR(__xludf.DUMMYFUNCTION("""COMPUTED_VALUE"""),859.0)</f>
        <v>859</v>
      </c>
      <c r="U131" s="329">
        <f>IFERROR(__xludf.DUMMYFUNCTION("""COMPUTED_VALUE"""),420.0)</f>
        <v>420</v>
      </c>
      <c r="V131" s="329">
        <f>IFERROR(__xludf.DUMMYFUNCTION("""COMPUTED_VALUE"""),418.0)</f>
        <v>418</v>
      </c>
      <c r="W131" s="329">
        <f>IFERROR(__xludf.DUMMYFUNCTION("""COMPUTED_VALUE"""),58.0)</f>
        <v>58</v>
      </c>
      <c r="X131" s="329">
        <f>IFERROR(__xludf.DUMMYFUNCTION("""COMPUTED_VALUE"""),40.0)</f>
        <v>40</v>
      </c>
      <c r="Y131" s="329">
        <f>IFERROR(__xludf.DUMMYFUNCTION("""COMPUTED_VALUE"""),13.0)</f>
        <v>13</v>
      </c>
      <c r="Z131" s="329">
        <f>IFERROR(__xludf.DUMMYFUNCTION("""COMPUTED_VALUE"""),2210.0)</f>
        <v>2210</v>
      </c>
      <c r="AA131" s="258">
        <f>IFERROR(__xludf.DUMMYFUNCTION("""COMPUTED_VALUE"""),1492.0)</f>
        <v>1492</v>
      </c>
      <c r="AB131" s="258">
        <f>IFERROR(__xludf.DUMMYFUNCTION("""COMPUTED_VALUE"""),726.0)</f>
        <v>726</v>
      </c>
      <c r="AC131" s="258">
        <f>IFERROR(__xludf.DUMMYFUNCTION("""COMPUTED_VALUE"""),2218.0)</f>
        <v>2218</v>
      </c>
      <c r="AD131" s="258">
        <f>IFERROR(__xludf.DUMMYFUNCTION("""COMPUTED_VALUE"""),64842.0)</f>
        <v>64842</v>
      </c>
      <c r="AE131" s="258">
        <f>IFERROR(__xludf.DUMMYFUNCTION("""COMPUTED_VALUE"""),1492.0)</f>
        <v>1492</v>
      </c>
      <c r="AF131" s="258">
        <f>IFERROR(__xludf.DUMMYFUNCTION("""COMPUTED_VALUE"""),52207.0)</f>
        <v>52207</v>
      </c>
      <c r="AG131" s="258">
        <f>IFERROR(__xludf.DUMMYFUNCTION("""COMPUTED_VALUE"""),726.0)</f>
        <v>726</v>
      </c>
      <c r="AH131" s="258">
        <f>IFERROR(__xludf.DUMMYFUNCTION("""COMPUTED_VALUE"""),12635.0)</f>
        <v>12635</v>
      </c>
    </row>
    <row r="132">
      <c r="A132" s="328">
        <f>IFERROR(__xludf.DUMMYFUNCTION("""COMPUTED_VALUE"""),44216.0)</f>
        <v>44216</v>
      </c>
      <c r="B132" s="329">
        <f>IFERROR(__xludf.DUMMYFUNCTION("""COMPUTED_VALUE"""),967.0)</f>
        <v>967</v>
      </c>
      <c r="C132" s="329">
        <f>IFERROR(__xludf.DUMMYFUNCTION("""COMPUTED_VALUE"""),827.0)</f>
        <v>827</v>
      </c>
      <c r="D132" s="329">
        <f>IFERROR(__xludf.DUMMYFUNCTION("""COMPUTED_VALUE"""),130461.0)</f>
        <v>130461</v>
      </c>
      <c r="E132" s="329">
        <f>IFERROR(__xludf.DUMMYFUNCTION("""COMPUTED_VALUE"""),22632.0)</f>
        <v>22632</v>
      </c>
      <c r="F132" s="258">
        <f>IFERROR(__xludf.DUMMYFUNCTION("""COMPUTED_VALUE"""),2217451.0)</f>
        <v>2217451</v>
      </c>
      <c r="G132" s="258">
        <f>IFERROR(__xludf.DUMMYFUNCTION("""COMPUTED_VALUE"""),23599.0)</f>
        <v>23599</v>
      </c>
      <c r="H132" s="258">
        <f>IFERROR(__xludf.DUMMYFUNCTION("""COMPUTED_VALUE"""),2347912.0)</f>
        <v>2347912</v>
      </c>
      <c r="I132" s="329">
        <f>IFERROR(__xludf.DUMMYFUNCTION("""COMPUTED_VALUE"""),894.0)</f>
        <v>894</v>
      </c>
      <c r="J132" s="329">
        <f>IFERROR(__xludf.DUMMYFUNCTION("""COMPUTED_VALUE"""),748.0)</f>
        <v>748</v>
      </c>
      <c r="K132" s="329">
        <f>IFERROR(__xludf.DUMMYFUNCTION("""COMPUTED_VALUE"""),109135.0)</f>
        <v>109135</v>
      </c>
      <c r="L132" s="329">
        <f>IFERROR(__xludf.DUMMYFUNCTION("""COMPUTED_VALUE"""),3356.0)</f>
        <v>3356</v>
      </c>
      <c r="M132" s="329">
        <f>IFERROR(__xludf.DUMMYFUNCTION("""COMPUTED_VALUE"""),587952.0)</f>
        <v>587952</v>
      </c>
      <c r="N132" s="329">
        <f>IFERROR(__xludf.DUMMYFUNCTION("""COMPUTED_VALUE"""),697087.0)</f>
        <v>697087</v>
      </c>
      <c r="O132" s="329">
        <f>IFERROR(__xludf.DUMMYFUNCTION("""COMPUTED_VALUE"""),46.0)</f>
        <v>46</v>
      </c>
      <c r="P132" s="329">
        <f>IFERROR(__xludf.DUMMYFUNCTION("""COMPUTED_VALUE"""),7731.0)</f>
        <v>7731</v>
      </c>
      <c r="Q132" s="329">
        <f>IFERROR(__xludf.DUMMYFUNCTION("""COMPUTED_VALUE"""),66.0)</f>
        <v>66</v>
      </c>
      <c r="R132" s="329">
        <f>IFERROR(__xludf.DUMMYFUNCTION("""COMPUTED_VALUE"""),6472.0)</f>
        <v>6472</v>
      </c>
      <c r="S132" s="329">
        <f>IFERROR(__xludf.DUMMYFUNCTION("""COMPUTED_VALUE"""),11.0)</f>
        <v>11</v>
      </c>
      <c r="T132" s="329">
        <f>IFERROR(__xludf.DUMMYFUNCTION("""COMPUTED_VALUE"""),870.0)</f>
        <v>870</v>
      </c>
      <c r="U132" s="329">
        <f>IFERROR(__xludf.DUMMYFUNCTION("""COMPUTED_VALUE"""),389.0)</f>
        <v>389</v>
      </c>
      <c r="V132" s="329">
        <f>IFERROR(__xludf.DUMMYFUNCTION("""COMPUTED_VALUE"""),410.0)</f>
        <v>410</v>
      </c>
      <c r="W132" s="329">
        <f>IFERROR(__xludf.DUMMYFUNCTION("""COMPUTED_VALUE"""),52.0)</f>
        <v>52</v>
      </c>
      <c r="X132" s="329">
        <f>IFERROR(__xludf.DUMMYFUNCTION("""COMPUTED_VALUE"""),34.0)</f>
        <v>34</v>
      </c>
      <c r="Y132" s="329">
        <f>IFERROR(__xludf.DUMMYFUNCTION("""COMPUTED_VALUE"""),25.0)</f>
        <v>25</v>
      </c>
      <c r="Z132" s="329">
        <f>IFERROR(__xludf.DUMMYFUNCTION("""COMPUTED_VALUE"""),2235.0)</f>
        <v>2235</v>
      </c>
      <c r="AA132" s="258">
        <f>IFERROR(__xludf.DUMMYFUNCTION("""COMPUTED_VALUE"""),1960.0)</f>
        <v>1960</v>
      </c>
      <c r="AB132" s="258">
        <f>IFERROR(__xludf.DUMMYFUNCTION("""COMPUTED_VALUE"""),801.0)</f>
        <v>801</v>
      </c>
      <c r="AC132" s="258">
        <f>IFERROR(__xludf.DUMMYFUNCTION("""COMPUTED_VALUE"""),2761.0)</f>
        <v>2761</v>
      </c>
      <c r="AD132" s="258">
        <f>IFERROR(__xludf.DUMMYFUNCTION("""COMPUTED_VALUE"""),67603.0)</f>
        <v>67603</v>
      </c>
      <c r="AE132" s="258">
        <f>IFERROR(__xludf.DUMMYFUNCTION("""COMPUTED_VALUE"""),1960.0)</f>
        <v>1960</v>
      </c>
      <c r="AF132" s="258">
        <f>IFERROR(__xludf.DUMMYFUNCTION("""COMPUTED_VALUE"""),54167.0)</f>
        <v>54167</v>
      </c>
      <c r="AG132" s="258">
        <f>IFERROR(__xludf.DUMMYFUNCTION("""COMPUTED_VALUE"""),801.0)</f>
        <v>801</v>
      </c>
      <c r="AH132" s="258">
        <f>IFERROR(__xludf.DUMMYFUNCTION("""COMPUTED_VALUE"""),13436.0)</f>
        <v>13436</v>
      </c>
    </row>
    <row r="133">
      <c r="A133" s="328">
        <f>IFERROR(__xludf.DUMMYFUNCTION("""COMPUTED_VALUE"""),44217.0)</f>
        <v>44217</v>
      </c>
      <c r="B133" s="329">
        <f>IFERROR(__xludf.DUMMYFUNCTION("""COMPUTED_VALUE"""),1183.0)</f>
        <v>1183</v>
      </c>
      <c r="C133" s="329">
        <f>IFERROR(__xludf.DUMMYFUNCTION("""COMPUTED_VALUE"""),1035.0)</f>
        <v>1035</v>
      </c>
      <c r="D133" s="329">
        <f>IFERROR(__xludf.DUMMYFUNCTION("""COMPUTED_VALUE"""),131644.0)</f>
        <v>131644</v>
      </c>
      <c r="E133" s="329">
        <f>IFERROR(__xludf.DUMMYFUNCTION("""COMPUTED_VALUE"""),24195.0)</f>
        <v>24195</v>
      </c>
      <c r="F133" s="258">
        <f>IFERROR(__xludf.DUMMYFUNCTION("""COMPUTED_VALUE"""),2241646.0)</f>
        <v>2241646</v>
      </c>
      <c r="G133" s="258">
        <f>IFERROR(__xludf.DUMMYFUNCTION("""COMPUTED_VALUE"""),25378.0)</f>
        <v>25378</v>
      </c>
      <c r="H133" s="258">
        <f>IFERROR(__xludf.DUMMYFUNCTION("""COMPUTED_VALUE"""),2373290.0)</f>
        <v>2373290</v>
      </c>
      <c r="I133" s="329">
        <f>IFERROR(__xludf.DUMMYFUNCTION("""COMPUTED_VALUE"""),1007.0)</f>
        <v>1007</v>
      </c>
      <c r="J133" s="329">
        <f>IFERROR(__xludf.DUMMYFUNCTION("""COMPUTED_VALUE"""),923.0)</f>
        <v>923</v>
      </c>
      <c r="K133" s="329">
        <f>IFERROR(__xludf.DUMMYFUNCTION("""COMPUTED_VALUE"""),110142.0)</f>
        <v>110142</v>
      </c>
      <c r="L133" s="329">
        <f>IFERROR(__xludf.DUMMYFUNCTION("""COMPUTED_VALUE"""),3891.0)</f>
        <v>3891</v>
      </c>
      <c r="M133" s="329">
        <f>IFERROR(__xludf.DUMMYFUNCTION("""COMPUTED_VALUE"""),591843.0)</f>
        <v>591843</v>
      </c>
      <c r="N133" s="329">
        <f>IFERROR(__xludf.DUMMYFUNCTION("""COMPUTED_VALUE"""),701985.0)</f>
        <v>701985</v>
      </c>
      <c r="O133" s="329">
        <f>IFERROR(__xludf.DUMMYFUNCTION("""COMPUTED_VALUE"""),55.0)</f>
        <v>55</v>
      </c>
      <c r="P133" s="329">
        <f>IFERROR(__xludf.DUMMYFUNCTION("""COMPUTED_VALUE"""),7786.0)</f>
        <v>7786</v>
      </c>
      <c r="Q133" s="329">
        <f>IFERROR(__xludf.DUMMYFUNCTION("""COMPUTED_VALUE"""),57.0)</f>
        <v>57</v>
      </c>
      <c r="R133" s="329">
        <f>IFERROR(__xludf.DUMMYFUNCTION("""COMPUTED_VALUE"""),6529.0)</f>
        <v>6529</v>
      </c>
      <c r="S133" s="329">
        <f>IFERROR(__xludf.DUMMYFUNCTION("""COMPUTED_VALUE"""),4.0)</f>
        <v>4</v>
      </c>
      <c r="T133" s="329">
        <f>IFERROR(__xludf.DUMMYFUNCTION("""COMPUTED_VALUE"""),874.0)</f>
        <v>874</v>
      </c>
      <c r="U133" s="329">
        <f>IFERROR(__xludf.DUMMYFUNCTION("""COMPUTED_VALUE"""),383.0)</f>
        <v>383</v>
      </c>
      <c r="V133" s="329">
        <f>IFERROR(__xludf.DUMMYFUNCTION("""COMPUTED_VALUE"""),397.0)</f>
        <v>397</v>
      </c>
      <c r="W133" s="329">
        <f>IFERROR(__xludf.DUMMYFUNCTION("""COMPUTED_VALUE"""),52.0)</f>
        <v>52</v>
      </c>
      <c r="X133" s="329">
        <f>IFERROR(__xludf.DUMMYFUNCTION("""COMPUTED_VALUE"""),32.0)</f>
        <v>32</v>
      </c>
      <c r="Y133" s="329">
        <f>IFERROR(__xludf.DUMMYFUNCTION("""COMPUTED_VALUE"""),10.0)</f>
        <v>10</v>
      </c>
      <c r="Z133" s="329">
        <f>IFERROR(__xludf.DUMMYFUNCTION("""COMPUTED_VALUE"""),2245.0)</f>
        <v>2245</v>
      </c>
      <c r="AA133" s="258">
        <f>IFERROR(__xludf.DUMMYFUNCTION("""COMPUTED_VALUE"""),2395.0)</f>
        <v>2395</v>
      </c>
      <c r="AB133" s="258">
        <f>IFERROR(__xludf.DUMMYFUNCTION("""COMPUTED_VALUE"""),348.0)</f>
        <v>348</v>
      </c>
      <c r="AC133" s="258">
        <f>IFERROR(__xludf.DUMMYFUNCTION("""COMPUTED_VALUE"""),2743.0)</f>
        <v>2743</v>
      </c>
      <c r="AD133" s="258">
        <f>IFERROR(__xludf.DUMMYFUNCTION("""COMPUTED_VALUE"""),70346.0)</f>
        <v>70346</v>
      </c>
      <c r="AE133" s="258">
        <f>IFERROR(__xludf.DUMMYFUNCTION("""COMPUTED_VALUE"""),2395.0)</f>
        <v>2395</v>
      </c>
      <c r="AF133" s="258">
        <f>IFERROR(__xludf.DUMMYFUNCTION("""COMPUTED_VALUE"""),56562.0)</f>
        <v>56562</v>
      </c>
      <c r="AG133" s="258">
        <f>IFERROR(__xludf.DUMMYFUNCTION("""COMPUTED_VALUE"""),348.0)</f>
        <v>348</v>
      </c>
      <c r="AH133" s="258">
        <f>IFERROR(__xludf.DUMMYFUNCTION("""COMPUTED_VALUE"""),13784.0)</f>
        <v>13784</v>
      </c>
    </row>
    <row r="134">
      <c r="A134" s="328">
        <f>IFERROR(__xludf.DUMMYFUNCTION("""COMPUTED_VALUE"""),44218.0)</f>
        <v>44218</v>
      </c>
      <c r="B134" s="329">
        <f>IFERROR(__xludf.DUMMYFUNCTION("""COMPUTED_VALUE"""),872.0)</f>
        <v>872</v>
      </c>
      <c r="C134" s="329">
        <f>IFERROR(__xludf.DUMMYFUNCTION("""COMPUTED_VALUE"""),1007.0)</f>
        <v>1007</v>
      </c>
      <c r="D134" s="329">
        <f>IFERROR(__xludf.DUMMYFUNCTION("""COMPUTED_VALUE"""),132516.0)</f>
        <v>132516</v>
      </c>
      <c r="E134" s="329">
        <f>IFERROR(__xludf.DUMMYFUNCTION("""COMPUTED_VALUE"""),19821.0)</f>
        <v>19821</v>
      </c>
      <c r="F134" s="258">
        <f>IFERROR(__xludf.DUMMYFUNCTION("""COMPUTED_VALUE"""),2261467.0)</f>
        <v>2261467</v>
      </c>
      <c r="G134" s="258">
        <f>IFERROR(__xludf.DUMMYFUNCTION("""COMPUTED_VALUE"""),20693.0)</f>
        <v>20693</v>
      </c>
      <c r="H134" s="258">
        <f>IFERROR(__xludf.DUMMYFUNCTION("""COMPUTED_VALUE"""),2393983.0)</f>
        <v>2393983</v>
      </c>
      <c r="I134" s="329">
        <f>IFERROR(__xludf.DUMMYFUNCTION("""COMPUTED_VALUE"""),742.0)</f>
        <v>742</v>
      </c>
      <c r="J134" s="329">
        <f>IFERROR(__xludf.DUMMYFUNCTION("""COMPUTED_VALUE"""),881.0)</f>
        <v>881</v>
      </c>
      <c r="K134" s="329">
        <f>IFERROR(__xludf.DUMMYFUNCTION("""COMPUTED_VALUE"""),110884.0)</f>
        <v>110884</v>
      </c>
      <c r="L134" s="329">
        <f>IFERROR(__xludf.DUMMYFUNCTION("""COMPUTED_VALUE"""),3028.0)</f>
        <v>3028</v>
      </c>
      <c r="M134" s="329">
        <f>IFERROR(__xludf.DUMMYFUNCTION("""COMPUTED_VALUE"""),594871.0)</f>
        <v>594871</v>
      </c>
      <c r="N134" s="329">
        <f>IFERROR(__xludf.DUMMYFUNCTION("""COMPUTED_VALUE"""),705755.0)</f>
        <v>705755</v>
      </c>
      <c r="O134" s="329">
        <f>IFERROR(__xludf.DUMMYFUNCTION("""COMPUTED_VALUE"""),53.0)</f>
        <v>53</v>
      </c>
      <c r="P134" s="329">
        <f>IFERROR(__xludf.DUMMYFUNCTION("""COMPUTED_VALUE"""),7839.0)</f>
        <v>7839</v>
      </c>
      <c r="Q134" s="329">
        <f>IFERROR(__xludf.DUMMYFUNCTION("""COMPUTED_VALUE"""),58.0)</f>
        <v>58</v>
      </c>
      <c r="R134" s="329">
        <f>IFERROR(__xludf.DUMMYFUNCTION("""COMPUTED_VALUE"""),6587.0)</f>
        <v>6587</v>
      </c>
      <c r="S134" s="329">
        <f>IFERROR(__xludf.DUMMYFUNCTION("""COMPUTED_VALUE"""),10.0)</f>
        <v>10</v>
      </c>
      <c r="T134" s="329">
        <f>IFERROR(__xludf.DUMMYFUNCTION("""COMPUTED_VALUE"""),884.0)</f>
        <v>884</v>
      </c>
      <c r="U134" s="329">
        <f>IFERROR(__xludf.DUMMYFUNCTION("""COMPUTED_VALUE"""),368.0)</f>
        <v>368</v>
      </c>
      <c r="V134" s="329">
        <f>IFERROR(__xludf.DUMMYFUNCTION("""COMPUTED_VALUE"""),380.0)</f>
        <v>380</v>
      </c>
      <c r="W134" s="329">
        <f>IFERROR(__xludf.DUMMYFUNCTION("""COMPUTED_VALUE"""),55.0)</f>
        <v>55</v>
      </c>
      <c r="X134" s="329">
        <f>IFERROR(__xludf.DUMMYFUNCTION("""COMPUTED_VALUE"""),34.0)</f>
        <v>34</v>
      </c>
      <c r="Y134" s="329">
        <f>IFERROR(__xludf.DUMMYFUNCTION("""COMPUTED_VALUE"""),16.0)</f>
        <v>16</v>
      </c>
      <c r="Z134" s="329">
        <f>IFERROR(__xludf.DUMMYFUNCTION("""COMPUTED_VALUE"""),2261.0)</f>
        <v>2261</v>
      </c>
      <c r="AA134" s="258">
        <f>IFERROR(__xludf.DUMMYFUNCTION("""COMPUTED_VALUE"""),2507.0)</f>
        <v>2507</v>
      </c>
      <c r="AB134" s="258">
        <f>IFERROR(__xludf.DUMMYFUNCTION("""COMPUTED_VALUE"""),314.0)</f>
        <v>314</v>
      </c>
      <c r="AC134" s="258">
        <f>IFERROR(__xludf.DUMMYFUNCTION("""COMPUTED_VALUE"""),2821.0)</f>
        <v>2821</v>
      </c>
      <c r="AD134" s="258">
        <f>IFERROR(__xludf.DUMMYFUNCTION("""COMPUTED_VALUE"""),73167.0)</f>
        <v>73167</v>
      </c>
      <c r="AE134" s="258">
        <f>IFERROR(__xludf.DUMMYFUNCTION("""COMPUTED_VALUE"""),2507.0)</f>
        <v>2507</v>
      </c>
      <c r="AF134" s="258">
        <f>IFERROR(__xludf.DUMMYFUNCTION("""COMPUTED_VALUE"""),59069.0)</f>
        <v>59069</v>
      </c>
      <c r="AG134" s="258">
        <f>IFERROR(__xludf.DUMMYFUNCTION("""COMPUTED_VALUE"""),314.0)</f>
        <v>314</v>
      </c>
      <c r="AH134" s="258">
        <f>IFERROR(__xludf.DUMMYFUNCTION("""COMPUTED_VALUE"""),14098.0)</f>
        <v>14098</v>
      </c>
    </row>
    <row r="135">
      <c r="A135" s="328">
        <f>IFERROR(__xludf.DUMMYFUNCTION("""COMPUTED_VALUE"""),44219.0)</f>
        <v>44219</v>
      </c>
      <c r="B135" s="329">
        <f>IFERROR(__xludf.DUMMYFUNCTION("""COMPUTED_VALUE"""),909.0)</f>
        <v>909</v>
      </c>
      <c r="C135" s="329">
        <f>IFERROR(__xludf.DUMMYFUNCTION("""COMPUTED_VALUE"""),988.0)</f>
        <v>988</v>
      </c>
      <c r="D135" s="329">
        <f>IFERROR(__xludf.DUMMYFUNCTION("""COMPUTED_VALUE"""),133425.0)</f>
        <v>133425</v>
      </c>
      <c r="E135" s="329">
        <f>IFERROR(__xludf.DUMMYFUNCTION("""COMPUTED_VALUE"""),19073.0)</f>
        <v>19073</v>
      </c>
      <c r="F135" s="258">
        <f>IFERROR(__xludf.DUMMYFUNCTION("""COMPUTED_VALUE"""),2280540.0)</f>
        <v>2280540</v>
      </c>
      <c r="G135" s="258">
        <f>IFERROR(__xludf.DUMMYFUNCTION("""COMPUTED_VALUE"""),19982.0)</f>
        <v>19982</v>
      </c>
      <c r="H135" s="258">
        <f>IFERROR(__xludf.DUMMYFUNCTION("""COMPUTED_VALUE"""),2413965.0)</f>
        <v>2413965</v>
      </c>
      <c r="I135" s="329">
        <f>IFERROR(__xludf.DUMMYFUNCTION("""COMPUTED_VALUE"""),712.0)</f>
        <v>712</v>
      </c>
      <c r="J135" s="329">
        <f>IFERROR(__xludf.DUMMYFUNCTION("""COMPUTED_VALUE"""),820.0)</f>
        <v>820</v>
      </c>
      <c r="K135" s="329">
        <f>IFERROR(__xludf.DUMMYFUNCTION("""COMPUTED_VALUE"""),111596.0)</f>
        <v>111596</v>
      </c>
      <c r="L135" s="329">
        <f>IFERROR(__xludf.DUMMYFUNCTION("""COMPUTED_VALUE"""),3053.0)</f>
        <v>3053</v>
      </c>
      <c r="M135" s="329">
        <f>IFERROR(__xludf.DUMMYFUNCTION("""COMPUTED_VALUE"""),597924.0)</f>
        <v>597924</v>
      </c>
      <c r="N135" s="329">
        <f>IFERROR(__xludf.DUMMYFUNCTION("""COMPUTED_VALUE"""),709520.0)</f>
        <v>709520</v>
      </c>
      <c r="O135" s="329">
        <f>IFERROR(__xludf.DUMMYFUNCTION("""COMPUTED_VALUE"""),57.0)</f>
        <v>57</v>
      </c>
      <c r="P135" s="329">
        <f>IFERROR(__xludf.DUMMYFUNCTION("""COMPUTED_VALUE"""),7896.0)</f>
        <v>7896</v>
      </c>
      <c r="Q135" s="329">
        <f>IFERROR(__xludf.DUMMYFUNCTION("""COMPUTED_VALUE"""),32.0)</f>
        <v>32</v>
      </c>
      <c r="R135" s="329">
        <f>IFERROR(__xludf.DUMMYFUNCTION("""COMPUTED_VALUE"""),6619.0)</f>
        <v>6619</v>
      </c>
      <c r="S135" s="329">
        <f>IFERROR(__xludf.DUMMYFUNCTION("""COMPUTED_VALUE"""),3.0)</f>
        <v>3</v>
      </c>
      <c r="T135" s="329">
        <f>IFERROR(__xludf.DUMMYFUNCTION("""COMPUTED_VALUE"""),887.0)</f>
        <v>887</v>
      </c>
      <c r="U135" s="329">
        <f>IFERROR(__xludf.DUMMYFUNCTION("""COMPUTED_VALUE"""),390.0)</f>
        <v>390</v>
      </c>
      <c r="V135" s="329">
        <f>IFERROR(__xludf.DUMMYFUNCTION("""COMPUTED_VALUE"""),380.0)</f>
        <v>380</v>
      </c>
      <c r="W135" s="329">
        <f>IFERROR(__xludf.DUMMYFUNCTION("""COMPUTED_VALUE"""),60.0)</f>
        <v>60</v>
      </c>
      <c r="X135" s="329">
        <f>IFERROR(__xludf.DUMMYFUNCTION("""COMPUTED_VALUE"""),35.0)</f>
        <v>35</v>
      </c>
      <c r="Y135" s="329">
        <f>IFERROR(__xludf.DUMMYFUNCTION("""COMPUTED_VALUE"""),8.0)</f>
        <v>8</v>
      </c>
      <c r="Z135" s="329">
        <f>IFERROR(__xludf.DUMMYFUNCTION("""COMPUTED_VALUE"""),2269.0)</f>
        <v>2269</v>
      </c>
      <c r="AA135" s="258">
        <f>IFERROR(__xludf.DUMMYFUNCTION("""COMPUTED_VALUE"""),2505.0)</f>
        <v>2505</v>
      </c>
      <c r="AB135" s="258">
        <f>IFERROR(__xludf.DUMMYFUNCTION("""COMPUTED_VALUE"""),602.0)</f>
        <v>602</v>
      </c>
      <c r="AC135" s="258">
        <f>IFERROR(__xludf.DUMMYFUNCTION("""COMPUTED_VALUE"""),3107.0)</f>
        <v>3107</v>
      </c>
      <c r="AD135" s="258">
        <f>IFERROR(__xludf.DUMMYFUNCTION("""COMPUTED_VALUE"""),76274.0)</f>
        <v>76274</v>
      </c>
      <c r="AE135" s="258">
        <f>IFERROR(__xludf.DUMMYFUNCTION("""COMPUTED_VALUE"""),2505.0)</f>
        <v>2505</v>
      </c>
      <c r="AF135" s="258">
        <f>IFERROR(__xludf.DUMMYFUNCTION("""COMPUTED_VALUE"""),61574.0)</f>
        <v>61574</v>
      </c>
      <c r="AG135" s="258">
        <f>IFERROR(__xludf.DUMMYFUNCTION("""COMPUTED_VALUE"""),602.0)</f>
        <v>602</v>
      </c>
      <c r="AH135" s="258">
        <f>IFERROR(__xludf.DUMMYFUNCTION("""COMPUTED_VALUE"""),14700.0)</f>
        <v>14700</v>
      </c>
    </row>
    <row r="136">
      <c r="A136" s="328">
        <f>IFERROR(__xludf.DUMMYFUNCTION("""COMPUTED_VALUE"""),44220.0)</f>
        <v>44220</v>
      </c>
      <c r="B136" s="329">
        <f>IFERROR(__xludf.DUMMYFUNCTION("""COMPUTED_VALUE"""),405.0)</f>
        <v>405</v>
      </c>
      <c r="C136" s="329">
        <f>IFERROR(__xludf.DUMMYFUNCTION("""COMPUTED_VALUE"""),729.0)</f>
        <v>729</v>
      </c>
      <c r="D136" s="329">
        <f>IFERROR(__xludf.DUMMYFUNCTION("""COMPUTED_VALUE"""),133830.0)</f>
        <v>133830</v>
      </c>
      <c r="E136" s="329">
        <f>IFERROR(__xludf.DUMMYFUNCTION("""COMPUTED_VALUE"""),8969.0)</f>
        <v>8969</v>
      </c>
      <c r="F136" s="258">
        <f>IFERROR(__xludf.DUMMYFUNCTION("""COMPUTED_VALUE"""),2289509.0)</f>
        <v>2289509</v>
      </c>
      <c r="G136" s="258">
        <f>IFERROR(__xludf.DUMMYFUNCTION("""COMPUTED_VALUE"""),9374.0)</f>
        <v>9374</v>
      </c>
      <c r="H136" s="258">
        <f>IFERROR(__xludf.DUMMYFUNCTION("""COMPUTED_VALUE"""),2423339.0)</f>
        <v>2423339</v>
      </c>
      <c r="I136" s="329">
        <f>IFERROR(__xludf.DUMMYFUNCTION("""COMPUTED_VALUE"""),330.0)</f>
        <v>330</v>
      </c>
      <c r="J136" s="329">
        <f>IFERROR(__xludf.DUMMYFUNCTION("""COMPUTED_VALUE"""),595.0)</f>
        <v>595</v>
      </c>
      <c r="K136" s="329">
        <f>IFERROR(__xludf.DUMMYFUNCTION("""COMPUTED_VALUE"""),111926.0)</f>
        <v>111926</v>
      </c>
      <c r="L136" s="329">
        <f>IFERROR(__xludf.DUMMYFUNCTION("""COMPUTED_VALUE"""),1195.0)</f>
        <v>1195</v>
      </c>
      <c r="M136" s="329">
        <f>IFERROR(__xludf.DUMMYFUNCTION("""COMPUTED_VALUE"""),599119.0)</f>
        <v>599119</v>
      </c>
      <c r="N136" s="329">
        <f>IFERROR(__xludf.DUMMYFUNCTION("""COMPUTED_VALUE"""),711045.0)</f>
        <v>711045</v>
      </c>
      <c r="O136" s="329">
        <f>IFERROR(__xludf.DUMMYFUNCTION("""COMPUTED_VALUE"""),43.0)</f>
        <v>43</v>
      </c>
      <c r="P136" s="329">
        <f>IFERROR(__xludf.DUMMYFUNCTION("""COMPUTED_VALUE"""),7939.0)</f>
        <v>7939</v>
      </c>
      <c r="Q136" s="329">
        <f>IFERROR(__xludf.DUMMYFUNCTION("""COMPUTED_VALUE"""),43.0)</f>
        <v>43</v>
      </c>
      <c r="R136" s="329">
        <f>IFERROR(__xludf.DUMMYFUNCTION("""COMPUTED_VALUE"""),6662.0)</f>
        <v>6662</v>
      </c>
      <c r="S136" s="329">
        <f>IFERROR(__xludf.DUMMYFUNCTION("""COMPUTED_VALUE"""),9.0)</f>
        <v>9</v>
      </c>
      <c r="T136" s="329">
        <f>IFERROR(__xludf.DUMMYFUNCTION("""COMPUTED_VALUE"""),896.0)</f>
        <v>896</v>
      </c>
      <c r="U136" s="329">
        <f>IFERROR(__xludf.DUMMYFUNCTION("""COMPUTED_VALUE"""),381.0)</f>
        <v>381</v>
      </c>
      <c r="V136" s="329">
        <f>IFERROR(__xludf.DUMMYFUNCTION("""COMPUTED_VALUE"""),380.0)</f>
        <v>380</v>
      </c>
      <c r="W136" s="329">
        <f>IFERROR(__xludf.DUMMYFUNCTION("""COMPUTED_VALUE"""),60.0)</f>
        <v>60</v>
      </c>
      <c r="X136" s="329">
        <f>IFERROR(__xludf.DUMMYFUNCTION("""COMPUTED_VALUE"""),38.0)</f>
        <v>38</v>
      </c>
      <c r="Y136" s="329">
        <f>IFERROR(__xludf.DUMMYFUNCTION("""COMPUTED_VALUE"""),16.0)</f>
        <v>16</v>
      </c>
      <c r="Z136" s="329">
        <f>IFERROR(__xludf.DUMMYFUNCTION("""COMPUTED_VALUE"""),2285.0)</f>
        <v>2285</v>
      </c>
      <c r="AA136" s="258">
        <f>IFERROR(__xludf.DUMMYFUNCTION("""COMPUTED_VALUE"""),745.0)</f>
        <v>745</v>
      </c>
      <c r="AB136" s="258">
        <f>IFERROR(__xludf.DUMMYFUNCTION("""COMPUTED_VALUE"""),1050.0)</f>
        <v>1050</v>
      </c>
      <c r="AC136" s="258">
        <f>IFERROR(__xludf.DUMMYFUNCTION("""COMPUTED_VALUE"""),1795.0)</f>
        <v>1795</v>
      </c>
      <c r="AD136" s="258">
        <f>IFERROR(__xludf.DUMMYFUNCTION("""COMPUTED_VALUE"""),78069.0)</f>
        <v>78069</v>
      </c>
      <c r="AE136" s="258">
        <f>IFERROR(__xludf.DUMMYFUNCTION("""COMPUTED_VALUE"""),745.0)</f>
        <v>745</v>
      </c>
      <c r="AF136" s="258">
        <f>IFERROR(__xludf.DUMMYFUNCTION("""COMPUTED_VALUE"""),62319.0)</f>
        <v>62319</v>
      </c>
      <c r="AG136" s="258">
        <f>IFERROR(__xludf.DUMMYFUNCTION("""COMPUTED_VALUE"""),1050.0)</f>
        <v>1050</v>
      </c>
      <c r="AH136" s="258">
        <f>IFERROR(__xludf.DUMMYFUNCTION("""COMPUTED_VALUE"""),15750.0)</f>
        <v>15750</v>
      </c>
    </row>
    <row r="137">
      <c r="A137" s="328">
        <f>IFERROR(__xludf.DUMMYFUNCTION("""COMPUTED_VALUE"""),44221.0)</f>
        <v>44221</v>
      </c>
      <c r="B137" s="329">
        <f>IFERROR(__xludf.DUMMYFUNCTION("""COMPUTED_VALUE"""),806.0)</f>
        <v>806</v>
      </c>
      <c r="C137" s="329">
        <f>IFERROR(__xludf.DUMMYFUNCTION("""COMPUTED_VALUE"""),707.0)</f>
        <v>707</v>
      </c>
      <c r="D137" s="329">
        <f>IFERROR(__xludf.DUMMYFUNCTION("""COMPUTED_VALUE"""),134636.0)</f>
        <v>134636</v>
      </c>
      <c r="E137" s="329">
        <f>IFERROR(__xludf.DUMMYFUNCTION("""COMPUTED_VALUE"""),13387.0)</f>
        <v>13387</v>
      </c>
      <c r="F137" s="258">
        <f>IFERROR(__xludf.DUMMYFUNCTION("""COMPUTED_VALUE"""),2302896.0)</f>
        <v>2302896</v>
      </c>
      <c r="G137" s="258">
        <f>IFERROR(__xludf.DUMMYFUNCTION("""COMPUTED_VALUE"""),14193.0)</f>
        <v>14193</v>
      </c>
      <c r="H137" s="258">
        <f>IFERROR(__xludf.DUMMYFUNCTION("""COMPUTED_VALUE"""),2437532.0)</f>
        <v>2437532</v>
      </c>
      <c r="I137" s="329">
        <f>IFERROR(__xludf.DUMMYFUNCTION("""COMPUTED_VALUE"""),675.0)</f>
        <v>675</v>
      </c>
      <c r="J137" s="329">
        <f>IFERROR(__xludf.DUMMYFUNCTION("""COMPUTED_VALUE"""),572.0)</f>
        <v>572</v>
      </c>
      <c r="K137" s="329">
        <f>IFERROR(__xludf.DUMMYFUNCTION("""COMPUTED_VALUE"""),112601.0)</f>
        <v>112601</v>
      </c>
      <c r="L137" s="329">
        <f>IFERROR(__xludf.DUMMYFUNCTION("""COMPUTED_VALUE"""),2578.0)</f>
        <v>2578</v>
      </c>
      <c r="M137" s="329">
        <f>IFERROR(__xludf.DUMMYFUNCTION("""COMPUTED_VALUE"""),601697.0)</f>
        <v>601697</v>
      </c>
      <c r="N137" s="329">
        <f>IFERROR(__xludf.DUMMYFUNCTION("""COMPUTED_VALUE"""),714298.0)</f>
        <v>714298</v>
      </c>
      <c r="O137" s="329">
        <f>IFERROR(__xludf.DUMMYFUNCTION("""COMPUTED_VALUE"""),48.0)</f>
        <v>48</v>
      </c>
      <c r="P137" s="329">
        <f>IFERROR(__xludf.DUMMYFUNCTION("""COMPUTED_VALUE"""),7987.0)</f>
        <v>7987</v>
      </c>
      <c r="Q137" s="329">
        <f>IFERROR(__xludf.DUMMYFUNCTION("""COMPUTED_VALUE"""),55.0)</f>
        <v>55</v>
      </c>
      <c r="R137" s="329">
        <f>IFERROR(__xludf.DUMMYFUNCTION("""COMPUTED_VALUE"""),6717.0)</f>
        <v>6717</v>
      </c>
      <c r="S137" s="329">
        <f>IFERROR(__xludf.DUMMYFUNCTION("""COMPUTED_VALUE"""),5.0)</f>
        <v>5</v>
      </c>
      <c r="T137" s="329">
        <f>IFERROR(__xludf.DUMMYFUNCTION("""COMPUTED_VALUE"""),901.0)</f>
        <v>901</v>
      </c>
      <c r="U137" s="329">
        <f>IFERROR(__xludf.DUMMYFUNCTION("""COMPUTED_VALUE"""),369.0)</f>
        <v>369</v>
      </c>
      <c r="V137" s="329">
        <f>IFERROR(__xludf.DUMMYFUNCTION("""COMPUTED_VALUE"""),380.0)</f>
        <v>380</v>
      </c>
      <c r="W137" s="329">
        <f>IFERROR(__xludf.DUMMYFUNCTION("""COMPUTED_VALUE"""),60.0)</f>
        <v>60</v>
      </c>
      <c r="X137" s="329">
        <f>IFERROR(__xludf.DUMMYFUNCTION("""COMPUTED_VALUE"""),39.0)</f>
        <v>39</v>
      </c>
      <c r="Y137" s="329">
        <f>IFERROR(__xludf.DUMMYFUNCTION("""COMPUTED_VALUE"""),14.0)</f>
        <v>14</v>
      </c>
      <c r="Z137" s="329">
        <f>IFERROR(__xludf.DUMMYFUNCTION("""COMPUTED_VALUE"""),2299.0)</f>
        <v>2299</v>
      </c>
      <c r="AA137" s="258">
        <f>IFERROR(__xludf.DUMMYFUNCTION("""COMPUTED_VALUE"""),2032.0)</f>
        <v>2032</v>
      </c>
      <c r="AB137" s="258">
        <f>IFERROR(__xludf.DUMMYFUNCTION("""COMPUTED_VALUE"""),2789.0)</f>
        <v>2789</v>
      </c>
      <c r="AC137" s="258">
        <f>IFERROR(__xludf.DUMMYFUNCTION("""COMPUTED_VALUE"""),4821.0)</f>
        <v>4821</v>
      </c>
      <c r="AD137" s="258">
        <f>IFERROR(__xludf.DUMMYFUNCTION("""COMPUTED_VALUE"""),82890.0)</f>
        <v>82890</v>
      </c>
      <c r="AE137" s="258">
        <f>IFERROR(__xludf.DUMMYFUNCTION("""COMPUTED_VALUE"""),2032.0)</f>
        <v>2032</v>
      </c>
      <c r="AF137" s="258">
        <f>IFERROR(__xludf.DUMMYFUNCTION("""COMPUTED_VALUE"""),64351.0)</f>
        <v>64351</v>
      </c>
      <c r="AG137" s="258">
        <f>IFERROR(__xludf.DUMMYFUNCTION("""COMPUTED_VALUE"""),2789.0)</f>
        <v>2789</v>
      </c>
      <c r="AH137" s="258">
        <f>IFERROR(__xludf.DUMMYFUNCTION("""COMPUTED_VALUE"""),18539.0)</f>
        <v>18539</v>
      </c>
    </row>
    <row r="138">
      <c r="A138" s="328">
        <f>IFERROR(__xludf.DUMMYFUNCTION("""COMPUTED_VALUE"""),44222.0)</f>
        <v>44222</v>
      </c>
      <c r="B138" s="329">
        <f>IFERROR(__xludf.DUMMYFUNCTION("""COMPUTED_VALUE"""),725.0)</f>
        <v>725</v>
      </c>
      <c r="C138" s="329">
        <f>IFERROR(__xludf.DUMMYFUNCTION("""COMPUTED_VALUE"""),645.0)</f>
        <v>645</v>
      </c>
      <c r="D138" s="329">
        <f>IFERROR(__xludf.DUMMYFUNCTION("""COMPUTED_VALUE"""),135361.0)</f>
        <v>135361</v>
      </c>
      <c r="E138" s="329">
        <f>IFERROR(__xludf.DUMMYFUNCTION("""COMPUTED_VALUE"""),20058.0)</f>
        <v>20058</v>
      </c>
      <c r="F138" s="258">
        <f>IFERROR(__xludf.DUMMYFUNCTION("""COMPUTED_VALUE"""),2322954.0)</f>
        <v>2322954</v>
      </c>
      <c r="G138" s="258">
        <f>IFERROR(__xludf.DUMMYFUNCTION("""COMPUTED_VALUE"""),20783.0)</f>
        <v>20783</v>
      </c>
      <c r="H138" s="258">
        <f>IFERROR(__xludf.DUMMYFUNCTION("""COMPUTED_VALUE"""),2458315.0)</f>
        <v>2458315</v>
      </c>
      <c r="I138" s="329">
        <f>IFERROR(__xludf.DUMMYFUNCTION("""COMPUTED_VALUE"""),660.0)</f>
        <v>660</v>
      </c>
      <c r="J138" s="329">
        <f>IFERROR(__xludf.DUMMYFUNCTION("""COMPUTED_VALUE"""),555.0)</f>
        <v>555</v>
      </c>
      <c r="K138" s="329">
        <f>IFERROR(__xludf.DUMMYFUNCTION("""COMPUTED_VALUE"""),113261.0)</f>
        <v>113261</v>
      </c>
      <c r="L138" s="329">
        <f>IFERROR(__xludf.DUMMYFUNCTION("""COMPUTED_VALUE"""),3333.0)</f>
        <v>3333</v>
      </c>
      <c r="M138" s="329">
        <f>IFERROR(__xludf.DUMMYFUNCTION("""COMPUTED_VALUE"""),605030.0)</f>
        <v>605030</v>
      </c>
      <c r="N138" s="329">
        <f>IFERROR(__xludf.DUMMYFUNCTION("""COMPUTED_VALUE"""),718291.0)</f>
        <v>718291</v>
      </c>
      <c r="O138" s="329">
        <f>IFERROR(__xludf.DUMMYFUNCTION("""COMPUTED_VALUE"""),48.0)</f>
        <v>48</v>
      </c>
      <c r="P138" s="329">
        <f>IFERROR(__xludf.DUMMYFUNCTION("""COMPUTED_VALUE"""),8035.0)</f>
        <v>8035</v>
      </c>
      <c r="Q138" s="329">
        <f>IFERROR(__xludf.DUMMYFUNCTION("""COMPUTED_VALUE"""),47.0)</f>
        <v>47</v>
      </c>
      <c r="R138" s="329">
        <f>IFERROR(__xludf.DUMMYFUNCTION("""COMPUTED_VALUE"""),6764.0)</f>
        <v>6764</v>
      </c>
      <c r="S138" s="329">
        <f>IFERROR(__xludf.DUMMYFUNCTION("""COMPUTED_VALUE"""),9.0)</f>
        <v>9</v>
      </c>
      <c r="T138" s="329">
        <f>IFERROR(__xludf.DUMMYFUNCTION("""COMPUTED_VALUE"""),910.0)</f>
        <v>910</v>
      </c>
      <c r="U138" s="329">
        <f>IFERROR(__xludf.DUMMYFUNCTION("""COMPUTED_VALUE"""),361.0)</f>
        <v>361</v>
      </c>
      <c r="V138" s="329">
        <f>IFERROR(__xludf.DUMMYFUNCTION("""COMPUTED_VALUE"""),370.0)</f>
        <v>370</v>
      </c>
      <c r="W138" s="329">
        <f>IFERROR(__xludf.DUMMYFUNCTION("""COMPUTED_VALUE"""),57.0)</f>
        <v>57</v>
      </c>
      <c r="X138" s="329">
        <f>IFERROR(__xludf.DUMMYFUNCTION("""COMPUTED_VALUE"""),36.0)</f>
        <v>36</v>
      </c>
      <c r="Y138" s="329">
        <f>IFERROR(__xludf.DUMMYFUNCTION("""COMPUTED_VALUE"""),12.0)</f>
        <v>12</v>
      </c>
      <c r="Z138" s="329">
        <f>IFERROR(__xludf.DUMMYFUNCTION("""COMPUTED_VALUE"""),2311.0)</f>
        <v>2311</v>
      </c>
      <c r="AA138" s="258">
        <f>IFERROR(__xludf.DUMMYFUNCTION("""COMPUTED_VALUE"""),1572.0)</f>
        <v>1572</v>
      </c>
      <c r="AB138" s="258">
        <f>IFERROR(__xludf.DUMMYFUNCTION("""COMPUTED_VALUE"""),2620.0)</f>
        <v>2620</v>
      </c>
      <c r="AC138" s="258">
        <f>IFERROR(__xludf.DUMMYFUNCTION("""COMPUTED_VALUE"""),4192.0)</f>
        <v>4192</v>
      </c>
      <c r="AD138" s="258">
        <f>IFERROR(__xludf.DUMMYFUNCTION("""COMPUTED_VALUE"""),87082.0)</f>
        <v>87082</v>
      </c>
      <c r="AE138" s="258">
        <f>IFERROR(__xludf.DUMMYFUNCTION("""COMPUTED_VALUE"""),1572.0)</f>
        <v>1572</v>
      </c>
      <c r="AF138" s="258">
        <f>IFERROR(__xludf.DUMMYFUNCTION("""COMPUTED_VALUE"""),65923.0)</f>
        <v>65923</v>
      </c>
      <c r="AG138" s="258">
        <f>IFERROR(__xludf.DUMMYFUNCTION("""COMPUTED_VALUE"""),2620.0)</f>
        <v>2620</v>
      </c>
      <c r="AH138" s="258">
        <f>IFERROR(__xludf.DUMMYFUNCTION("""COMPUTED_VALUE"""),21159.0)</f>
        <v>21159</v>
      </c>
    </row>
    <row r="139">
      <c r="A139" s="328">
        <f>IFERROR(__xludf.DUMMYFUNCTION("""COMPUTED_VALUE"""),44223.0)</f>
        <v>44223</v>
      </c>
      <c r="B139" s="329">
        <f>IFERROR(__xludf.DUMMYFUNCTION("""COMPUTED_VALUE"""),843.0)</f>
        <v>843</v>
      </c>
      <c r="C139" s="329">
        <f>IFERROR(__xludf.DUMMYFUNCTION("""COMPUTED_VALUE"""),791.0)</f>
        <v>791</v>
      </c>
      <c r="D139" s="329">
        <f>IFERROR(__xludf.DUMMYFUNCTION("""COMPUTED_VALUE"""),136204.0)</f>
        <v>136204</v>
      </c>
      <c r="E139" s="329">
        <f>IFERROR(__xludf.DUMMYFUNCTION("""COMPUTED_VALUE"""),21876.0)</f>
        <v>21876</v>
      </c>
      <c r="F139" s="258">
        <f>IFERROR(__xludf.DUMMYFUNCTION("""COMPUTED_VALUE"""),2344830.0)</f>
        <v>2344830</v>
      </c>
      <c r="G139" s="258">
        <f>IFERROR(__xludf.DUMMYFUNCTION("""COMPUTED_VALUE"""),22719.0)</f>
        <v>22719</v>
      </c>
      <c r="H139" s="258">
        <f>IFERROR(__xludf.DUMMYFUNCTION("""COMPUTED_VALUE"""),2481034.0)</f>
        <v>2481034</v>
      </c>
      <c r="I139" s="329">
        <f>IFERROR(__xludf.DUMMYFUNCTION("""COMPUTED_VALUE"""),728.0)</f>
        <v>728</v>
      </c>
      <c r="J139" s="329">
        <f>IFERROR(__xludf.DUMMYFUNCTION("""COMPUTED_VALUE"""),688.0)</f>
        <v>688</v>
      </c>
      <c r="K139" s="329">
        <f>IFERROR(__xludf.DUMMYFUNCTION("""COMPUTED_VALUE"""),113989.0)</f>
        <v>113989</v>
      </c>
      <c r="L139" s="329">
        <f>IFERROR(__xludf.DUMMYFUNCTION("""COMPUTED_VALUE"""),3211.0)</f>
        <v>3211</v>
      </c>
      <c r="M139" s="329">
        <f>IFERROR(__xludf.DUMMYFUNCTION("""COMPUTED_VALUE"""),608241.0)</f>
        <v>608241</v>
      </c>
      <c r="N139" s="329">
        <f>IFERROR(__xludf.DUMMYFUNCTION("""COMPUTED_VALUE"""),722230.0)</f>
        <v>722230</v>
      </c>
      <c r="O139" s="329">
        <f>IFERROR(__xludf.DUMMYFUNCTION("""COMPUTED_VALUE"""),50.0)</f>
        <v>50</v>
      </c>
      <c r="P139" s="329">
        <f>IFERROR(__xludf.DUMMYFUNCTION("""COMPUTED_VALUE"""),8085.0)</f>
        <v>8085</v>
      </c>
      <c r="Q139" s="329">
        <f>IFERROR(__xludf.DUMMYFUNCTION("""COMPUTED_VALUE"""),59.0)</f>
        <v>59</v>
      </c>
      <c r="R139" s="329">
        <f>IFERROR(__xludf.DUMMYFUNCTION("""COMPUTED_VALUE"""),6823.0)</f>
        <v>6823</v>
      </c>
      <c r="S139" s="329">
        <f>IFERROR(__xludf.DUMMYFUNCTION("""COMPUTED_VALUE"""),3.0)</f>
        <v>3</v>
      </c>
      <c r="T139" s="329">
        <f>IFERROR(__xludf.DUMMYFUNCTION("""COMPUTED_VALUE"""),913.0)</f>
        <v>913</v>
      </c>
      <c r="U139" s="329">
        <f>IFERROR(__xludf.DUMMYFUNCTION("""COMPUTED_VALUE"""),349.0)</f>
        <v>349</v>
      </c>
      <c r="V139" s="329">
        <f>IFERROR(__xludf.DUMMYFUNCTION("""COMPUTED_VALUE"""),360.0)</f>
        <v>360</v>
      </c>
      <c r="W139" s="329">
        <f>IFERROR(__xludf.DUMMYFUNCTION("""COMPUTED_VALUE"""),59.0)</f>
        <v>59</v>
      </c>
      <c r="X139" s="329">
        <f>IFERROR(__xludf.DUMMYFUNCTION("""COMPUTED_VALUE"""),33.0)</f>
        <v>33</v>
      </c>
      <c r="Y139" s="329">
        <f>IFERROR(__xludf.DUMMYFUNCTION("""COMPUTED_VALUE"""),7.0)</f>
        <v>7</v>
      </c>
      <c r="Z139" s="329">
        <f>IFERROR(__xludf.DUMMYFUNCTION("""COMPUTED_VALUE"""),2318.0)</f>
        <v>2318</v>
      </c>
      <c r="AA139" s="258">
        <f>IFERROR(__xludf.DUMMYFUNCTION("""COMPUTED_VALUE"""),2271.0)</f>
        <v>2271</v>
      </c>
      <c r="AB139" s="258">
        <f>IFERROR(__xludf.DUMMYFUNCTION("""COMPUTED_VALUE"""),2802.0)</f>
        <v>2802</v>
      </c>
      <c r="AC139" s="258">
        <f>IFERROR(__xludf.DUMMYFUNCTION("""COMPUTED_VALUE"""),5073.0)</f>
        <v>5073</v>
      </c>
      <c r="AD139" s="258">
        <f>IFERROR(__xludf.DUMMYFUNCTION("""COMPUTED_VALUE"""),92155.0)</f>
        <v>92155</v>
      </c>
      <c r="AE139" s="258">
        <f>IFERROR(__xludf.DUMMYFUNCTION("""COMPUTED_VALUE"""),2271.0)</f>
        <v>2271</v>
      </c>
      <c r="AF139" s="258">
        <f>IFERROR(__xludf.DUMMYFUNCTION("""COMPUTED_VALUE"""),68194.0)</f>
        <v>68194</v>
      </c>
      <c r="AG139" s="258">
        <f>IFERROR(__xludf.DUMMYFUNCTION("""COMPUTED_VALUE"""),2802.0)</f>
        <v>2802</v>
      </c>
      <c r="AH139" s="258">
        <f>IFERROR(__xludf.DUMMYFUNCTION("""COMPUTED_VALUE"""),23961.0)</f>
        <v>23961</v>
      </c>
    </row>
    <row r="140">
      <c r="A140" s="328">
        <f>IFERROR(__xludf.DUMMYFUNCTION("""COMPUTED_VALUE"""),44224.0)</f>
        <v>44224</v>
      </c>
      <c r="B140" s="329">
        <f>IFERROR(__xludf.DUMMYFUNCTION("""COMPUTED_VALUE"""),764.0)</f>
        <v>764</v>
      </c>
      <c r="C140" s="329">
        <f>IFERROR(__xludf.DUMMYFUNCTION("""COMPUTED_VALUE"""),777.0)</f>
        <v>777</v>
      </c>
      <c r="D140" s="329">
        <f>IFERROR(__xludf.DUMMYFUNCTION("""COMPUTED_VALUE"""),136968.0)</f>
        <v>136968</v>
      </c>
      <c r="E140" s="329">
        <f>IFERROR(__xludf.DUMMYFUNCTION("""COMPUTED_VALUE"""),22593.0)</f>
        <v>22593</v>
      </c>
      <c r="F140" s="258">
        <f>IFERROR(__xludf.DUMMYFUNCTION("""COMPUTED_VALUE"""),2367423.0)</f>
        <v>2367423</v>
      </c>
      <c r="G140" s="258">
        <f>IFERROR(__xludf.DUMMYFUNCTION("""COMPUTED_VALUE"""),23357.0)</f>
        <v>23357</v>
      </c>
      <c r="H140" s="258">
        <f>IFERROR(__xludf.DUMMYFUNCTION("""COMPUTED_VALUE"""),2504391.0)</f>
        <v>2504391</v>
      </c>
      <c r="I140" s="329">
        <f>IFERROR(__xludf.DUMMYFUNCTION("""COMPUTED_VALUE"""),626.0)</f>
        <v>626</v>
      </c>
      <c r="J140" s="329">
        <f>IFERROR(__xludf.DUMMYFUNCTION("""COMPUTED_VALUE"""),671.0)</f>
        <v>671</v>
      </c>
      <c r="K140" s="329">
        <f>IFERROR(__xludf.DUMMYFUNCTION("""COMPUTED_VALUE"""),114615.0)</f>
        <v>114615</v>
      </c>
      <c r="L140" s="329">
        <f>IFERROR(__xludf.DUMMYFUNCTION("""COMPUTED_VALUE"""),3039.0)</f>
        <v>3039</v>
      </c>
      <c r="M140" s="329">
        <f>IFERROR(__xludf.DUMMYFUNCTION("""COMPUTED_VALUE"""),611280.0)</f>
        <v>611280</v>
      </c>
      <c r="N140" s="329">
        <f>IFERROR(__xludf.DUMMYFUNCTION("""COMPUTED_VALUE"""),725895.0)</f>
        <v>725895</v>
      </c>
      <c r="O140" s="329">
        <f>IFERROR(__xludf.DUMMYFUNCTION("""COMPUTED_VALUE"""),34.0)</f>
        <v>34</v>
      </c>
      <c r="P140" s="329">
        <f>IFERROR(__xludf.DUMMYFUNCTION("""COMPUTED_VALUE"""),8119.0)</f>
        <v>8119</v>
      </c>
      <c r="Q140" s="329">
        <f>IFERROR(__xludf.DUMMYFUNCTION("""COMPUTED_VALUE"""),35.0)</f>
        <v>35</v>
      </c>
      <c r="R140" s="329">
        <f>IFERROR(__xludf.DUMMYFUNCTION("""COMPUTED_VALUE"""),6858.0)</f>
        <v>6858</v>
      </c>
      <c r="S140" s="329">
        <f>IFERROR(__xludf.DUMMYFUNCTION("""COMPUTED_VALUE"""),4.0)</f>
        <v>4</v>
      </c>
      <c r="T140" s="329">
        <f>IFERROR(__xludf.DUMMYFUNCTION("""COMPUTED_VALUE"""),917.0)</f>
        <v>917</v>
      </c>
      <c r="U140" s="329">
        <f>IFERROR(__xludf.DUMMYFUNCTION("""COMPUTED_VALUE"""),344.0)</f>
        <v>344</v>
      </c>
      <c r="V140" s="329">
        <f>IFERROR(__xludf.DUMMYFUNCTION("""COMPUTED_VALUE"""),351.0)</f>
        <v>351</v>
      </c>
      <c r="W140" s="329">
        <f>IFERROR(__xludf.DUMMYFUNCTION("""COMPUTED_VALUE"""),55.0)</f>
        <v>55</v>
      </c>
      <c r="X140" s="329">
        <f>IFERROR(__xludf.DUMMYFUNCTION("""COMPUTED_VALUE"""),31.0)</f>
        <v>31</v>
      </c>
      <c r="Y140" s="329">
        <f>IFERROR(__xludf.DUMMYFUNCTION("""COMPUTED_VALUE"""),15.0)</f>
        <v>15</v>
      </c>
      <c r="Z140" s="329">
        <f>IFERROR(__xludf.DUMMYFUNCTION("""COMPUTED_VALUE"""),2333.0)</f>
        <v>2333</v>
      </c>
      <c r="AA140" s="258">
        <f>IFERROR(__xludf.DUMMYFUNCTION("""COMPUTED_VALUE"""),2759.0)</f>
        <v>2759</v>
      </c>
      <c r="AB140" s="258">
        <f>IFERROR(__xludf.DUMMYFUNCTION("""COMPUTED_VALUE"""),1101.0)</f>
        <v>1101</v>
      </c>
      <c r="AC140" s="258">
        <f>IFERROR(__xludf.DUMMYFUNCTION("""COMPUTED_VALUE"""),3860.0)</f>
        <v>3860</v>
      </c>
      <c r="AD140" s="258">
        <f>IFERROR(__xludf.DUMMYFUNCTION("""COMPUTED_VALUE"""),96015.0)</f>
        <v>96015</v>
      </c>
      <c r="AE140" s="258">
        <f>IFERROR(__xludf.DUMMYFUNCTION("""COMPUTED_VALUE"""),2759.0)</f>
        <v>2759</v>
      </c>
      <c r="AF140" s="258">
        <f>IFERROR(__xludf.DUMMYFUNCTION("""COMPUTED_VALUE"""),70953.0)</f>
        <v>70953</v>
      </c>
      <c r="AG140" s="258">
        <f>IFERROR(__xludf.DUMMYFUNCTION("""COMPUTED_VALUE"""),1101.0)</f>
        <v>1101</v>
      </c>
      <c r="AH140" s="258">
        <f>IFERROR(__xludf.DUMMYFUNCTION("""COMPUTED_VALUE"""),25062.0)</f>
        <v>25062</v>
      </c>
    </row>
    <row r="141">
      <c r="A141" s="328">
        <f>IFERROR(__xludf.DUMMYFUNCTION("""COMPUTED_VALUE"""),44225.0)</f>
        <v>44225</v>
      </c>
      <c r="B141" s="329">
        <f>IFERROR(__xludf.DUMMYFUNCTION("""COMPUTED_VALUE"""),672.0)</f>
        <v>672</v>
      </c>
      <c r="C141" s="329">
        <f>IFERROR(__xludf.DUMMYFUNCTION("""COMPUTED_VALUE"""),760.0)</f>
        <v>760</v>
      </c>
      <c r="D141" s="329">
        <f>IFERROR(__xludf.DUMMYFUNCTION("""COMPUTED_VALUE"""),137640.0)</f>
        <v>137640</v>
      </c>
      <c r="E141" s="329">
        <f>IFERROR(__xludf.DUMMYFUNCTION("""COMPUTED_VALUE"""),20068.0)</f>
        <v>20068</v>
      </c>
      <c r="F141" s="258">
        <f>IFERROR(__xludf.DUMMYFUNCTION("""COMPUTED_VALUE"""),2387491.0)</f>
        <v>2387491</v>
      </c>
      <c r="G141" s="258">
        <f>IFERROR(__xludf.DUMMYFUNCTION("""COMPUTED_VALUE"""),20740.0)</f>
        <v>20740</v>
      </c>
      <c r="H141" s="258">
        <f>IFERROR(__xludf.DUMMYFUNCTION("""COMPUTED_VALUE"""),2525131.0)</f>
        <v>2525131</v>
      </c>
      <c r="I141" s="329">
        <f>IFERROR(__xludf.DUMMYFUNCTION("""COMPUTED_VALUE"""),587.0)</f>
        <v>587</v>
      </c>
      <c r="J141" s="329">
        <f>IFERROR(__xludf.DUMMYFUNCTION("""COMPUTED_VALUE"""),647.0)</f>
        <v>647</v>
      </c>
      <c r="K141" s="329">
        <f>IFERROR(__xludf.DUMMYFUNCTION("""COMPUTED_VALUE"""),115202.0)</f>
        <v>115202</v>
      </c>
      <c r="L141" s="329">
        <f>IFERROR(__xludf.DUMMYFUNCTION("""COMPUTED_VALUE"""),2510.0)</f>
        <v>2510</v>
      </c>
      <c r="M141" s="329">
        <f>IFERROR(__xludf.DUMMYFUNCTION("""COMPUTED_VALUE"""),613790.0)</f>
        <v>613790</v>
      </c>
      <c r="N141" s="329">
        <f>IFERROR(__xludf.DUMMYFUNCTION("""COMPUTED_VALUE"""),728992.0)</f>
        <v>728992</v>
      </c>
      <c r="O141" s="329">
        <f>IFERROR(__xludf.DUMMYFUNCTION("""COMPUTED_VALUE"""),41.0)</f>
        <v>41</v>
      </c>
      <c r="P141" s="329">
        <f>IFERROR(__xludf.DUMMYFUNCTION("""COMPUTED_VALUE"""),8160.0)</f>
        <v>8160</v>
      </c>
      <c r="Q141" s="329">
        <f>IFERROR(__xludf.DUMMYFUNCTION("""COMPUTED_VALUE"""),52.0)</f>
        <v>52</v>
      </c>
      <c r="R141" s="329">
        <f>IFERROR(__xludf.DUMMYFUNCTION("""COMPUTED_VALUE"""),6910.0)</f>
        <v>6910</v>
      </c>
      <c r="S141" s="329">
        <f>IFERROR(__xludf.DUMMYFUNCTION("""COMPUTED_VALUE"""),4.0)</f>
        <v>4</v>
      </c>
      <c r="T141" s="329">
        <f>IFERROR(__xludf.DUMMYFUNCTION("""COMPUTED_VALUE"""),921.0)</f>
        <v>921</v>
      </c>
      <c r="U141" s="329">
        <f>IFERROR(__xludf.DUMMYFUNCTION("""COMPUTED_VALUE"""),329.0)</f>
        <v>329</v>
      </c>
      <c r="V141" s="329">
        <f>IFERROR(__xludf.DUMMYFUNCTION("""COMPUTED_VALUE"""),341.0)</f>
        <v>341</v>
      </c>
      <c r="W141" s="329">
        <f>IFERROR(__xludf.DUMMYFUNCTION("""COMPUTED_VALUE"""),57.0)</f>
        <v>57</v>
      </c>
      <c r="X141" s="329">
        <f>IFERROR(__xludf.DUMMYFUNCTION("""COMPUTED_VALUE"""),34.0)</f>
        <v>34</v>
      </c>
      <c r="Y141" s="329">
        <f>IFERROR(__xludf.DUMMYFUNCTION("""COMPUTED_VALUE"""),7.0)</f>
        <v>7</v>
      </c>
      <c r="Z141" s="329">
        <f>IFERROR(__xludf.DUMMYFUNCTION("""COMPUTED_VALUE"""),2340.0)</f>
        <v>2340</v>
      </c>
      <c r="AA141" s="258">
        <f>IFERROR(__xludf.DUMMYFUNCTION("""COMPUTED_VALUE"""),2301.0)</f>
        <v>2301</v>
      </c>
      <c r="AB141" s="258">
        <f>IFERROR(__xludf.DUMMYFUNCTION("""COMPUTED_VALUE"""),1199.0)</f>
        <v>1199</v>
      </c>
      <c r="AC141" s="258">
        <f>IFERROR(__xludf.DUMMYFUNCTION("""COMPUTED_VALUE"""),3500.0)</f>
        <v>3500</v>
      </c>
      <c r="AD141" s="258">
        <f>IFERROR(__xludf.DUMMYFUNCTION("""COMPUTED_VALUE"""),99515.0)</f>
        <v>99515</v>
      </c>
      <c r="AE141" s="258">
        <f>IFERROR(__xludf.DUMMYFUNCTION("""COMPUTED_VALUE"""),2301.0)</f>
        <v>2301</v>
      </c>
      <c r="AF141" s="258">
        <f>IFERROR(__xludf.DUMMYFUNCTION("""COMPUTED_VALUE"""),73254.0)</f>
        <v>73254</v>
      </c>
      <c r="AG141" s="258">
        <f>IFERROR(__xludf.DUMMYFUNCTION("""COMPUTED_VALUE"""),1199.0)</f>
        <v>1199</v>
      </c>
      <c r="AH141" s="258">
        <f>IFERROR(__xludf.DUMMYFUNCTION("""COMPUTED_VALUE"""),26261.0)</f>
        <v>26261</v>
      </c>
    </row>
    <row r="142">
      <c r="A142" s="328">
        <f>IFERROR(__xludf.DUMMYFUNCTION("""COMPUTED_VALUE"""),44226.0)</f>
        <v>44226</v>
      </c>
      <c r="B142" s="329">
        <f>IFERROR(__xludf.DUMMYFUNCTION("""COMPUTED_VALUE"""),695.0)</f>
        <v>695</v>
      </c>
      <c r="C142" s="329">
        <f>IFERROR(__xludf.DUMMYFUNCTION("""COMPUTED_VALUE"""),710.0)</f>
        <v>710</v>
      </c>
      <c r="D142" s="329">
        <f>IFERROR(__xludf.DUMMYFUNCTION("""COMPUTED_VALUE"""),138335.0)</f>
        <v>138335</v>
      </c>
      <c r="E142" s="329">
        <f>IFERROR(__xludf.DUMMYFUNCTION("""COMPUTED_VALUE"""),16300.0)</f>
        <v>16300</v>
      </c>
      <c r="F142" s="258">
        <f>IFERROR(__xludf.DUMMYFUNCTION("""COMPUTED_VALUE"""),2403791.0)</f>
        <v>2403791</v>
      </c>
      <c r="G142" s="258">
        <f>IFERROR(__xludf.DUMMYFUNCTION("""COMPUTED_VALUE"""),16995.0)</f>
        <v>16995</v>
      </c>
      <c r="H142" s="258">
        <f>IFERROR(__xludf.DUMMYFUNCTION("""COMPUTED_VALUE"""),2542126.0)</f>
        <v>2542126</v>
      </c>
      <c r="I142" s="329">
        <f>IFERROR(__xludf.DUMMYFUNCTION("""COMPUTED_VALUE"""),580.0)</f>
        <v>580</v>
      </c>
      <c r="J142" s="329">
        <f>IFERROR(__xludf.DUMMYFUNCTION("""COMPUTED_VALUE"""),598.0)</f>
        <v>598</v>
      </c>
      <c r="K142" s="329">
        <f>IFERROR(__xludf.DUMMYFUNCTION("""COMPUTED_VALUE"""),115782.0)</f>
        <v>115782</v>
      </c>
      <c r="L142" s="329">
        <f>IFERROR(__xludf.DUMMYFUNCTION("""COMPUTED_VALUE"""),2282.0)</f>
        <v>2282</v>
      </c>
      <c r="M142" s="329">
        <f>IFERROR(__xludf.DUMMYFUNCTION("""COMPUTED_VALUE"""),616072.0)</f>
        <v>616072</v>
      </c>
      <c r="N142" s="329">
        <f>IFERROR(__xludf.DUMMYFUNCTION("""COMPUTED_VALUE"""),731854.0)</f>
        <v>731854</v>
      </c>
      <c r="O142" s="329">
        <f>IFERROR(__xludf.DUMMYFUNCTION("""COMPUTED_VALUE"""),39.0)</f>
        <v>39</v>
      </c>
      <c r="P142" s="329">
        <f>IFERROR(__xludf.DUMMYFUNCTION("""COMPUTED_VALUE"""),8199.0)</f>
        <v>8199</v>
      </c>
      <c r="Q142" s="329">
        <f>IFERROR(__xludf.DUMMYFUNCTION("""COMPUTED_VALUE"""),30.0)</f>
        <v>30</v>
      </c>
      <c r="R142" s="329">
        <f>IFERROR(__xludf.DUMMYFUNCTION("""COMPUTED_VALUE"""),6940.0)</f>
        <v>6940</v>
      </c>
      <c r="S142" s="329">
        <f>IFERROR(__xludf.DUMMYFUNCTION("""COMPUTED_VALUE"""),4.0)</f>
        <v>4</v>
      </c>
      <c r="T142" s="329">
        <f>IFERROR(__xludf.DUMMYFUNCTION("""COMPUTED_VALUE"""),925.0)</f>
        <v>925</v>
      </c>
      <c r="U142" s="329">
        <f>IFERROR(__xludf.DUMMYFUNCTION("""COMPUTED_VALUE"""),334.0)</f>
        <v>334</v>
      </c>
      <c r="V142" s="329">
        <f>IFERROR(__xludf.DUMMYFUNCTION("""COMPUTED_VALUE"""),336.0)</f>
        <v>336</v>
      </c>
      <c r="W142" s="329">
        <f>IFERROR(__xludf.DUMMYFUNCTION("""COMPUTED_VALUE"""),52.0)</f>
        <v>52</v>
      </c>
      <c r="X142" s="329">
        <f>IFERROR(__xludf.DUMMYFUNCTION("""COMPUTED_VALUE"""),31.0)</f>
        <v>31</v>
      </c>
      <c r="Y142" s="329">
        <f>IFERROR(__xludf.DUMMYFUNCTION("""COMPUTED_VALUE"""),9.0)</f>
        <v>9</v>
      </c>
      <c r="Z142" s="329">
        <f>IFERROR(__xludf.DUMMYFUNCTION("""COMPUTED_VALUE"""),2349.0)</f>
        <v>2349</v>
      </c>
      <c r="AA142" s="258">
        <f>IFERROR(__xludf.DUMMYFUNCTION("""COMPUTED_VALUE"""),3563.0)</f>
        <v>3563</v>
      </c>
      <c r="AB142" s="258">
        <f>IFERROR(__xludf.DUMMYFUNCTION("""COMPUTED_VALUE"""),2166.0)</f>
        <v>2166</v>
      </c>
      <c r="AC142" s="258">
        <f>IFERROR(__xludf.DUMMYFUNCTION("""COMPUTED_VALUE"""),5729.0)</f>
        <v>5729</v>
      </c>
      <c r="AD142" s="258">
        <f>IFERROR(__xludf.DUMMYFUNCTION("""COMPUTED_VALUE"""),105244.0)</f>
        <v>105244</v>
      </c>
      <c r="AE142" s="258">
        <f>IFERROR(__xludf.DUMMYFUNCTION("""COMPUTED_VALUE"""),3563.0)</f>
        <v>3563</v>
      </c>
      <c r="AF142" s="258">
        <f>IFERROR(__xludf.DUMMYFUNCTION("""COMPUTED_VALUE"""),76817.0)</f>
        <v>76817</v>
      </c>
      <c r="AG142" s="258">
        <f>IFERROR(__xludf.DUMMYFUNCTION("""COMPUTED_VALUE"""),2166.0)</f>
        <v>2166</v>
      </c>
      <c r="AH142" s="258">
        <f>IFERROR(__xludf.DUMMYFUNCTION("""COMPUTED_VALUE"""),28427.0)</f>
        <v>28427</v>
      </c>
    </row>
    <row r="143">
      <c r="A143" s="328">
        <f>IFERROR(__xludf.DUMMYFUNCTION("""COMPUTED_VALUE"""),44227.0)</f>
        <v>44227</v>
      </c>
      <c r="B143" s="329">
        <f>IFERROR(__xludf.DUMMYFUNCTION("""COMPUTED_VALUE"""),361.0)</f>
        <v>361</v>
      </c>
      <c r="C143" s="329">
        <f>IFERROR(__xludf.DUMMYFUNCTION("""COMPUTED_VALUE"""),576.0)</f>
        <v>576</v>
      </c>
      <c r="D143" s="329">
        <f>IFERROR(__xludf.DUMMYFUNCTION("""COMPUTED_VALUE"""),138696.0)</f>
        <v>138696</v>
      </c>
      <c r="E143" s="329">
        <f>IFERROR(__xludf.DUMMYFUNCTION("""COMPUTED_VALUE"""),8373.0)</f>
        <v>8373</v>
      </c>
      <c r="F143" s="258">
        <f>IFERROR(__xludf.DUMMYFUNCTION("""COMPUTED_VALUE"""),2412164.0)</f>
        <v>2412164</v>
      </c>
      <c r="G143" s="258">
        <f>IFERROR(__xludf.DUMMYFUNCTION("""COMPUTED_VALUE"""),8734.0)</f>
        <v>8734</v>
      </c>
      <c r="H143" s="258">
        <f>IFERROR(__xludf.DUMMYFUNCTION("""COMPUTED_VALUE"""),2550860.0)</f>
        <v>2550860</v>
      </c>
      <c r="I143" s="329">
        <f>IFERROR(__xludf.DUMMYFUNCTION("""COMPUTED_VALUE"""),314.0)</f>
        <v>314</v>
      </c>
      <c r="J143" s="329">
        <f>IFERROR(__xludf.DUMMYFUNCTION("""COMPUTED_VALUE"""),494.0)</f>
        <v>494</v>
      </c>
      <c r="K143" s="329">
        <f>IFERROR(__xludf.DUMMYFUNCTION("""COMPUTED_VALUE"""),116096.0)</f>
        <v>116096</v>
      </c>
      <c r="L143" s="329">
        <f>IFERROR(__xludf.DUMMYFUNCTION("""COMPUTED_VALUE"""),1143.0)</f>
        <v>1143</v>
      </c>
      <c r="M143" s="329">
        <f>IFERROR(__xludf.DUMMYFUNCTION("""COMPUTED_VALUE"""),617215.0)</f>
        <v>617215</v>
      </c>
      <c r="N143" s="329">
        <f>IFERROR(__xludf.DUMMYFUNCTION("""COMPUTED_VALUE"""),733311.0)</f>
        <v>733311</v>
      </c>
      <c r="O143" s="329">
        <f>IFERROR(__xludf.DUMMYFUNCTION("""COMPUTED_VALUE"""),36.0)</f>
        <v>36</v>
      </c>
      <c r="P143" s="329">
        <f>IFERROR(__xludf.DUMMYFUNCTION("""COMPUTED_VALUE"""),8235.0)</f>
        <v>8235</v>
      </c>
      <c r="Q143" s="329">
        <f>IFERROR(__xludf.DUMMYFUNCTION("""COMPUTED_VALUE"""),36.0)</f>
        <v>36</v>
      </c>
      <c r="R143" s="329">
        <f>IFERROR(__xludf.DUMMYFUNCTION("""COMPUTED_VALUE"""),6976.0)</f>
        <v>6976</v>
      </c>
      <c r="S143" s="329">
        <f>IFERROR(__xludf.DUMMYFUNCTION("""COMPUTED_VALUE"""),2.0)</f>
        <v>2</v>
      </c>
      <c r="T143" s="329">
        <f>IFERROR(__xludf.DUMMYFUNCTION("""COMPUTED_VALUE"""),927.0)</f>
        <v>927</v>
      </c>
      <c r="U143" s="329">
        <f>IFERROR(__xludf.DUMMYFUNCTION("""COMPUTED_VALUE"""),332.0)</f>
        <v>332</v>
      </c>
      <c r="V143" s="329">
        <f>IFERROR(__xludf.DUMMYFUNCTION("""COMPUTED_VALUE"""),332.0)</f>
        <v>332</v>
      </c>
      <c r="W143" s="329">
        <f>IFERROR(__xludf.DUMMYFUNCTION("""COMPUTED_VALUE"""),46.0)</f>
        <v>46</v>
      </c>
      <c r="X143" s="329">
        <f>IFERROR(__xludf.DUMMYFUNCTION("""COMPUTED_VALUE"""),26.0)</f>
        <v>26</v>
      </c>
      <c r="Y143" s="329">
        <f>IFERROR(__xludf.DUMMYFUNCTION("""COMPUTED_VALUE"""),8.0)</f>
        <v>8</v>
      </c>
      <c r="Z143" s="329">
        <f>IFERROR(__xludf.DUMMYFUNCTION("""COMPUTED_VALUE"""),2357.0)</f>
        <v>2357</v>
      </c>
      <c r="AA143" s="258">
        <f>IFERROR(__xludf.DUMMYFUNCTION("""COMPUTED_VALUE"""),2329.0)</f>
        <v>2329</v>
      </c>
      <c r="AB143" s="258">
        <f>IFERROR(__xludf.DUMMYFUNCTION("""COMPUTED_VALUE"""),393.0)</f>
        <v>393</v>
      </c>
      <c r="AC143" s="258">
        <f>IFERROR(__xludf.DUMMYFUNCTION("""COMPUTED_VALUE"""),2722.0)</f>
        <v>2722</v>
      </c>
      <c r="AD143" s="258">
        <f>IFERROR(__xludf.DUMMYFUNCTION("""COMPUTED_VALUE"""),107966.0)</f>
        <v>107966</v>
      </c>
      <c r="AE143" s="258">
        <f>IFERROR(__xludf.DUMMYFUNCTION("""COMPUTED_VALUE"""),2329.0)</f>
        <v>2329</v>
      </c>
      <c r="AF143" s="258">
        <f>IFERROR(__xludf.DUMMYFUNCTION("""COMPUTED_VALUE"""),79146.0)</f>
        <v>79146</v>
      </c>
      <c r="AG143" s="258">
        <f>IFERROR(__xludf.DUMMYFUNCTION("""COMPUTED_VALUE"""),393.0)</f>
        <v>393</v>
      </c>
      <c r="AH143" s="258">
        <f>IFERROR(__xludf.DUMMYFUNCTION("""COMPUTED_VALUE"""),28820.0)</f>
        <v>28820</v>
      </c>
    </row>
    <row r="144">
      <c r="A144" s="328">
        <f>IFERROR(__xludf.DUMMYFUNCTION("""COMPUTED_VALUE"""),44228.0)</f>
        <v>44228</v>
      </c>
      <c r="B144" s="329">
        <f>IFERROR(__xludf.DUMMYFUNCTION("""COMPUTED_VALUE"""),238.0)</f>
        <v>238</v>
      </c>
      <c r="C144" s="329">
        <f>IFERROR(__xludf.DUMMYFUNCTION("""COMPUTED_VALUE"""),431.0)</f>
        <v>431</v>
      </c>
      <c r="D144" s="329">
        <f>IFERROR(__xludf.DUMMYFUNCTION("""COMPUTED_VALUE"""),138934.0)</f>
        <v>138934</v>
      </c>
      <c r="E144" s="329">
        <f>IFERROR(__xludf.DUMMYFUNCTION("""COMPUTED_VALUE"""),7378.0)</f>
        <v>7378</v>
      </c>
      <c r="F144" s="258">
        <f>IFERROR(__xludf.DUMMYFUNCTION("""COMPUTED_VALUE"""),2419542.0)</f>
        <v>2419542</v>
      </c>
      <c r="G144" s="258">
        <f>IFERROR(__xludf.DUMMYFUNCTION("""COMPUTED_VALUE"""),7616.0)</f>
        <v>7616</v>
      </c>
      <c r="H144" s="258">
        <f>IFERROR(__xludf.DUMMYFUNCTION("""COMPUTED_VALUE"""),2558476.0)</f>
        <v>2558476</v>
      </c>
      <c r="I144" s="329">
        <f>IFERROR(__xludf.DUMMYFUNCTION("""COMPUTED_VALUE"""),197.0)</f>
        <v>197</v>
      </c>
      <c r="J144" s="329">
        <f>IFERROR(__xludf.DUMMYFUNCTION("""COMPUTED_VALUE"""),364.0)</f>
        <v>364</v>
      </c>
      <c r="K144" s="329">
        <f>IFERROR(__xludf.DUMMYFUNCTION("""COMPUTED_VALUE"""),116293.0)</f>
        <v>116293</v>
      </c>
      <c r="L144" s="329">
        <f>IFERROR(__xludf.DUMMYFUNCTION("""COMPUTED_VALUE"""),669.0)</f>
        <v>669</v>
      </c>
      <c r="M144" s="329">
        <f>IFERROR(__xludf.DUMMYFUNCTION("""COMPUTED_VALUE"""),617884.0)</f>
        <v>617884</v>
      </c>
      <c r="N144" s="329">
        <f>IFERROR(__xludf.DUMMYFUNCTION("""COMPUTED_VALUE"""),734177.0)</f>
        <v>734177</v>
      </c>
      <c r="O144" s="329">
        <f>IFERROR(__xludf.DUMMYFUNCTION("""COMPUTED_VALUE"""),35.0)</f>
        <v>35</v>
      </c>
      <c r="P144" s="329">
        <f>IFERROR(__xludf.DUMMYFUNCTION("""COMPUTED_VALUE"""),8270.0)</f>
        <v>8270</v>
      </c>
      <c r="Q144" s="329">
        <f>IFERROR(__xludf.DUMMYFUNCTION("""COMPUTED_VALUE"""),38.0)</f>
        <v>38</v>
      </c>
      <c r="R144" s="329">
        <f>IFERROR(__xludf.DUMMYFUNCTION("""COMPUTED_VALUE"""),7014.0)</f>
        <v>7014</v>
      </c>
      <c r="S144" s="329">
        <f>IFERROR(__xludf.DUMMYFUNCTION("""COMPUTED_VALUE"""),7.0)</f>
        <v>7</v>
      </c>
      <c r="T144" s="329">
        <f>IFERROR(__xludf.DUMMYFUNCTION("""COMPUTED_VALUE"""),934.0)</f>
        <v>934</v>
      </c>
      <c r="U144" s="329">
        <f>IFERROR(__xludf.DUMMYFUNCTION("""COMPUTED_VALUE"""),322.0)</f>
        <v>322</v>
      </c>
      <c r="V144" s="329">
        <f>IFERROR(__xludf.DUMMYFUNCTION("""COMPUTED_VALUE"""),329.0)</f>
        <v>329</v>
      </c>
      <c r="W144" s="329">
        <f>IFERROR(__xludf.DUMMYFUNCTION("""COMPUTED_VALUE"""),44.0)</f>
        <v>44</v>
      </c>
      <c r="X144" s="329">
        <f>IFERROR(__xludf.DUMMYFUNCTION("""COMPUTED_VALUE"""),23.0)</f>
        <v>23</v>
      </c>
      <c r="Y144" s="329">
        <f>IFERROR(__xludf.DUMMYFUNCTION("""COMPUTED_VALUE"""),11.0)</f>
        <v>11</v>
      </c>
      <c r="Z144" s="329">
        <f>IFERROR(__xludf.DUMMYFUNCTION("""COMPUTED_VALUE"""),2368.0)</f>
        <v>2368</v>
      </c>
      <c r="AA144" s="258">
        <f>IFERROR(__xludf.DUMMYFUNCTION("""COMPUTED_VALUE"""),444.0)</f>
        <v>444</v>
      </c>
      <c r="AB144" s="258">
        <f>IFERROR(__xludf.DUMMYFUNCTION("""COMPUTED_VALUE"""),1028.0)</f>
        <v>1028</v>
      </c>
      <c r="AC144" s="258">
        <f>IFERROR(__xludf.DUMMYFUNCTION("""COMPUTED_VALUE"""),1472.0)</f>
        <v>1472</v>
      </c>
      <c r="AD144" s="258">
        <f>IFERROR(__xludf.DUMMYFUNCTION("""COMPUTED_VALUE"""),109438.0)</f>
        <v>109438</v>
      </c>
      <c r="AE144" s="258">
        <f>IFERROR(__xludf.DUMMYFUNCTION("""COMPUTED_VALUE"""),444.0)</f>
        <v>444</v>
      </c>
      <c r="AF144" s="258">
        <f>IFERROR(__xludf.DUMMYFUNCTION("""COMPUTED_VALUE"""),79590.0)</f>
        <v>79590</v>
      </c>
      <c r="AG144" s="258">
        <f>IFERROR(__xludf.DUMMYFUNCTION("""COMPUTED_VALUE"""),1028.0)</f>
        <v>1028</v>
      </c>
      <c r="AH144" s="258">
        <f>IFERROR(__xludf.DUMMYFUNCTION("""COMPUTED_VALUE"""),29848.0)</f>
        <v>29848</v>
      </c>
    </row>
    <row r="145">
      <c r="A145" s="328">
        <f>IFERROR(__xludf.DUMMYFUNCTION("""COMPUTED_VALUE"""),44229.0)</f>
        <v>44229</v>
      </c>
      <c r="B145" s="329">
        <f>IFERROR(__xludf.DUMMYFUNCTION("""COMPUTED_VALUE"""),603.0)</f>
        <v>603</v>
      </c>
      <c r="C145" s="329">
        <f>IFERROR(__xludf.DUMMYFUNCTION("""COMPUTED_VALUE"""),401.0)</f>
        <v>401</v>
      </c>
      <c r="D145" s="329">
        <f>IFERROR(__xludf.DUMMYFUNCTION("""COMPUTED_VALUE"""),139537.0)</f>
        <v>139537</v>
      </c>
      <c r="E145" s="329">
        <f>IFERROR(__xludf.DUMMYFUNCTION("""COMPUTED_VALUE"""),14852.0)</f>
        <v>14852</v>
      </c>
      <c r="F145" s="258">
        <f>IFERROR(__xludf.DUMMYFUNCTION("""COMPUTED_VALUE"""),2434394.0)</f>
        <v>2434394</v>
      </c>
      <c r="G145" s="258">
        <f>IFERROR(__xludf.DUMMYFUNCTION("""COMPUTED_VALUE"""),15455.0)</f>
        <v>15455</v>
      </c>
      <c r="H145" s="258">
        <f>IFERROR(__xludf.DUMMYFUNCTION("""COMPUTED_VALUE"""),2573931.0)</f>
        <v>2573931</v>
      </c>
      <c r="I145" s="329">
        <f>IFERROR(__xludf.DUMMYFUNCTION("""COMPUTED_VALUE"""),527.0)</f>
        <v>527</v>
      </c>
      <c r="J145" s="329">
        <f>IFERROR(__xludf.DUMMYFUNCTION("""COMPUTED_VALUE"""),346.0)</f>
        <v>346</v>
      </c>
      <c r="K145" s="329">
        <f>IFERROR(__xludf.DUMMYFUNCTION("""COMPUTED_VALUE"""),116820.0)</f>
        <v>116820</v>
      </c>
      <c r="L145" s="329">
        <f>IFERROR(__xludf.DUMMYFUNCTION("""COMPUTED_VALUE"""),1896.0)</f>
        <v>1896</v>
      </c>
      <c r="M145" s="329">
        <f>IFERROR(__xludf.DUMMYFUNCTION("""COMPUTED_VALUE"""),619780.0)</f>
        <v>619780</v>
      </c>
      <c r="N145" s="329">
        <f>IFERROR(__xludf.DUMMYFUNCTION("""COMPUTED_VALUE"""),736600.0)</f>
        <v>736600</v>
      </c>
      <c r="O145" s="329">
        <f>IFERROR(__xludf.DUMMYFUNCTION("""COMPUTED_VALUE"""),48.0)</f>
        <v>48</v>
      </c>
      <c r="P145" s="329">
        <f>IFERROR(__xludf.DUMMYFUNCTION("""COMPUTED_VALUE"""),8318.0)</f>
        <v>8318</v>
      </c>
      <c r="Q145" s="329">
        <f>IFERROR(__xludf.DUMMYFUNCTION("""COMPUTED_VALUE"""),48.0)</f>
        <v>48</v>
      </c>
      <c r="R145" s="329">
        <f>IFERROR(__xludf.DUMMYFUNCTION("""COMPUTED_VALUE"""),7062.0)</f>
        <v>7062</v>
      </c>
      <c r="S145" s="329">
        <f>IFERROR(__xludf.DUMMYFUNCTION("""COMPUTED_VALUE"""),4.0)</f>
        <v>4</v>
      </c>
      <c r="T145" s="329">
        <f>IFERROR(__xludf.DUMMYFUNCTION("""COMPUTED_VALUE"""),938.0)</f>
        <v>938</v>
      </c>
      <c r="U145" s="329">
        <f>IFERROR(__xludf.DUMMYFUNCTION("""COMPUTED_VALUE"""),318.0)</f>
        <v>318</v>
      </c>
      <c r="V145" s="329">
        <f>IFERROR(__xludf.DUMMYFUNCTION("""COMPUTED_VALUE"""),324.0)</f>
        <v>324</v>
      </c>
      <c r="W145" s="329">
        <f>IFERROR(__xludf.DUMMYFUNCTION("""COMPUTED_VALUE"""),47.0)</f>
        <v>47</v>
      </c>
      <c r="X145" s="329">
        <f>IFERROR(__xludf.DUMMYFUNCTION("""COMPUTED_VALUE"""),24.0)</f>
        <v>24</v>
      </c>
      <c r="Y145" s="329">
        <f>IFERROR(__xludf.DUMMYFUNCTION("""COMPUTED_VALUE"""),14.0)</f>
        <v>14</v>
      </c>
      <c r="Z145" s="329">
        <f>IFERROR(__xludf.DUMMYFUNCTION("""COMPUTED_VALUE"""),2382.0)</f>
        <v>2382</v>
      </c>
      <c r="AA145" s="258">
        <f>IFERROR(__xludf.DUMMYFUNCTION("""COMPUTED_VALUE"""),1721.0)</f>
        <v>1721</v>
      </c>
      <c r="AB145" s="258">
        <f>IFERROR(__xludf.DUMMYFUNCTION("""COMPUTED_VALUE"""),1679.0)</f>
        <v>1679</v>
      </c>
      <c r="AC145" s="258">
        <f>IFERROR(__xludf.DUMMYFUNCTION("""COMPUTED_VALUE"""),3400.0)</f>
        <v>3400</v>
      </c>
      <c r="AD145" s="258">
        <f>IFERROR(__xludf.DUMMYFUNCTION("""COMPUTED_VALUE"""),112838.0)</f>
        <v>112838</v>
      </c>
      <c r="AE145" s="258">
        <f>IFERROR(__xludf.DUMMYFUNCTION("""COMPUTED_VALUE"""),1721.0)</f>
        <v>1721</v>
      </c>
      <c r="AF145" s="258">
        <f>IFERROR(__xludf.DUMMYFUNCTION("""COMPUTED_VALUE"""),81311.0)</f>
        <v>81311</v>
      </c>
      <c r="AG145" s="258">
        <f>IFERROR(__xludf.DUMMYFUNCTION("""COMPUTED_VALUE"""),1679.0)</f>
        <v>1679</v>
      </c>
      <c r="AH145" s="258">
        <f>IFERROR(__xludf.DUMMYFUNCTION("""COMPUTED_VALUE"""),31527.0)</f>
        <v>31527</v>
      </c>
    </row>
    <row r="146">
      <c r="A146" s="328">
        <f>IFERROR(__xludf.DUMMYFUNCTION("""COMPUTED_VALUE"""),44230.0)</f>
        <v>44230</v>
      </c>
      <c r="B146" s="329">
        <f>IFERROR(__xludf.DUMMYFUNCTION("""COMPUTED_VALUE"""),750.0)</f>
        <v>750</v>
      </c>
      <c r="C146" s="329">
        <f>IFERROR(__xludf.DUMMYFUNCTION("""COMPUTED_VALUE"""),530.0)</f>
        <v>530</v>
      </c>
      <c r="D146" s="329">
        <f>IFERROR(__xludf.DUMMYFUNCTION("""COMPUTED_VALUE"""),140287.0)</f>
        <v>140287</v>
      </c>
      <c r="E146" s="329">
        <f>IFERROR(__xludf.DUMMYFUNCTION("""COMPUTED_VALUE"""),24455.0)</f>
        <v>24455</v>
      </c>
      <c r="F146" s="258">
        <f>IFERROR(__xludf.DUMMYFUNCTION("""COMPUTED_VALUE"""),2458849.0)</f>
        <v>2458849</v>
      </c>
      <c r="G146" s="258">
        <f>IFERROR(__xludf.DUMMYFUNCTION("""COMPUTED_VALUE"""),25205.0)</f>
        <v>25205</v>
      </c>
      <c r="H146" s="258">
        <f>IFERROR(__xludf.DUMMYFUNCTION("""COMPUTED_VALUE"""),2599136.0)</f>
        <v>2599136</v>
      </c>
      <c r="I146" s="329">
        <f>IFERROR(__xludf.DUMMYFUNCTION("""COMPUTED_VALUE"""),668.0)</f>
        <v>668</v>
      </c>
      <c r="J146" s="329">
        <f>IFERROR(__xludf.DUMMYFUNCTION("""COMPUTED_VALUE"""),464.0)</f>
        <v>464</v>
      </c>
      <c r="K146" s="329">
        <f>IFERROR(__xludf.DUMMYFUNCTION("""COMPUTED_VALUE"""),117488.0)</f>
        <v>117488</v>
      </c>
      <c r="L146" s="329">
        <f>IFERROR(__xludf.DUMMYFUNCTION("""COMPUTED_VALUE"""),2484.0)</f>
        <v>2484</v>
      </c>
      <c r="M146" s="329">
        <f>IFERROR(__xludf.DUMMYFUNCTION("""COMPUTED_VALUE"""),622264.0)</f>
        <v>622264</v>
      </c>
      <c r="N146" s="329">
        <f>IFERROR(__xludf.DUMMYFUNCTION("""COMPUTED_VALUE"""),739752.0)</f>
        <v>739752</v>
      </c>
      <c r="O146" s="329">
        <f>IFERROR(__xludf.DUMMYFUNCTION("""COMPUTED_VALUE"""),48.0)</f>
        <v>48</v>
      </c>
      <c r="P146" s="329">
        <f>IFERROR(__xludf.DUMMYFUNCTION("""COMPUTED_VALUE"""),8366.0)</f>
        <v>8366</v>
      </c>
      <c r="Q146" s="329">
        <f>IFERROR(__xludf.DUMMYFUNCTION("""COMPUTED_VALUE"""),46.0)</f>
        <v>46</v>
      </c>
      <c r="R146" s="329">
        <f>IFERROR(__xludf.DUMMYFUNCTION("""COMPUTED_VALUE"""),7108.0)</f>
        <v>7108</v>
      </c>
      <c r="S146" s="329">
        <f>IFERROR(__xludf.DUMMYFUNCTION("""COMPUTED_VALUE"""),5.0)</f>
        <v>5</v>
      </c>
      <c r="T146" s="329">
        <f>IFERROR(__xludf.DUMMYFUNCTION("""COMPUTED_VALUE"""),943.0)</f>
        <v>943</v>
      </c>
      <c r="U146" s="329">
        <f>IFERROR(__xludf.DUMMYFUNCTION("""COMPUTED_VALUE"""),315.0)</f>
        <v>315</v>
      </c>
      <c r="V146" s="329">
        <f>IFERROR(__xludf.DUMMYFUNCTION("""COMPUTED_VALUE"""),318.0)</f>
        <v>318</v>
      </c>
      <c r="W146" s="329">
        <f>IFERROR(__xludf.DUMMYFUNCTION("""COMPUTED_VALUE"""),47.0)</f>
        <v>47</v>
      </c>
      <c r="X146" s="329">
        <f>IFERROR(__xludf.DUMMYFUNCTION("""COMPUTED_VALUE"""),22.0)</f>
        <v>22</v>
      </c>
      <c r="Y146" s="329">
        <f>IFERROR(__xludf.DUMMYFUNCTION("""COMPUTED_VALUE"""),14.0)</f>
        <v>14</v>
      </c>
      <c r="Z146" s="329">
        <f>IFERROR(__xludf.DUMMYFUNCTION("""COMPUTED_VALUE"""),2396.0)</f>
        <v>2396</v>
      </c>
      <c r="AA146" s="258">
        <f>IFERROR(__xludf.DUMMYFUNCTION("""COMPUTED_VALUE"""),3918.0)</f>
        <v>3918</v>
      </c>
      <c r="AB146" s="258">
        <f>IFERROR(__xludf.DUMMYFUNCTION("""COMPUTED_VALUE"""),1966.0)</f>
        <v>1966</v>
      </c>
      <c r="AC146" s="258">
        <f>IFERROR(__xludf.DUMMYFUNCTION("""COMPUTED_VALUE"""),5884.0)</f>
        <v>5884</v>
      </c>
      <c r="AD146" s="258">
        <f>IFERROR(__xludf.DUMMYFUNCTION("""COMPUTED_VALUE"""),118722.0)</f>
        <v>118722</v>
      </c>
      <c r="AE146" s="258">
        <f>IFERROR(__xludf.DUMMYFUNCTION("""COMPUTED_VALUE"""),3918.0)</f>
        <v>3918</v>
      </c>
      <c r="AF146" s="258">
        <f>IFERROR(__xludf.DUMMYFUNCTION("""COMPUTED_VALUE"""),85229.0)</f>
        <v>85229</v>
      </c>
      <c r="AG146" s="258">
        <f>IFERROR(__xludf.DUMMYFUNCTION("""COMPUTED_VALUE"""),1966.0)</f>
        <v>1966</v>
      </c>
      <c r="AH146" s="258">
        <f>IFERROR(__xludf.DUMMYFUNCTION("""COMPUTED_VALUE"""),33493.0)</f>
        <v>33493</v>
      </c>
    </row>
    <row r="147">
      <c r="A147" s="328">
        <f>IFERROR(__xludf.DUMMYFUNCTION("""COMPUTED_VALUE"""),44231.0)</f>
        <v>44231</v>
      </c>
      <c r="B147" s="329">
        <f>IFERROR(__xludf.DUMMYFUNCTION("""COMPUTED_VALUE"""),708.0)</f>
        <v>708</v>
      </c>
      <c r="C147" s="329">
        <f>IFERROR(__xludf.DUMMYFUNCTION("""COMPUTED_VALUE"""),687.0)</f>
        <v>687</v>
      </c>
      <c r="D147" s="329">
        <f>IFERROR(__xludf.DUMMYFUNCTION("""COMPUTED_VALUE"""),140995.0)</f>
        <v>140995</v>
      </c>
      <c r="E147" s="329">
        <f>IFERROR(__xludf.DUMMYFUNCTION("""COMPUTED_VALUE"""),23491.0)</f>
        <v>23491</v>
      </c>
      <c r="F147" s="258">
        <f>IFERROR(__xludf.DUMMYFUNCTION("""COMPUTED_VALUE"""),2482340.0)</f>
        <v>2482340</v>
      </c>
      <c r="G147" s="258">
        <f>IFERROR(__xludf.DUMMYFUNCTION("""COMPUTED_VALUE"""),24199.0)</f>
        <v>24199</v>
      </c>
      <c r="H147" s="258">
        <f>IFERROR(__xludf.DUMMYFUNCTION("""COMPUTED_VALUE"""),2623335.0)</f>
        <v>2623335</v>
      </c>
      <c r="I147" s="329">
        <f>IFERROR(__xludf.DUMMYFUNCTION("""COMPUTED_VALUE"""),607.0)</f>
        <v>607</v>
      </c>
      <c r="J147" s="329">
        <f>IFERROR(__xludf.DUMMYFUNCTION("""COMPUTED_VALUE"""),601.0)</f>
        <v>601</v>
      </c>
      <c r="K147" s="329">
        <f>IFERROR(__xludf.DUMMYFUNCTION("""COMPUTED_VALUE"""),118095.0)</f>
        <v>118095</v>
      </c>
      <c r="L147" s="329">
        <f>IFERROR(__xludf.DUMMYFUNCTION("""COMPUTED_VALUE"""),2642.0)</f>
        <v>2642</v>
      </c>
      <c r="M147" s="329">
        <f>IFERROR(__xludf.DUMMYFUNCTION("""COMPUTED_VALUE"""),624906.0)</f>
        <v>624906</v>
      </c>
      <c r="N147" s="329">
        <f>IFERROR(__xludf.DUMMYFUNCTION("""COMPUTED_VALUE"""),743001.0)</f>
        <v>743001</v>
      </c>
      <c r="O147" s="329">
        <f>IFERROR(__xludf.DUMMYFUNCTION("""COMPUTED_VALUE"""),33.0)</f>
        <v>33</v>
      </c>
      <c r="P147" s="329">
        <f>IFERROR(__xludf.DUMMYFUNCTION("""COMPUTED_VALUE"""),8399.0)</f>
        <v>8399</v>
      </c>
      <c r="Q147" s="329">
        <f>IFERROR(__xludf.DUMMYFUNCTION("""COMPUTED_VALUE"""),46.0)</f>
        <v>46</v>
      </c>
      <c r="R147" s="329">
        <f>IFERROR(__xludf.DUMMYFUNCTION("""COMPUTED_VALUE"""),7154.0)</f>
        <v>7154</v>
      </c>
      <c r="S147" s="329">
        <f>IFERROR(__xludf.DUMMYFUNCTION("""COMPUTED_VALUE"""),0.0)</f>
        <v>0</v>
      </c>
      <c r="T147" s="329">
        <f>IFERROR(__xludf.DUMMYFUNCTION("""COMPUTED_VALUE"""),943.0)</f>
        <v>943</v>
      </c>
      <c r="U147" s="329">
        <f>IFERROR(__xludf.DUMMYFUNCTION("""COMPUTED_VALUE"""),302.0)</f>
        <v>302</v>
      </c>
      <c r="V147" s="329">
        <f>IFERROR(__xludf.DUMMYFUNCTION("""COMPUTED_VALUE"""),312.0)</f>
        <v>312</v>
      </c>
      <c r="W147" s="329">
        <f>IFERROR(__xludf.DUMMYFUNCTION("""COMPUTED_VALUE"""),48.0)</f>
        <v>48</v>
      </c>
      <c r="X147" s="329">
        <f>IFERROR(__xludf.DUMMYFUNCTION("""COMPUTED_VALUE"""),23.0)</f>
        <v>23</v>
      </c>
      <c r="Y147" s="329">
        <f>IFERROR(__xludf.DUMMYFUNCTION("""COMPUTED_VALUE"""),8.0)</f>
        <v>8</v>
      </c>
      <c r="Z147" s="329">
        <f>IFERROR(__xludf.DUMMYFUNCTION("""COMPUTED_VALUE"""),2404.0)</f>
        <v>2404</v>
      </c>
      <c r="AA147" s="258">
        <f>IFERROR(__xludf.DUMMYFUNCTION("""COMPUTED_VALUE"""),2929.0)</f>
        <v>2929</v>
      </c>
      <c r="AB147" s="258">
        <f>IFERROR(__xludf.DUMMYFUNCTION("""COMPUTED_VALUE"""),2057.0)</f>
        <v>2057</v>
      </c>
      <c r="AC147" s="258">
        <f>IFERROR(__xludf.DUMMYFUNCTION("""COMPUTED_VALUE"""),4986.0)</f>
        <v>4986</v>
      </c>
      <c r="AD147" s="258">
        <f>IFERROR(__xludf.DUMMYFUNCTION("""COMPUTED_VALUE"""),123708.0)</f>
        <v>123708</v>
      </c>
      <c r="AE147" s="258">
        <f>IFERROR(__xludf.DUMMYFUNCTION("""COMPUTED_VALUE"""),2929.0)</f>
        <v>2929</v>
      </c>
      <c r="AF147" s="258">
        <f>IFERROR(__xludf.DUMMYFUNCTION("""COMPUTED_VALUE"""),88158.0)</f>
        <v>88158</v>
      </c>
      <c r="AG147" s="258">
        <f>IFERROR(__xludf.DUMMYFUNCTION("""COMPUTED_VALUE"""),2057.0)</f>
        <v>2057</v>
      </c>
      <c r="AH147" s="258">
        <f>IFERROR(__xludf.DUMMYFUNCTION("""COMPUTED_VALUE"""),35550.0)</f>
        <v>35550</v>
      </c>
    </row>
    <row r="148">
      <c r="A148" s="328">
        <f>IFERROR(__xludf.DUMMYFUNCTION("""COMPUTED_VALUE"""),44232.0)</f>
        <v>44232</v>
      </c>
      <c r="B148" s="329">
        <f>IFERROR(__xludf.DUMMYFUNCTION("""COMPUTED_VALUE"""),613.0)</f>
        <v>613</v>
      </c>
      <c r="C148" s="329">
        <f>IFERROR(__xludf.DUMMYFUNCTION("""COMPUTED_VALUE"""),690.0)</f>
        <v>690</v>
      </c>
      <c r="D148" s="329">
        <f>IFERROR(__xludf.DUMMYFUNCTION("""COMPUTED_VALUE"""),141608.0)</f>
        <v>141608</v>
      </c>
      <c r="E148" s="329">
        <f>IFERROR(__xludf.DUMMYFUNCTION("""COMPUTED_VALUE"""),20028.0)</f>
        <v>20028</v>
      </c>
      <c r="F148" s="258">
        <f>IFERROR(__xludf.DUMMYFUNCTION("""COMPUTED_VALUE"""),2502368.0)</f>
        <v>2502368</v>
      </c>
      <c r="G148" s="258">
        <f>IFERROR(__xludf.DUMMYFUNCTION("""COMPUTED_VALUE"""),20641.0)</f>
        <v>20641</v>
      </c>
      <c r="H148" s="258">
        <f>IFERROR(__xludf.DUMMYFUNCTION("""COMPUTED_VALUE"""),2643976.0)</f>
        <v>2643976</v>
      </c>
      <c r="I148" s="329">
        <f>IFERROR(__xludf.DUMMYFUNCTION("""COMPUTED_VALUE"""),505.0)</f>
        <v>505</v>
      </c>
      <c r="J148" s="329">
        <f>IFERROR(__xludf.DUMMYFUNCTION("""COMPUTED_VALUE"""),593.0)</f>
        <v>593</v>
      </c>
      <c r="K148" s="329">
        <f>IFERROR(__xludf.DUMMYFUNCTION("""COMPUTED_VALUE"""),118600.0)</f>
        <v>118600</v>
      </c>
      <c r="L148" s="329">
        <f>IFERROR(__xludf.DUMMYFUNCTION("""COMPUTED_VALUE"""),2280.0)</f>
        <v>2280</v>
      </c>
      <c r="M148" s="329">
        <f>IFERROR(__xludf.DUMMYFUNCTION("""COMPUTED_VALUE"""),627186.0)</f>
        <v>627186</v>
      </c>
      <c r="N148" s="329">
        <f>IFERROR(__xludf.DUMMYFUNCTION("""COMPUTED_VALUE"""),745786.0)</f>
        <v>745786</v>
      </c>
      <c r="O148" s="329">
        <f>IFERROR(__xludf.DUMMYFUNCTION("""COMPUTED_VALUE"""),25.0)</f>
        <v>25</v>
      </c>
      <c r="P148" s="329">
        <f>IFERROR(__xludf.DUMMYFUNCTION("""COMPUTED_VALUE"""),8424.0)</f>
        <v>8424</v>
      </c>
      <c r="Q148" s="329">
        <f>IFERROR(__xludf.DUMMYFUNCTION("""COMPUTED_VALUE"""),41.0)</f>
        <v>41</v>
      </c>
      <c r="R148" s="329">
        <f>IFERROR(__xludf.DUMMYFUNCTION("""COMPUTED_VALUE"""),7195.0)</f>
        <v>7195</v>
      </c>
      <c r="S148" s="329">
        <f>IFERROR(__xludf.DUMMYFUNCTION("""COMPUTED_VALUE"""),3.0)</f>
        <v>3</v>
      </c>
      <c r="T148" s="329">
        <f>IFERROR(__xludf.DUMMYFUNCTION("""COMPUTED_VALUE"""),946.0)</f>
        <v>946</v>
      </c>
      <c r="U148" s="329">
        <f>IFERROR(__xludf.DUMMYFUNCTION("""COMPUTED_VALUE"""),283.0)</f>
        <v>283</v>
      </c>
      <c r="V148" s="329">
        <f>IFERROR(__xludf.DUMMYFUNCTION("""COMPUTED_VALUE"""),300.0)</f>
        <v>300</v>
      </c>
      <c r="W148" s="329">
        <f>IFERROR(__xludf.DUMMYFUNCTION("""COMPUTED_VALUE"""),51.0)</f>
        <v>51</v>
      </c>
      <c r="X148" s="329">
        <f>IFERROR(__xludf.DUMMYFUNCTION("""COMPUTED_VALUE"""),24.0)</f>
        <v>24</v>
      </c>
      <c r="Y148" s="329">
        <f>IFERROR(__xludf.DUMMYFUNCTION("""COMPUTED_VALUE"""),6.0)</f>
        <v>6</v>
      </c>
      <c r="Z148" s="329">
        <f>IFERROR(__xludf.DUMMYFUNCTION("""COMPUTED_VALUE"""),2410.0)</f>
        <v>2410</v>
      </c>
      <c r="AA148" s="258">
        <f>IFERROR(__xludf.DUMMYFUNCTION("""COMPUTED_VALUE"""),2963.0)</f>
        <v>2963</v>
      </c>
      <c r="AB148" s="258">
        <f>IFERROR(__xludf.DUMMYFUNCTION("""COMPUTED_VALUE"""),1558.0)</f>
        <v>1558</v>
      </c>
      <c r="AC148" s="258">
        <f>IFERROR(__xludf.DUMMYFUNCTION("""COMPUTED_VALUE"""),4521.0)</f>
        <v>4521</v>
      </c>
      <c r="AD148" s="258">
        <f>IFERROR(__xludf.DUMMYFUNCTION("""COMPUTED_VALUE"""),128229.0)</f>
        <v>128229</v>
      </c>
      <c r="AE148" s="258">
        <f>IFERROR(__xludf.DUMMYFUNCTION("""COMPUTED_VALUE"""),2963.0)</f>
        <v>2963</v>
      </c>
      <c r="AF148" s="258">
        <f>IFERROR(__xludf.DUMMYFUNCTION("""COMPUTED_VALUE"""),91121.0)</f>
        <v>91121</v>
      </c>
      <c r="AG148" s="258">
        <f>IFERROR(__xludf.DUMMYFUNCTION("""COMPUTED_VALUE"""),1558.0)</f>
        <v>1558</v>
      </c>
      <c r="AH148" s="258">
        <f>IFERROR(__xludf.DUMMYFUNCTION("""COMPUTED_VALUE"""),37108.0)</f>
        <v>37108</v>
      </c>
    </row>
    <row r="149">
      <c r="A149" s="328">
        <f>IFERROR(__xludf.DUMMYFUNCTION("""COMPUTED_VALUE"""),44233.0)</f>
        <v>44233</v>
      </c>
      <c r="B149" s="329">
        <f>IFERROR(__xludf.DUMMYFUNCTION("""COMPUTED_VALUE"""),413.0)</f>
        <v>413</v>
      </c>
      <c r="C149" s="329">
        <f>IFERROR(__xludf.DUMMYFUNCTION("""COMPUTED_VALUE"""),578.0)</f>
        <v>578</v>
      </c>
      <c r="D149" s="329">
        <f>IFERROR(__xludf.DUMMYFUNCTION("""COMPUTED_VALUE"""),142021.0)</f>
        <v>142021</v>
      </c>
      <c r="E149" s="329">
        <f>IFERROR(__xludf.DUMMYFUNCTION("""COMPUTED_VALUE"""),15175.0)</f>
        <v>15175</v>
      </c>
      <c r="F149" s="258">
        <f>IFERROR(__xludf.DUMMYFUNCTION("""COMPUTED_VALUE"""),2517543.0)</f>
        <v>2517543</v>
      </c>
      <c r="G149" s="258">
        <f>IFERROR(__xludf.DUMMYFUNCTION("""COMPUTED_VALUE"""),15588.0)</f>
        <v>15588</v>
      </c>
      <c r="H149" s="258">
        <f>IFERROR(__xludf.DUMMYFUNCTION("""COMPUTED_VALUE"""),2659564.0)</f>
        <v>2659564</v>
      </c>
      <c r="I149" s="329">
        <f>IFERROR(__xludf.DUMMYFUNCTION("""COMPUTED_VALUE"""),346.0)</f>
        <v>346</v>
      </c>
      <c r="J149" s="329">
        <f>IFERROR(__xludf.DUMMYFUNCTION("""COMPUTED_VALUE"""),486.0)</f>
        <v>486</v>
      </c>
      <c r="K149" s="329">
        <f>IFERROR(__xludf.DUMMYFUNCTION("""COMPUTED_VALUE"""),118946.0)</f>
        <v>118946</v>
      </c>
      <c r="L149" s="329">
        <f>IFERROR(__xludf.DUMMYFUNCTION("""COMPUTED_VALUE"""),1713.0)</f>
        <v>1713</v>
      </c>
      <c r="M149" s="329">
        <f>IFERROR(__xludf.DUMMYFUNCTION("""COMPUTED_VALUE"""),628899.0)</f>
        <v>628899</v>
      </c>
      <c r="N149" s="329">
        <f>IFERROR(__xludf.DUMMYFUNCTION("""COMPUTED_VALUE"""),747845.0)</f>
        <v>747845</v>
      </c>
      <c r="O149" s="329">
        <f>IFERROR(__xludf.DUMMYFUNCTION("""COMPUTED_VALUE"""),28.0)</f>
        <v>28</v>
      </c>
      <c r="P149" s="329">
        <f>IFERROR(__xludf.DUMMYFUNCTION("""COMPUTED_VALUE"""),8452.0)</f>
        <v>8452</v>
      </c>
      <c r="Q149" s="329">
        <f>IFERROR(__xludf.DUMMYFUNCTION("""COMPUTED_VALUE"""),28.0)</f>
        <v>28</v>
      </c>
      <c r="R149" s="329">
        <f>IFERROR(__xludf.DUMMYFUNCTION("""COMPUTED_VALUE"""),7223.0)</f>
        <v>7223</v>
      </c>
      <c r="S149" s="329">
        <f>IFERROR(__xludf.DUMMYFUNCTION("""COMPUTED_VALUE"""),3.0)</f>
        <v>3</v>
      </c>
      <c r="T149" s="329">
        <f>IFERROR(__xludf.DUMMYFUNCTION("""COMPUTED_VALUE"""),949.0)</f>
        <v>949</v>
      </c>
      <c r="U149" s="329">
        <f>IFERROR(__xludf.DUMMYFUNCTION("""COMPUTED_VALUE"""),280.0)</f>
        <v>280</v>
      </c>
      <c r="V149" s="329">
        <f>IFERROR(__xludf.DUMMYFUNCTION("""COMPUTED_VALUE"""),288.0)</f>
        <v>288</v>
      </c>
      <c r="W149" s="329">
        <f>IFERROR(__xludf.DUMMYFUNCTION("""COMPUTED_VALUE"""),52.0)</f>
        <v>52</v>
      </c>
      <c r="X149" s="329">
        <f>IFERROR(__xludf.DUMMYFUNCTION("""COMPUTED_VALUE"""),23.0)</f>
        <v>23</v>
      </c>
      <c r="Y149" s="329">
        <f>IFERROR(__xludf.DUMMYFUNCTION("""COMPUTED_VALUE"""),9.0)</f>
        <v>9</v>
      </c>
      <c r="Z149" s="329">
        <f>IFERROR(__xludf.DUMMYFUNCTION("""COMPUTED_VALUE"""),2419.0)</f>
        <v>2419</v>
      </c>
      <c r="AA149" s="258">
        <f>IFERROR(__xludf.DUMMYFUNCTION("""COMPUTED_VALUE"""),3238.0)</f>
        <v>3238</v>
      </c>
      <c r="AB149" s="258">
        <f>IFERROR(__xludf.DUMMYFUNCTION("""COMPUTED_VALUE"""),1664.0)</f>
        <v>1664</v>
      </c>
      <c r="AC149" s="258">
        <f>IFERROR(__xludf.DUMMYFUNCTION("""COMPUTED_VALUE"""),4902.0)</f>
        <v>4902</v>
      </c>
      <c r="AD149" s="258">
        <f>IFERROR(__xludf.DUMMYFUNCTION("""COMPUTED_VALUE"""),133131.0)</f>
        <v>133131</v>
      </c>
      <c r="AE149" s="258">
        <f>IFERROR(__xludf.DUMMYFUNCTION("""COMPUTED_VALUE"""),3238.0)</f>
        <v>3238</v>
      </c>
      <c r="AF149" s="258">
        <f>IFERROR(__xludf.DUMMYFUNCTION("""COMPUTED_VALUE"""),94359.0)</f>
        <v>94359</v>
      </c>
      <c r="AG149" s="258">
        <f>IFERROR(__xludf.DUMMYFUNCTION("""COMPUTED_VALUE"""),1664.0)</f>
        <v>1664</v>
      </c>
      <c r="AH149" s="258">
        <f>IFERROR(__xludf.DUMMYFUNCTION("""COMPUTED_VALUE"""),38772.0)</f>
        <v>38772</v>
      </c>
    </row>
    <row r="150">
      <c r="A150" s="328">
        <f>IFERROR(__xludf.DUMMYFUNCTION("""COMPUTED_VALUE"""),44234.0)</f>
        <v>44234</v>
      </c>
      <c r="B150" s="329">
        <f>IFERROR(__xludf.DUMMYFUNCTION("""COMPUTED_VALUE"""),240.0)</f>
        <v>240</v>
      </c>
      <c r="C150" s="329">
        <f>IFERROR(__xludf.DUMMYFUNCTION("""COMPUTED_VALUE"""),422.0)</f>
        <v>422</v>
      </c>
      <c r="D150" s="329">
        <f>IFERROR(__xludf.DUMMYFUNCTION("""COMPUTED_VALUE"""),142261.0)</f>
        <v>142261</v>
      </c>
      <c r="E150" s="329">
        <f>IFERROR(__xludf.DUMMYFUNCTION("""COMPUTED_VALUE"""),4714.0)</f>
        <v>4714</v>
      </c>
      <c r="F150" s="258">
        <f>IFERROR(__xludf.DUMMYFUNCTION("""COMPUTED_VALUE"""),2522257.0)</f>
        <v>2522257</v>
      </c>
      <c r="G150" s="258">
        <f>IFERROR(__xludf.DUMMYFUNCTION("""COMPUTED_VALUE"""),4954.0)</f>
        <v>4954</v>
      </c>
      <c r="H150" s="258">
        <f>IFERROR(__xludf.DUMMYFUNCTION("""COMPUTED_VALUE"""),2664518.0)</f>
        <v>2664518</v>
      </c>
      <c r="I150" s="329">
        <f>IFERROR(__xludf.DUMMYFUNCTION("""COMPUTED_VALUE"""),181.0)</f>
        <v>181</v>
      </c>
      <c r="J150" s="329">
        <f>IFERROR(__xludf.DUMMYFUNCTION("""COMPUTED_VALUE"""),344.0)</f>
        <v>344</v>
      </c>
      <c r="K150" s="329">
        <f>IFERROR(__xludf.DUMMYFUNCTION("""COMPUTED_VALUE"""),119127.0)</f>
        <v>119127</v>
      </c>
      <c r="L150" s="329">
        <f>IFERROR(__xludf.DUMMYFUNCTION("""COMPUTED_VALUE"""),711.0)</f>
        <v>711</v>
      </c>
      <c r="M150" s="329">
        <f>IFERROR(__xludf.DUMMYFUNCTION("""COMPUTED_VALUE"""),629610.0)</f>
        <v>629610</v>
      </c>
      <c r="N150" s="329">
        <f>IFERROR(__xludf.DUMMYFUNCTION("""COMPUTED_VALUE"""),748737.0)</f>
        <v>748737</v>
      </c>
      <c r="O150" s="329">
        <f>IFERROR(__xludf.DUMMYFUNCTION("""COMPUTED_VALUE"""),23.0)</f>
        <v>23</v>
      </c>
      <c r="P150" s="329">
        <f>IFERROR(__xludf.DUMMYFUNCTION("""COMPUTED_VALUE"""),8475.0)</f>
        <v>8475</v>
      </c>
      <c r="Q150" s="329">
        <f>IFERROR(__xludf.DUMMYFUNCTION("""COMPUTED_VALUE"""),22.0)</f>
        <v>22</v>
      </c>
      <c r="R150" s="329">
        <f>IFERROR(__xludf.DUMMYFUNCTION("""COMPUTED_VALUE"""),7245.0)</f>
        <v>7245</v>
      </c>
      <c r="S150" s="329">
        <f>IFERROR(__xludf.DUMMYFUNCTION("""COMPUTED_VALUE"""),7.0)</f>
        <v>7</v>
      </c>
      <c r="T150" s="329">
        <f>IFERROR(__xludf.DUMMYFUNCTION("""COMPUTED_VALUE"""),956.0)</f>
        <v>956</v>
      </c>
      <c r="U150" s="329">
        <f>IFERROR(__xludf.DUMMYFUNCTION("""COMPUTED_VALUE"""),274.0)</f>
        <v>274</v>
      </c>
      <c r="V150" s="329">
        <f>IFERROR(__xludf.DUMMYFUNCTION("""COMPUTED_VALUE"""),279.0)</f>
        <v>279</v>
      </c>
      <c r="W150" s="329">
        <f>IFERROR(__xludf.DUMMYFUNCTION("""COMPUTED_VALUE"""),49.0)</f>
        <v>49</v>
      </c>
      <c r="X150" s="329">
        <f>IFERROR(__xludf.DUMMYFUNCTION("""COMPUTED_VALUE"""),24.0)</f>
        <v>24</v>
      </c>
      <c r="Y150" s="329">
        <f>IFERROR(__xludf.DUMMYFUNCTION("""COMPUTED_VALUE"""),14.0)</f>
        <v>14</v>
      </c>
      <c r="Z150" s="329">
        <f>IFERROR(__xludf.DUMMYFUNCTION("""COMPUTED_VALUE"""),2433.0)</f>
        <v>2433</v>
      </c>
      <c r="AA150" s="258">
        <f>IFERROR(__xludf.DUMMYFUNCTION("""COMPUTED_VALUE"""),417.0)</f>
        <v>417</v>
      </c>
      <c r="AB150" s="258">
        <f>IFERROR(__xludf.DUMMYFUNCTION("""COMPUTED_VALUE"""),445.0)</f>
        <v>445</v>
      </c>
      <c r="AC150" s="258">
        <f>IFERROR(__xludf.DUMMYFUNCTION("""COMPUTED_VALUE"""),862.0)</f>
        <v>862</v>
      </c>
      <c r="AD150" s="258">
        <f>IFERROR(__xludf.DUMMYFUNCTION("""COMPUTED_VALUE"""),133993.0)</f>
        <v>133993</v>
      </c>
      <c r="AE150" s="258">
        <f>IFERROR(__xludf.DUMMYFUNCTION("""COMPUTED_VALUE"""),417.0)</f>
        <v>417</v>
      </c>
      <c r="AF150" s="258">
        <f>IFERROR(__xludf.DUMMYFUNCTION("""COMPUTED_VALUE"""),94776.0)</f>
        <v>94776</v>
      </c>
      <c r="AG150" s="258">
        <f>IFERROR(__xludf.DUMMYFUNCTION("""COMPUTED_VALUE"""),445.0)</f>
        <v>445</v>
      </c>
      <c r="AH150" s="258">
        <f>IFERROR(__xludf.DUMMYFUNCTION("""COMPUTED_VALUE"""),39217.0)</f>
        <v>39217</v>
      </c>
    </row>
    <row r="151">
      <c r="A151" s="328">
        <f>IFERROR(__xludf.DUMMYFUNCTION("""COMPUTED_VALUE"""),44235.0)</f>
        <v>44235</v>
      </c>
      <c r="B151" s="329">
        <f>IFERROR(__xludf.DUMMYFUNCTION("""COMPUTED_VALUE"""),387.0)</f>
        <v>387</v>
      </c>
      <c r="C151" s="329">
        <f>IFERROR(__xludf.DUMMYFUNCTION("""COMPUTED_VALUE"""),347.0)</f>
        <v>347</v>
      </c>
      <c r="D151" s="329">
        <f>IFERROR(__xludf.DUMMYFUNCTION("""COMPUTED_VALUE"""),142648.0)</f>
        <v>142648</v>
      </c>
      <c r="E151" s="329">
        <f>IFERROR(__xludf.DUMMYFUNCTION("""COMPUTED_VALUE"""),13023.0)</f>
        <v>13023</v>
      </c>
      <c r="F151" s="258">
        <f>IFERROR(__xludf.DUMMYFUNCTION("""COMPUTED_VALUE"""),2535280.0)</f>
        <v>2535280</v>
      </c>
      <c r="G151" s="258">
        <f>IFERROR(__xludf.DUMMYFUNCTION("""COMPUTED_VALUE"""),13410.0)</f>
        <v>13410</v>
      </c>
      <c r="H151" s="258">
        <f>IFERROR(__xludf.DUMMYFUNCTION("""COMPUTED_VALUE"""),2677928.0)</f>
        <v>2677928</v>
      </c>
      <c r="I151" s="329">
        <f>IFERROR(__xludf.DUMMYFUNCTION("""COMPUTED_VALUE"""),360.0)</f>
        <v>360</v>
      </c>
      <c r="J151" s="329">
        <f>IFERROR(__xludf.DUMMYFUNCTION("""COMPUTED_VALUE"""),296.0)</f>
        <v>296</v>
      </c>
      <c r="K151" s="329">
        <f>IFERROR(__xludf.DUMMYFUNCTION("""COMPUTED_VALUE"""),119487.0)</f>
        <v>119487</v>
      </c>
      <c r="L151" s="329">
        <f>IFERROR(__xludf.DUMMYFUNCTION("""COMPUTED_VALUE"""),1600.0)</f>
        <v>1600</v>
      </c>
      <c r="M151" s="329">
        <f>IFERROR(__xludf.DUMMYFUNCTION("""COMPUTED_VALUE"""),631210.0)</f>
        <v>631210</v>
      </c>
      <c r="N151" s="329">
        <f>IFERROR(__xludf.DUMMYFUNCTION("""COMPUTED_VALUE"""),750697.0)</f>
        <v>750697</v>
      </c>
      <c r="O151" s="329">
        <f>IFERROR(__xludf.DUMMYFUNCTION("""COMPUTED_VALUE"""),23.0)</f>
        <v>23</v>
      </c>
      <c r="P151" s="329">
        <f>IFERROR(__xludf.DUMMYFUNCTION("""COMPUTED_VALUE"""),8498.0)</f>
        <v>8498</v>
      </c>
      <c r="Q151" s="329">
        <f>IFERROR(__xludf.DUMMYFUNCTION("""COMPUTED_VALUE"""),30.0)</f>
        <v>30</v>
      </c>
      <c r="R151" s="329">
        <f>IFERROR(__xludf.DUMMYFUNCTION("""COMPUTED_VALUE"""),7275.0)</f>
        <v>7275</v>
      </c>
      <c r="S151" s="329">
        <f>IFERROR(__xludf.DUMMYFUNCTION("""COMPUTED_VALUE"""),1.0)</f>
        <v>1</v>
      </c>
      <c r="T151" s="329">
        <f>IFERROR(__xludf.DUMMYFUNCTION("""COMPUTED_VALUE"""),957.0)</f>
        <v>957</v>
      </c>
      <c r="U151" s="329">
        <f>IFERROR(__xludf.DUMMYFUNCTION("""COMPUTED_VALUE"""),266.0)</f>
        <v>266</v>
      </c>
      <c r="V151" s="329">
        <f>IFERROR(__xludf.DUMMYFUNCTION("""COMPUTED_VALUE"""),273.0)</f>
        <v>273</v>
      </c>
      <c r="W151" s="329">
        <f>IFERROR(__xludf.DUMMYFUNCTION("""COMPUTED_VALUE"""),46.0)</f>
        <v>46</v>
      </c>
      <c r="X151" s="329">
        <f>IFERROR(__xludf.DUMMYFUNCTION("""COMPUTED_VALUE"""),23.0)</f>
        <v>23</v>
      </c>
      <c r="Y151" s="329">
        <f>IFERROR(__xludf.DUMMYFUNCTION("""COMPUTED_VALUE"""),8.0)</f>
        <v>8</v>
      </c>
      <c r="Z151" s="329">
        <f>IFERROR(__xludf.DUMMYFUNCTION("""COMPUTED_VALUE"""),2441.0)</f>
        <v>2441</v>
      </c>
      <c r="AA151" s="258">
        <f>IFERROR(__xludf.DUMMYFUNCTION("""COMPUTED_VALUE"""),1720.0)</f>
        <v>1720</v>
      </c>
      <c r="AB151" s="258">
        <f>IFERROR(__xludf.DUMMYFUNCTION("""COMPUTED_VALUE"""),1389.0)</f>
        <v>1389</v>
      </c>
      <c r="AC151" s="258">
        <f>IFERROR(__xludf.DUMMYFUNCTION("""COMPUTED_VALUE"""),3109.0)</f>
        <v>3109</v>
      </c>
      <c r="AD151" s="258">
        <f>IFERROR(__xludf.DUMMYFUNCTION("""COMPUTED_VALUE"""),137102.0)</f>
        <v>137102</v>
      </c>
      <c r="AE151" s="258">
        <f>IFERROR(__xludf.DUMMYFUNCTION("""COMPUTED_VALUE"""),1720.0)</f>
        <v>1720</v>
      </c>
      <c r="AF151" s="258">
        <f>IFERROR(__xludf.DUMMYFUNCTION("""COMPUTED_VALUE"""),96496.0)</f>
        <v>96496</v>
      </c>
      <c r="AG151" s="258">
        <f>IFERROR(__xludf.DUMMYFUNCTION("""COMPUTED_VALUE"""),1389.0)</f>
        <v>1389</v>
      </c>
      <c r="AH151" s="258">
        <f>IFERROR(__xludf.DUMMYFUNCTION("""COMPUTED_VALUE"""),40606.0)</f>
        <v>40606</v>
      </c>
    </row>
    <row r="152">
      <c r="A152" s="328">
        <f>IFERROR(__xludf.DUMMYFUNCTION("""COMPUTED_VALUE"""),44236.0)</f>
        <v>44236</v>
      </c>
      <c r="B152" s="329">
        <f>IFERROR(__xludf.DUMMYFUNCTION("""COMPUTED_VALUE"""),563.0)</f>
        <v>563</v>
      </c>
      <c r="C152" s="329">
        <f>IFERROR(__xludf.DUMMYFUNCTION("""COMPUTED_VALUE"""),397.0)</f>
        <v>397</v>
      </c>
      <c r="D152" s="329">
        <f>IFERROR(__xludf.DUMMYFUNCTION("""COMPUTED_VALUE"""),143211.0)</f>
        <v>143211</v>
      </c>
      <c r="E152" s="329">
        <f>IFERROR(__xludf.DUMMYFUNCTION("""COMPUTED_VALUE"""),17930.0)</f>
        <v>17930</v>
      </c>
      <c r="F152" s="258">
        <f>IFERROR(__xludf.DUMMYFUNCTION("""COMPUTED_VALUE"""),2553210.0)</f>
        <v>2553210</v>
      </c>
      <c r="G152" s="258">
        <f>IFERROR(__xludf.DUMMYFUNCTION("""COMPUTED_VALUE"""),18493.0)</f>
        <v>18493</v>
      </c>
      <c r="H152" s="258">
        <f>IFERROR(__xludf.DUMMYFUNCTION("""COMPUTED_VALUE"""),2696421.0)</f>
        <v>2696421</v>
      </c>
      <c r="I152" s="329">
        <f>IFERROR(__xludf.DUMMYFUNCTION("""COMPUTED_VALUE"""),494.0)</f>
        <v>494</v>
      </c>
      <c r="J152" s="329">
        <f>IFERROR(__xludf.DUMMYFUNCTION("""COMPUTED_VALUE"""),345.0)</f>
        <v>345</v>
      </c>
      <c r="K152" s="329">
        <f>IFERROR(__xludf.DUMMYFUNCTION("""COMPUTED_VALUE"""),119981.0)</f>
        <v>119981</v>
      </c>
      <c r="L152" s="329">
        <f>IFERROR(__xludf.DUMMYFUNCTION("""COMPUTED_VALUE"""),1766.0)</f>
        <v>1766</v>
      </c>
      <c r="M152" s="329">
        <f>IFERROR(__xludf.DUMMYFUNCTION("""COMPUTED_VALUE"""),632976.0)</f>
        <v>632976</v>
      </c>
      <c r="N152" s="329">
        <f>IFERROR(__xludf.DUMMYFUNCTION("""COMPUTED_VALUE"""),752957.0)</f>
        <v>752957</v>
      </c>
      <c r="O152" s="329">
        <f>IFERROR(__xludf.DUMMYFUNCTION("""COMPUTED_VALUE"""),35.0)</f>
        <v>35</v>
      </c>
      <c r="P152" s="329">
        <f>IFERROR(__xludf.DUMMYFUNCTION("""COMPUTED_VALUE"""),8533.0)</f>
        <v>8533</v>
      </c>
      <c r="Q152" s="329">
        <f>IFERROR(__xludf.DUMMYFUNCTION("""COMPUTED_VALUE"""),35.0)</f>
        <v>35</v>
      </c>
      <c r="R152" s="329">
        <f>IFERROR(__xludf.DUMMYFUNCTION("""COMPUTED_VALUE"""),7310.0)</f>
        <v>7310</v>
      </c>
      <c r="S152" s="329">
        <f>IFERROR(__xludf.DUMMYFUNCTION("""COMPUTED_VALUE"""),4.0)</f>
        <v>4</v>
      </c>
      <c r="T152" s="329">
        <f>IFERROR(__xludf.DUMMYFUNCTION("""COMPUTED_VALUE"""),961.0)</f>
        <v>961</v>
      </c>
      <c r="U152" s="329">
        <f>IFERROR(__xludf.DUMMYFUNCTION("""COMPUTED_VALUE"""),262.0)</f>
        <v>262</v>
      </c>
      <c r="V152" s="329">
        <f>IFERROR(__xludf.DUMMYFUNCTION("""COMPUTED_VALUE"""),267.0)</f>
        <v>267</v>
      </c>
      <c r="W152" s="329">
        <f>IFERROR(__xludf.DUMMYFUNCTION("""COMPUTED_VALUE"""),48.0)</f>
        <v>48</v>
      </c>
      <c r="X152" s="329">
        <f>IFERROR(__xludf.DUMMYFUNCTION("""COMPUTED_VALUE"""),24.0)</f>
        <v>24</v>
      </c>
      <c r="Y152" s="329">
        <f>IFERROR(__xludf.DUMMYFUNCTION("""COMPUTED_VALUE"""),7.0)</f>
        <v>7</v>
      </c>
      <c r="Z152" s="329">
        <f>IFERROR(__xludf.DUMMYFUNCTION("""COMPUTED_VALUE"""),2448.0)</f>
        <v>2448</v>
      </c>
      <c r="AA152" s="258">
        <f>IFERROR(__xludf.DUMMYFUNCTION("""COMPUTED_VALUE"""),2711.0)</f>
        <v>2711</v>
      </c>
      <c r="AB152" s="258">
        <f>IFERROR(__xludf.DUMMYFUNCTION("""COMPUTED_VALUE"""),1393.0)</f>
        <v>1393</v>
      </c>
      <c r="AC152" s="258">
        <f>IFERROR(__xludf.DUMMYFUNCTION("""COMPUTED_VALUE"""),4104.0)</f>
        <v>4104</v>
      </c>
      <c r="AD152" s="258">
        <f>IFERROR(__xludf.DUMMYFUNCTION("""COMPUTED_VALUE"""),141206.0)</f>
        <v>141206</v>
      </c>
      <c r="AE152" s="258">
        <f>IFERROR(__xludf.DUMMYFUNCTION("""COMPUTED_VALUE"""),2711.0)</f>
        <v>2711</v>
      </c>
      <c r="AF152" s="258">
        <f>IFERROR(__xludf.DUMMYFUNCTION("""COMPUTED_VALUE"""),99207.0)</f>
        <v>99207</v>
      </c>
      <c r="AG152" s="258">
        <f>IFERROR(__xludf.DUMMYFUNCTION("""COMPUTED_VALUE"""),1393.0)</f>
        <v>1393</v>
      </c>
      <c r="AH152" s="258">
        <f>IFERROR(__xludf.DUMMYFUNCTION("""COMPUTED_VALUE"""),41999.0)</f>
        <v>41999</v>
      </c>
    </row>
    <row r="153">
      <c r="A153" s="328">
        <f>IFERROR(__xludf.DUMMYFUNCTION("""COMPUTED_VALUE"""),44237.0)</f>
        <v>44237</v>
      </c>
      <c r="B153" s="329">
        <f>IFERROR(__xludf.DUMMYFUNCTION("""COMPUTED_VALUE"""),549.0)</f>
        <v>549</v>
      </c>
      <c r="C153" s="329">
        <f>IFERROR(__xludf.DUMMYFUNCTION("""COMPUTED_VALUE"""),500.0)</f>
        <v>500</v>
      </c>
      <c r="D153" s="329">
        <f>IFERROR(__xludf.DUMMYFUNCTION("""COMPUTED_VALUE"""),143760.0)</f>
        <v>143760</v>
      </c>
      <c r="E153" s="329">
        <f>IFERROR(__xludf.DUMMYFUNCTION("""COMPUTED_VALUE"""),23770.0)</f>
        <v>23770</v>
      </c>
      <c r="F153" s="258">
        <f>IFERROR(__xludf.DUMMYFUNCTION("""COMPUTED_VALUE"""),2576980.0)</f>
        <v>2576980</v>
      </c>
      <c r="G153" s="258">
        <f>IFERROR(__xludf.DUMMYFUNCTION("""COMPUTED_VALUE"""),24319.0)</f>
        <v>24319</v>
      </c>
      <c r="H153" s="258">
        <f>IFERROR(__xludf.DUMMYFUNCTION("""COMPUTED_VALUE"""),2720740.0)</f>
        <v>2720740</v>
      </c>
      <c r="I153" s="329">
        <f>IFERROR(__xludf.DUMMYFUNCTION("""COMPUTED_VALUE"""),454.0)</f>
        <v>454</v>
      </c>
      <c r="J153" s="329">
        <f>IFERROR(__xludf.DUMMYFUNCTION("""COMPUTED_VALUE"""),436.0)</f>
        <v>436</v>
      </c>
      <c r="K153" s="329">
        <f>IFERROR(__xludf.DUMMYFUNCTION("""COMPUTED_VALUE"""),120435.0)</f>
        <v>120435</v>
      </c>
      <c r="L153" s="329">
        <f>IFERROR(__xludf.DUMMYFUNCTION("""COMPUTED_VALUE"""),2134.0)</f>
        <v>2134</v>
      </c>
      <c r="M153" s="329">
        <f>IFERROR(__xludf.DUMMYFUNCTION("""COMPUTED_VALUE"""),635110.0)</f>
        <v>635110</v>
      </c>
      <c r="N153" s="329">
        <f>IFERROR(__xludf.DUMMYFUNCTION("""COMPUTED_VALUE"""),755545.0)</f>
        <v>755545</v>
      </c>
      <c r="O153" s="329">
        <f>IFERROR(__xludf.DUMMYFUNCTION("""COMPUTED_VALUE"""),30.0)</f>
        <v>30</v>
      </c>
      <c r="P153" s="329">
        <f>IFERROR(__xludf.DUMMYFUNCTION("""COMPUTED_VALUE"""),8563.0)</f>
        <v>8563</v>
      </c>
      <c r="Q153" s="329">
        <f>IFERROR(__xludf.DUMMYFUNCTION("""COMPUTED_VALUE"""),44.0)</f>
        <v>44</v>
      </c>
      <c r="R153" s="329">
        <f>IFERROR(__xludf.DUMMYFUNCTION("""COMPUTED_VALUE"""),7354.0)</f>
        <v>7354</v>
      </c>
      <c r="S153" s="329">
        <f>IFERROR(__xludf.DUMMYFUNCTION("""COMPUTED_VALUE"""),6.0)</f>
        <v>6</v>
      </c>
      <c r="T153" s="329">
        <f>IFERROR(__xludf.DUMMYFUNCTION("""COMPUTED_VALUE"""),967.0)</f>
        <v>967</v>
      </c>
      <c r="U153" s="329">
        <f>IFERROR(__xludf.DUMMYFUNCTION("""COMPUTED_VALUE"""),242.0)</f>
        <v>242</v>
      </c>
      <c r="V153" s="329">
        <f>IFERROR(__xludf.DUMMYFUNCTION("""COMPUTED_VALUE"""),257.0)</f>
        <v>257</v>
      </c>
      <c r="W153" s="329">
        <f>IFERROR(__xludf.DUMMYFUNCTION("""COMPUTED_VALUE"""),44.0)</f>
        <v>44</v>
      </c>
      <c r="X153" s="329">
        <f>IFERROR(__xludf.DUMMYFUNCTION("""COMPUTED_VALUE"""),22.0)</f>
        <v>22</v>
      </c>
      <c r="Y153" s="329">
        <f>IFERROR(__xludf.DUMMYFUNCTION("""COMPUTED_VALUE"""),11.0)</f>
        <v>11</v>
      </c>
      <c r="Z153" s="329">
        <f>IFERROR(__xludf.DUMMYFUNCTION("""COMPUTED_VALUE"""),2459.0)</f>
        <v>2459</v>
      </c>
      <c r="AA153" s="258">
        <f>IFERROR(__xludf.DUMMYFUNCTION("""COMPUTED_VALUE"""),2760.0)</f>
        <v>2760</v>
      </c>
      <c r="AB153" s="258">
        <f>IFERROR(__xludf.DUMMYFUNCTION("""COMPUTED_VALUE"""),2253.0)</f>
        <v>2253</v>
      </c>
      <c r="AC153" s="258">
        <f>IFERROR(__xludf.DUMMYFUNCTION("""COMPUTED_VALUE"""),5013.0)</f>
        <v>5013</v>
      </c>
      <c r="AD153" s="258">
        <f>IFERROR(__xludf.DUMMYFUNCTION("""COMPUTED_VALUE"""),146219.0)</f>
        <v>146219</v>
      </c>
      <c r="AE153" s="258">
        <f>IFERROR(__xludf.DUMMYFUNCTION("""COMPUTED_VALUE"""),2760.0)</f>
        <v>2760</v>
      </c>
      <c r="AF153" s="258">
        <f>IFERROR(__xludf.DUMMYFUNCTION("""COMPUTED_VALUE"""),101967.0)</f>
        <v>101967</v>
      </c>
      <c r="AG153" s="258">
        <f>IFERROR(__xludf.DUMMYFUNCTION("""COMPUTED_VALUE"""),2253.0)</f>
        <v>2253</v>
      </c>
      <c r="AH153" s="258">
        <f>IFERROR(__xludf.DUMMYFUNCTION("""COMPUTED_VALUE"""),44252.0)</f>
        <v>44252</v>
      </c>
    </row>
    <row r="154">
      <c r="A154" s="328">
        <f>IFERROR(__xludf.DUMMYFUNCTION("""COMPUTED_VALUE"""),44238.0)</f>
        <v>44238</v>
      </c>
      <c r="B154" s="329">
        <f>IFERROR(__xludf.DUMMYFUNCTION("""COMPUTED_VALUE"""),478.0)</f>
        <v>478</v>
      </c>
      <c r="C154" s="329">
        <f>IFERROR(__xludf.DUMMYFUNCTION("""COMPUTED_VALUE"""),530.0)</f>
        <v>530</v>
      </c>
      <c r="D154" s="329">
        <f>IFERROR(__xludf.DUMMYFUNCTION("""COMPUTED_VALUE"""),144238.0)</f>
        <v>144238</v>
      </c>
      <c r="E154" s="329">
        <f>IFERROR(__xludf.DUMMYFUNCTION("""COMPUTED_VALUE"""),21077.0)</f>
        <v>21077</v>
      </c>
      <c r="F154" s="258">
        <f>IFERROR(__xludf.DUMMYFUNCTION("""COMPUTED_VALUE"""),2598057.0)</f>
        <v>2598057</v>
      </c>
      <c r="G154" s="258">
        <f>IFERROR(__xludf.DUMMYFUNCTION("""COMPUTED_VALUE"""),21555.0)</f>
        <v>21555</v>
      </c>
      <c r="H154" s="258">
        <f>IFERROR(__xludf.DUMMYFUNCTION("""COMPUTED_VALUE"""),2742295.0)</f>
        <v>2742295</v>
      </c>
      <c r="I154" s="329">
        <f>IFERROR(__xludf.DUMMYFUNCTION("""COMPUTED_VALUE"""),401.0)</f>
        <v>401</v>
      </c>
      <c r="J154" s="329">
        <f>IFERROR(__xludf.DUMMYFUNCTION("""COMPUTED_VALUE"""),450.0)</f>
        <v>450</v>
      </c>
      <c r="K154" s="329">
        <f>IFERROR(__xludf.DUMMYFUNCTION("""COMPUTED_VALUE"""),120836.0)</f>
        <v>120836</v>
      </c>
      <c r="L154" s="329">
        <f>IFERROR(__xludf.DUMMYFUNCTION("""COMPUTED_VALUE"""),2001.0)</f>
        <v>2001</v>
      </c>
      <c r="M154" s="329">
        <f>IFERROR(__xludf.DUMMYFUNCTION("""COMPUTED_VALUE"""),637111.0)</f>
        <v>637111</v>
      </c>
      <c r="N154" s="329">
        <f>IFERROR(__xludf.DUMMYFUNCTION("""COMPUTED_VALUE"""),757947.0)</f>
        <v>757947</v>
      </c>
      <c r="O154" s="329">
        <f>IFERROR(__xludf.DUMMYFUNCTION("""COMPUTED_VALUE"""),31.0)</f>
        <v>31</v>
      </c>
      <c r="P154" s="329">
        <f>IFERROR(__xludf.DUMMYFUNCTION("""COMPUTED_VALUE"""),8594.0)</f>
        <v>8594</v>
      </c>
      <c r="Q154" s="329">
        <f>IFERROR(__xludf.DUMMYFUNCTION("""COMPUTED_VALUE"""),34.0)</f>
        <v>34</v>
      </c>
      <c r="R154" s="329">
        <f>IFERROR(__xludf.DUMMYFUNCTION("""COMPUTED_VALUE"""),7388.0)</f>
        <v>7388</v>
      </c>
      <c r="S154" s="329">
        <f>IFERROR(__xludf.DUMMYFUNCTION("""COMPUTED_VALUE"""),4.0)</f>
        <v>4</v>
      </c>
      <c r="T154" s="329">
        <f>IFERROR(__xludf.DUMMYFUNCTION("""COMPUTED_VALUE"""),971.0)</f>
        <v>971</v>
      </c>
      <c r="U154" s="329">
        <f>IFERROR(__xludf.DUMMYFUNCTION("""COMPUTED_VALUE"""),235.0)</f>
        <v>235</v>
      </c>
      <c r="V154" s="329">
        <f>IFERROR(__xludf.DUMMYFUNCTION("""COMPUTED_VALUE"""),246.0)</f>
        <v>246</v>
      </c>
      <c r="W154" s="329">
        <f>IFERROR(__xludf.DUMMYFUNCTION("""COMPUTED_VALUE"""),43.0)</f>
        <v>43</v>
      </c>
      <c r="X154" s="329">
        <f>IFERROR(__xludf.DUMMYFUNCTION("""COMPUTED_VALUE"""),22.0)</f>
        <v>22</v>
      </c>
      <c r="Y154" s="329">
        <f>IFERROR(__xludf.DUMMYFUNCTION("""COMPUTED_VALUE"""),11.0)</f>
        <v>11</v>
      </c>
      <c r="Z154" s="329">
        <f>IFERROR(__xludf.DUMMYFUNCTION("""COMPUTED_VALUE"""),2470.0)</f>
        <v>2470</v>
      </c>
      <c r="AA154" s="258">
        <f>IFERROR(__xludf.DUMMYFUNCTION("""COMPUTED_VALUE"""),3047.0)</f>
        <v>3047</v>
      </c>
      <c r="AB154" s="258">
        <f>IFERROR(__xludf.DUMMYFUNCTION("""COMPUTED_VALUE"""),1958.0)</f>
        <v>1958</v>
      </c>
      <c r="AC154" s="258">
        <f>IFERROR(__xludf.DUMMYFUNCTION("""COMPUTED_VALUE"""),5005.0)</f>
        <v>5005</v>
      </c>
      <c r="AD154" s="258">
        <f>IFERROR(__xludf.DUMMYFUNCTION("""COMPUTED_VALUE"""),151224.0)</f>
        <v>151224</v>
      </c>
      <c r="AE154" s="258">
        <f>IFERROR(__xludf.DUMMYFUNCTION("""COMPUTED_VALUE"""),3047.0)</f>
        <v>3047</v>
      </c>
      <c r="AF154" s="258">
        <f>IFERROR(__xludf.DUMMYFUNCTION("""COMPUTED_VALUE"""),105014.0)</f>
        <v>105014</v>
      </c>
      <c r="AG154" s="258">
        <f>IFERROR(__xludf.DUMMYFUNCTION("""COMPUTED_VALUE"""),1958.0)</f>
        <v>1958</v>
      </c>
      <c r="AH154" s="258">
        <f>IFERROR(__xludf.DUMMYFUNCTION("""COMPUTED_VALUE"""),46210.0)</f>
        <v>46210</v>
      </c>
    </row>
    <row r="155">
      <c r="A155" s="328">
        <f>IFERROR(__xludf.DUMMYFUNCTION("""COMPUTED_VALUE"""),44239.0)</f>
        <v>44239</v>
      </c>
      <c r="B155" s="329">
        <f>IFERROR(__xludf.DUMMYFUNCTION("""COMPUTED_VALUE"""),444.0)</f>
        <v>444</v>
      </c>
      <c r="C155" s="329">
        <f>IFERROR(__xludf.DUMMYFUNCTION("""COMPUTED_VALUE"""),490.0)</f>
        <v>490</v>
      </c>
      <c r="D155" s="329">
        <f>IFERROR(__xludf.DUMMYFUNCTION("""COMPUTED_VALUE"""),144682.0)</f>
        <v>144682</v>
      </c>
      <c r="E155" s="329">
        <f>IFERROR(__xludf.DUMMYFUNCTION("""COMPUTED_VALUE"""),20708.0)</f>
        <v>20708</v>
      </c>
      <c r="F155" s="258">
        <f>IFERROR(__xludf.DUMMYFUNCTION("""COMPUTED_VALUE"""),2618765.0)</f>
        <v>2618765</v>
      </c>
      <c r="G155" s="258">
        <f>IFERROR(__xludf.DUMMYFUNCTION("""COMPUTED_VALUE"""),21152.0)</f>
        <v>21152</v>
      </c>
      <c r="H155" s="258">
        <f>IFERROR(__xludf.DUMMYFUNCTION("""COMPUTED_VALUE"""),2763447.0)</f>
        <v>2763447</v>
      </c>
      <c r="I155" s="329">
        <f>IFERROR(__xludf.DUMMYFUNCTION("""COMPUTED_VALUE"""),378.0)</f>
        <v>378</v>
      </c>
      <c r="J155" s="329">
        <f>IFERROR(__xludf.DUMMYFUNCTION("""COMPUTED_VALUE"""),411.0)</f>
        <v>411</v>
      </c>
      <c r="K155" s="329">
        <f>IFERROR(__xludf.DUMMYFUNCTION("""COMPUTED_VALUE"""),121214.0)</f>
        <v>121214</v>
      </c>
      <c r="L155" s="329">
        <f>IFERROR(__xludf.DUMMYFUNCTION("""COMPUTED_VALUE"""),1932.0)</f>
        <v>1932</v>
      </c>
      <c r="M155" s="329">
        <f>IFERROR(__xludf.DUMMYFUNCTION("""COMPUTED_VALUE"""),639043.0)</f>
        <v>639043</v>
      </c>
      <c r="N155" s="329">
        <f>IFERROR(__xludf.DUMMYFUNCTION("""COMPUTED_VALUE"""),760257.0)</f>
        <v>760257</v>
      </c>
      <c r="O155" s="329">
        <f>IFERROR(__xludf.DUMMYFUNCTION("""COMPUTED_VALUE"""),19.0)</f>
        <v>19</v>
      </c>
      <c r="P155" s="329">
        <f>IFERROR(__xludf.DUMMYFUNCTION("""COMPUTED_VALUE"""),8613.0)</f>
        <v>8613</v>
      </c>
      <c r="Q155" s="329">
        <f>IFERROR(__xludf.DUMMYFUNCTION("""COMPUTED_VALUE"""),27.0)</f>
        <v>27</v>
      </c>
      <c r="R155" s="329">
        <f>IFERROR(__xludf.DUMMYFUNCTION("""COMPUTED_VALUE"""),7415.0)</f>
        <v>7415</v>
      </c>
      <c r="S155" s="329">
        <f>IFERROR(__xludf.DUMMYFUNCTION("""COMPUTED_VALUE"""),2.0)</f>
        <v>2</v>
      </c>
      <c r="T155" s="329">
        <f>IFERROR(__xludf.DUMMYFUNCTION("""COMPUTED_VALUE"""),973.0)</f>
        <v>973</v>
      </c>
      <c r="U155" s="329">
        <f>IFERROR(__xludf.DUMMYFUNCTION("""COMPUTED_VALUE"""),225.0)</f>
        <v>225</v>
      </c>
      <c r="V155" s="329">
        <f>IFERROR(__xludf.DUMMYFUNCTION("""COMPUTED_VALUE"""),234.0)</f>
        <v>234</v>
      </c>
      <c r="W155" s="329">
        <f>IFERROR(__xludf.DUMMYFUNCTION("""COMPUTED_VALUE"""),41.0)</f>
        <v>41</v>
      </c>
      <c r="X155" s="329">
        <f>IFERROR(__xludf.DUMMYFUNCTION("""COMPUTED_VALUE"""),21.0)</f>
        <v>21</v>
      </c>
      <c r="Y155" s="329">
        <f>IFERROR(__xludf.DUMMYFUNCTION("""COMPUTED_VALUE"""),5.0)</f>
        <v>5</v>
      </c>
      <c r="Z155" s="329">
        <f>IFERROR(__xludf.DUMMYFUNCTION("""COMPUTED_VALUE"""),2475.0)</f>
        <v>2475</v>
      </c>
      <c r="AA155" s="258">
        <f>IFERROR(__xludf.DUMMYFUNCTION("""COMPUTED_VALUE"""),3401.0)</f>
        <v>3401</v>
      </c>
      <c r="AB155" s="258">
        <f>IFERROR(__xludf.DUMMYFUNCTION("""COMPUTED_VALUE"""),2406.0)</f>
        <v>2406</v>
      </c>
      <c r="AC155" s="258">
        <f>IFERROR(__xludf.DUMMYFUNCTION("""COMPUTED_VALUE"""),5807.0)</f>
        <v>5807</v>
      </c>
      <c r="AD155" s="258">
        <f>IFERROR(__xludf.DUMMYFUNCTION("""COMPUTED_VALUE"""),157031.0)</f>
        <v>157031</v>
      </c>
      <c r="AE155" s="258">
        <f>IFERROR(__xludf.DUMMYFUNCTION("""COMPUTED_VALUE"""),3401.0)</f>
        <v>3401</v>
      </c>
      <c r="AF155" s="258">
        <f>IFERROR(__xludf.DUMMYFUNCTION("""COMPUTED_VALUE"""),108415.0)</f>
        <v>108415</v>
      </c>
      <c r="AG155" s="258">
        <f>IFERROR(__xludf.DUMMYFUNCTION("""COMPUTED_VALUE"""),2406.0)</f>
        <v>2406</v>
      </c>
      <c r="AH155" s="258">
        <f>IFERROR(__xludf.DUMMYFUNCTION("""COMPUTED_VALUE"""),48616.0)</f>
        <v>48616</v>
      </c>
    </row>
    <row r="156">
      <c r="A156" s="328">
        <f>IFERROR(__xludf.DUMMYFUNCTION("""COMPUTED_VALUE"""),44240.0)</f>
        <v>44240</v>
      </c>
      <c r="B156" s="329">
        <f>IFERROR(__xludf.DUMMYFUNCTION("""COMPUTED_VALUE"""),387.0)</f>
        <v>387</v>
      </c>
      <c r="C156" s="329">
        <f>IFERROR(__xludf.DUMMYFUNCTION("""COMPUTED_VALUE"""),436.0)</f>
        <v>436</v>
      </c>
      <c r="D156" s="329">
        <f>IFERROR(__xludf.DUMMYFUNCTION("""COMPUTED_VALUE"""),145069.0)</f>
        <v>145069</v>
      </c>
      <c r="E156" s="329">
        <f>IFERROR(__xludf.DUMMYFUNCTION("""COMPUTED_VALUE"""),14068.0)</f>
        <v>14068</v>
      </c>
      <c r="F156" s="258">
        <f>IFERROR(__xludf.DUMMYFUNCTION("""COMPUTED_VALUE"""),2632833.0)</f>
        <v>2632833</v>
      </c>
      <c r="G156" s="258">
        <f>IFERROR(__xludf.DUMMYFUNCTION("""COMPUTED_VALUE"""),14455.0)</f>
        <v>14455</v>
      </c>
      <c r="H156" s="258">
        <f>IFERROR(__xludf.DUMMYFUNCTION("""COMPUTED_VALUE"""),2777902.0)</f>
        <v>2777902</v>
      </c>
      <c r="I156" s="329">
        <f>IFERROR(__xludf.DUMMYFUNCTION("""COMPUTED_VALUE"""),323.0)</f>
        <v>323</v>
      </c>
      <c r="J156" s="329">
        <f>IFERROR(__xludf.DUMMYFUNCTION("""COMPUTED_VALUE"""),367.0)</f>
        <v>367</v>
      </c>
      <c r="K156" s="329">
        <f>IFERROR(__xludf.DUMMYFUNCTION("""COMPUTED_VALUE"""),121537.0)</f>
        <v>121537</v>
      </c>
      <c r="L156" s="329">
        <f>IFERROR(__xludf.DUMMYFUNCTION("""COMPUTED_VALUE"""),1576.0)</f>
        <v>1576</v>
      </c>
      <c r="M156" s="329">
        <f>IFERROR(__xludf.DUMMYFUNCTION("""COMPUTED_VALUE"""),640619.0)</f>
        <v>640619</v>
      </c>
      <c r="N156" s="329">
        <f>IFERROR(__xludf.DUMMYFUNCTION("""COMPUTED_VALUE"""),762156.0)</f>
        <v>762156</v>
      </c>
      <c r="O156" s="329">
        <f>IFERROR(__xludf.DUMMYFUNCTION("""COMPUTED_VALUE"""),21.0)</f>
        <v>21</v>
      </c>
      <c r="P156" s="329">
        <f>IFERROR(__xludf.DUMMYFUNCTION("""COMPUTED_VALUE"""),8634.0)</f>
        <v>8634</v>
      </c>
      <c r="Q156" s="329">
        <f>IFERROR(__xludf.DUMMYFUNCTION("""COMPUTED_VALUE"""),33.0)</f>
        <v>33</v>
      </c>
      <c r="R156" s="329">
        <f>IFERROR(__xludf.DUMMYFUNCTION("""COMPUTED_VALUE"""),7448.0)</f>
        <v>7448</v>
      </c>
      <c r="S156" s="329">
        <f>IFERROR(__xludf.DUMMYFUNCTION("""COMPUTED_VALUE"""),4.0)</f>
        <v>4</v>
      </c>
      <c r="T156" s="329">
        <f>IFERROR(__xludf.DUMMYFUNCTION("""COMPUTED_VALUE"""),977.0)</f>
        <v>977</v>
      </c>
      <c r="U156" s="329">
        <f>IFERROR(__xludf.DUMMYFUNCTION("""COMPUTED_VALUE"""),209.0)</f>
        <v>209</v>
      </c>
      <c r="V156" s="329">
        <f>IFERROR(__xludf.DUMMYFUNCTION("""COMPUTED_VALUE"""),223.0)</f>
        <v>223</v>
      </c>
      <c r="W156" s="329">
        <f>IFERROR(__xludf.DUMMYFUNCTION("""COMPUTED_VALUE"""),38.0)</f>
        <v>38</v>
      </c>
      <c r="X156" s="329">
        <f>IFERROR(__xludf.DUMMYFUNCTION("""COMPUTED_VALUE"""),19.0)</f>
        <v>19</v>
      </c>
      <c r="Y156" s="329">
        <f>IFERROR(__xludf.DUMMYFUNCTION("""COMPUTED_VALUE"""),10.0)</f>
        <v>10</v>
      </c>
      <c r="Z156" s="329">
        <f>IFERROR(__xludf.DUMMYFUNCTION("""COMPUTED_VALUE"""),2485.0)</f>
        <v>2485</v>
      </c>
      <c r="AA156" s="258">
        <f>IFERROR(__xludf.DUMMYFUNCTION("""COMPUTED_VALUE"""),3340.0)</f>
        <v>3340</v>
      </c>
      <c r="AB156" s="258">
        <f>IFERROR(__xludf.DUMMYFUNCTION("""COMPUTED_VALUE"""),2880.0)</f>
        <v>2880</v>
      </c>
      <c r="AC156" s="258">
        <f>IFERROR(__xludf.DUMMYFUNCTION("""COMPUTED_VALUE"""),6220.0)</f>
        <v>6220</v>
      </c>
      <c r="AD156" s="258">
        <f>IFERROR(__xludf.DUMMYFUNCTION("""COMPUTED_VALUE"""),163251.0)</f>
        <v>163251</v>
      </c>
      <c r="AE156" s="258">
        <f>IFERROR(__xludf.DUMMYFUNCTION("""COMPUTED_VALUE"""),3340.0)</f>
        <v>3340</v>
      </c>
      <c r="AF156" s="258">
        <f>IFERROR(__xludf.DUMMYFUNCTION("""COMPUTED_VALUE"""),111755.0)</f>
        <v>111755</v>
      </c>
      <c r="AG156" s="258">
        <f>IFERROR(__xludf.DUMMYFUNCTION("""COMPUTED_VALUE"""),2880.0)</f>
        <v>2880</v>
      </c>
      <c r="AH156" s="258">
        <f>IFERROR(__xludf.DUMMYFUNCTION("""COMPUTED_VALUE"""),51496.0)</f>
        <v>51496</v>
      </c>
    </row>
    <row r="157">
      <c r="A157" s="328">
        <f>IFERROR(__xludf.DUMMYFUNCTION("""COMPUTED_VALUE"""),44241.0)</f>
        <v>44241</v>
      </c>
      <c r="B157" s="329">
        <f>IFERROR(__xludf.DUMMYFUNCTION("""COMPUTED_VALUE"""),266.0)</f>
        <v>266</v>
      </c>
      <c r="C157" s="329">
        <f>IFERROR(__xludf.DUMMYFUNCTION("""COMPUTED_VALUE"""),366.0)</f>
        <v>366</v>
      </c>
      <c r="D157" s="329">
        <f>IFERROR(__xludf.DUMMYFUNCTION("""COMPUTED_VALUE"""),145335.0)</f>
        <v>145335</v>
      </c>
      <c r="E157" s="329">
        <f>IFERROR(__xludf.DUMMYFUNCTION("""COMPUTED_VALUE"""),6593.0)</f>
        <v>6593</v>
      </c>
      <c r="F157" s="258">
        <f>IFERROR(__xludf.DUMMYFUNCTION("""COMPUTED_VALUE"""),2639426.0)</f>
        <v>2639426</v>
      </c>
      <c r="G157" s="258">
        <f>IFERROR(__xludf.DUMMYFUNCTION("""COMPUTED_VALUE"""),6859.0)</f>
        <v>6859</v>
      </c>
      <c r="H157" s="258">
        <f>IFERROR(__xludf.DUMMYFUNCTION("""COMPUTED_VALUE"""),2784761.0)</f>
        <v>2784761</v>
      </c>
      <c r="I157" s="329">
        <f>IFERROR(__xludf.DUMMYFUNCTION("""COMPUTED_VALUE"""),213.0)</f>
        <v>213</v>
      </c>
      <c r="J157" s="329">
        <f>IFERROR(__xludf.DUMMYFUNCTION("""COMPUTED_VALUE"""),305.0)</f>
        <v>305</v>
      </c>
      <c r="K157" s="329">
        <f>IFERROR(__xludf.DUMMYFUNCTION("""COMPUTED_VALUE"""),121750.0)</f>
        <v>121750</v>
      </c>
      <c r="L157" s="329">
        <f>IFERROR(__xludf.DUMMYFUNCTION("""COMPUTED_VALUE"""),893.0)</f>
        <v>893</v>
      </c>
      <c r="M157" s="329">
        <f>IFERROR(__xludf.DUMMYFUNCTION("""COMPUTED_VALUE"""),641512.0)</f>
        <v>641512</v>
      </c>
      <c r="N157" s="329">
        <f>IFERROR(__xludf.DUMMYFUNCTION("""COMPUTED_VALUE"""),763262.0)</f>
        <v>763262</v>
      </c>
      <c r="O157" s="329">
        <f>IFERROR(__xludf.DUMMYFUNCTION("""COMPUTED_VALUE"""),26.0)</f>
        <v>26</v>
      </c>
      <c r="P157" s="329">
        <f>IFERROR(__xludf.DUMMYFUNCTION("""COMPUTED_VALUE"""),8660.0)</f>
        <v>8660</v>
      </c>
      <c r="Q157" s="329">
        <f>IFERROR(__xludf.DUMMYFUNCTION("""COMPUTED_VALUE"""),15.0)</f>
        <v>15</v>
      </c>
      <c r="R157" s="329">
        <f>IFERROR(__xludf.DUMMYFUNCTION("""COMPUTED_VALUE"""),7463.0)</f>
        <v>7463</v>
      </c>
      <c r="S157" s="329">
        <f>IFERROR(__xludf.DUMMYFUNCTION("""COMPUTED_VALUE"""),0.0)</f>
        <v>0</v>
      </c>
      <c r="T157" s="329">
        <f>IFERROR(__xludf.DUMMYFUNCTION("""COMPUTED_VALUE"""),977.0)</f>
        <v>977</v>
      </c>
      <c r="U157" s="329">
        <f>IFERROR(__xludf.DUMMYFUNCTION("""COMPUTED_VALUE"""),220.0)</f>
        <v>220</v>
      </c>
      <c r="V157" s="329">
        <f>IFERROR(__xludf.DUMMYFUNCTION("""COMPUTED_VALUE"""),218.0)</f>
        <v>218</v>
      </c>
      <c r="W157" s="329">
        <f>IFERROR(__xludf.DUMMYFUNCTION("""COMPUTED_VALUE"""),38.0)</f>
        <v>38</v>
      </c>
      <c r="X157" s="329">
        <f>IFERROR(__xludf.DUMMYFUNCTION("""COMPUTED_VALUE"""),23.0)</f>
        <v>23</v>
      </c>
      <c r="Y157" s="329">
        <f>IFERROR(__xludf.DUMMYFUNCTION("""COMPUTED_VALUE"""),4.0)</f>
        <v>4</v>
      </c>
      <c r="Z157" s="329">
        <f>IFERROR(__xludf.DUMMYFUNCTION("""COMPUTED_VALUE"""),2489.0)</f>
        <v>2489</v>
      </c>
      <c r="AA157" s="258">
        <f>IFERROR(__xludf.DUMMYFUNCTION("""COMPUTED_VALUE"""),1332.0)</f>
        <v>1332</v>
      </c>
      <c r="AB157" s="258">
        <f>IFERROR(__xludf.DUMMYFUNCTION("""COMPUTED_VALUE"""),788.0)</f>
        <v>788</v>
      </c>
      <c r="AC157" s="258">
        <f>IFERROR(__xludf.DUMMYFUNCTION("""COMPUTED_VALUE"""),2120.0)</f>
        <v>2120</v>
      </c>
      <c r="AD157" s="258">
        <f>IFERROR(__xludf.DUMMYFUNCTION("""COMPUTED_VALUE"""),165371.0)</f>
        <v>165371</v>
      </c>
      <c r="AE157" s="258">
        <f>IFERROR(__xludf.DUMMYFUNCTION("""COMPUTED_VALUE"""),1332.0)</f>
        <v>1332</v>
      </c>
      <c r="AF157" s="258">
        <f>IFERROR(__xludf.DUMMYFUNCTION("""COMPUTED_VALUE"""),113087.0)</f>
        <v>113087</v>
      </c>
      <c r="AG157" s="258">
        <f>IFERROR(__xludf.DUMMYFUNCTION("""COMPUTED_VALUE"""),788.0)</f>
        <v>788</v>
      </c>
      <c r="AH157" s="258">
        <f>IFERROR(__xludf.DUMMYFUNCTION("""COMPUTED_VALUE"""),52284.0)</f>
        <v>52284</v>
      </c>
    </row>
    <row r="158">
      <c r="A158" s="328">
        <f>IFERROR(__xludf.DUMMYFUNCTION("""COMPUTED_VALUE"""),44242.0)</f>
        <v>44242</v>
      </c>
      <c r="B158" s="329">
        <f>IFERROR(__xludf.DUMMYFUNCTION("""COMPUTED_VALUE"""),330.0)</f>
        <v>330</v>
      </c>
      <c r="C158" s="329">
        <f>IFERROR(__xludf.DUMMYFUNCTION("""COMPUTED_VALUE"""),328.0)</f>
        <v>328</v>
      </c>
      <c r="D158" s="329">
        <f>IFERROR(__xludf.DUMMYFUNCTION("""COMPUTED_VALUE"""),145665.0)</f>
        <v>145665</v>
      </c>
      <c r="E158" s="329">
        <f>IFERROR(__xludf.DUMMYFUNCTION("""COMPUTED_VALUE"""),11090.0)</f>
        <v>11090</v>
      </c>
      <c r="F158" s="258">
        <f>IFERROR(__xludf.DUMMYFUNCTION("""COMPUTED_VALUE"""),2650516.0)</f>
        <v>2650516</v>
      </c>
      <c r="G158" s="258">
        <f>IFERROR(__xludf.DUMMYFUNCTION("""COMPUTED_VALUE"""),11420.0)</f>
        <v>11420</v>
      </c>
      <c r="H158" s="258">
        <f>IFERROR(__xludf.DUMMYFUNCTION("""COMPUTED_VALUE"""),2796181.0)</f>
        <v>2796181</v>
      </c>
      <c r="I158" s="329">
        <f>IFERROR(__xludf.DUMMYFUNCTION("""COMPUTED_VALUE"""),306.0)</f>
        <v>306</v>
      </c>
      <c r="J158" s="329">
        <f>IFERROR(__xludf.DUMMYFUNCTION("""COMPUTED_VALUE"""),281.0)</f>
        <v>281</v>
      </c>
      <c r="K158" s="329">
        <f>IFERROR(__xludf.DUMMYFUNCTION("""COMPUTED_VALUE"""),122056.0)</f>
        <v>122056</v>
      </c>
      <c r="L158" s="329">
        <f>IFERROR(__xludf.DUMMYFUNCTION("""COMPUTED_VALUE"""),1181.0)</f>
        <v>1181</v>
      </c>
      <c r="M158" s="329">
        <f>IFERROR(__xludf.DUMMYFUNCTION("""COMPUTED_VALUE"""),642693.0)</f>
        <v>642693</v>
      </c>
      <c r="N158" s="329">
        <f>IFERROR(__xludf.DUMMYFUNCTION("""COMPUTED_VALUE"""),764749.0)</f>
        <v>764749</v>
      </c>
      <c r="O158" s="329">
        <f>IFERROR(__xludf.DUMMYFUNCTION("""COMPUTED_VALUE"""),28.0)</f>
        <v>28</v>
      </c>
      <c r="P158" s="329">
        <f>IFERROR(__xludf.DUMMYFUNCTION("""COMPUTED_VALUE"""),8688.0)</f>
        <v>8688</v>
      </c>
      <c r="Q158" s="329">
        <f>IFERROR(__xludf.DUMMYFUNCTION("""COMPUTED_VALUE"""),26.0)</f>
        <v>26</v>
      </c>
      <c r="R158" s="329">
        <f>IFERROR(__xludf.DUMMYFUNCTION("""COMPUTED_VALUE"""),7489.0)</f>
        <v>7489</v>
      </c>
      <c r="S158" s="329">
        <f>IFERROR(__xludf.DUMMYFUNCTION("""COMPUTED_VALUE"""),3.0)</f>
        <v>3</v>
      </c>
      <c r="T158" s="329">
        <f>IFERROR(__xludf.DUMMYFUNCTION("""COMPUTED_VALUE"""),980.0)</f>
        <v>980</v>
      </c>
      <c r="U158" s="329">
        <f>IFERROR(__xludf.DUMMYFUNCTION("""COMPUTED_VALUE"""),219.0)</f>
        <v>219</v>
      </c>
      <c r="V158" s="329">
        <f>IFERROR(__xludf.DUMMYFUNCTION("""COMPUTED_VALUE"""),216.0)</f>
        <v>216</v>
      </c>
      <c r="W158" s="329">
        <f>IFERROR(__xludf.DUMMYFUNCTION("""COMPUTED_VALUE"""),33.0)</f>
        <v>33</v>
      </c>
      <c r="X158" s="329">
        <f>IFERROR(__xludf.DUMMYFUNCTION("""COMPUTED_VALUE"""),22.0)</f>
        <v>22</v>
      </c>
      <c r="Y158" s="329">
        <f>IFERROR(__xludf.DUMMYFUNCTION("""COMPUTED_VALUE"""),3.0)</f>
        <v>3</v>
      </c>
      <c r="Z158" s="329">
        <f>IFERROR(__xludf.DUMMYFUNCTION("""COMPUTED_VALUE"""),2492.0)</f>
        <v>2492</v>
      </c>
      <c r="AA158" s="258">
        <f>IFERROR(__xludf.DUMMYFUNCTION("""COMPUTED_VALUE"""),3823.0)</f>
        <v>3823</v>
      </c>
      <c r="AB158" s="258">
        <f>IFERROR(__xludf.DUMMYFUNCTION("""COMPUTED_VALUE"""),1075.0)</f>
        <v>1075</v>
      </c>
      <c r="AC158" s="258">
        <f>IFERROR(__xludf.DUMMYFUNCTION("""COMPUTED_VALUE"""),4898.0)</f>
        <v>4898</v>
      </c>
      <c r="AD158" s="258">
        <f>IFERROR(__xludf.DUMMYFUNCTION("""COMPUTED_VALUE"""),170269.0)</f>
        <v>170269</v>
      </c>
      <c r="AE158" s="258">
        <f>IFERROR(__xludf.DUMMYFUNCTION("""COMPUTED_VALUE"""),3823.0)</f>
        <v>3823</v>
      </c>
      <c r="AF158" s="258">
        <f>IFERROR(__xludf.DUMMYFUNCTION("""COMPUTED_VALUE"""),116910.0)</f>
        <v>116910</v>
      </c>
      <c r="AG158" s="258">
        <f>IFERROR(__xludf.DUMMYFUNCTION("""COMPUTED_VALUE"""),1075.0)</f>
        <v>1075</v>
      </c>
      <c r="AH158" s="258">
        <f>IFERROR(__xludf.DUMMYFUNCTION("""COMPUTED_VALUE"""),53359.0)</f>
        <v>53359</v>
      </c>
    </row>
    <row r="159">
      <c r="A159" s="328">
        <f>IFERROR(__xludf.DUMMYFUNCTION("""COMPUTED_VALUE"""),44243.0)</f>
        <v>44243</v>
      </c>
      <c r="B159" s="329">
        <f>IFERROR(__xludf.DUMMYFUNCTION("""COMPUTED_VALUE"""),472.0)</f>
        <v>472</v>
      </c>
      <c r="C159" s="329">
        <f>IFERROR(__xludf.DUMMYFUNCTION("""COMPUTED_VALUE"""),356.0)</f>
        <v>356</v>
      </c>
      <c r="D159" s="329">
        <f>IFERROR(__xludf.DUMMYFUNCTION("""COMPUTED_VALUE"""),146137.0)</f>
        <v>146137</v>
      </c>
      <c r="E159" s="329">
        <f>IFERROR(__xludf.DUMMYFUNCTION("""COMPUTED_VALUE"""),20049.0)</f>
        <v>20049</v>
      </c>
      <c r="F159" s="258">
        <f>IFERROR(__xludf.DUMMYFUNCTION("""COMPUTED_VALUE"""),2670565.0)</f>
        <v>2670565</v>
      </c>
      <c r="G159" s="258">
        <f>IFERROR(__xludf.DUMMYFUNCTION("""COMPUTED_VALUE"""),20521.0)</f>
        <v>20521</v>
      </c>
      <c r="H159" s="258">
        <f>IFERROR(__xludf.DUMMYFUNCTION("""COMPUTED_VALUE"""),2816702.0)</f>
        <v>2816702</v>
      </c>
      <c r="I159" s="329">
        <f>IFERROR(__xludf.DUMMYFUNCTION("""COMPUTED_VALUE"""),396.0)</f>
        <v>396</v>
      </c>
      <c r="J159" s="329">
        <f>IFERROR(__xludf.DUMMYFUNCTION("""COMPUTED_VALUE"""),305.0)</f>
        <v>305</v>
      </c>
      <c r="K159" s="329">
        <f>IFERROR(__xludf.DUMMYFUNCTION("""COMPUTED_VALUE"""),122452.0)</f>
        <v>122452</v>
      </c>
      <c r="L159" s="329">
        <f>IFERROR(__xludf.DUMMYFUNCTION("""COMPUTED_VALUE"""),1792.0)</f>
        <v>1792</v>
      </c>
      <c r="M159" s="329">
        <f>IFERROR(__xludf.DUMMYFUNCTION("""COMPUTED_VALUE"""),644485.0)</f>
        <v>644485</v>
      </c>
      <c r="N159" s="329">
        <f>IFERROR(__xludf.DUMMYFUNCTION("""COMPUTED_VALUE"""),766937.0)</f>
        <v>766937</v>
      </c>
      <c r="O159" s="329">
        <f>IFERROR(__xludf.DUMMYFUNCTION("""COMPUTED_VALUE"""),21.0)</f>
        <v>21</v>
      </c>
      <c r="P159" s="329">
        <f>IFERROR(__xludf.DUMMYFUNCTION("""COMPUTED_VALUE"""),8709.0)</f>
        <v>8709</v>
      </c>
      <c r="Q159" s="329">
        <f>IFERROR(__xludf.DUMMYFUNCTION("""COMPUTED_VALUE"""),42.0)</f>
        <v>42</v>
      </c>
      <c r="R159" s="329">
        <f>IFERROR(__xludf.DUMMYFUNCTION("""COMPUTED_VALUE"""),7531.0)</f>
        <v>7531</v>
      </c>
      <c r="S159" s="329">
        <f>IFERROR(__xludf.DUMMYFUNCTION("""COMPUTED_VALUE"""),3.0)</f>
        <v>3</v>
      </c>
      <c r="T159" s="329">
        <f>IFERROR(__xludf.DUMMYFUNCTION("""COMPUTED_VALUE"""),983.0)</f>
        <v>983</v>
      </c>
      <c r="U159" s="329">
        <f>IFERROR(__xludf.DUMMYFUNCTION("""COMPUTED_VALUE"""),195.0)</f>
        <v>195</v>
      </c>
      <c r="V159" s="329">
        <f>IFERROR(__xludf.DUMMYFUNCTION("""COMPUTED_VALUE"""),211.0)</f>
        <v>211</v>
      </c>
      <c r="W159" s="329">
        <f>IFERROR(__xludf.DUMMYFUNCTION("""COMPUTED_VALUE"""),34.0)</f>
        <v>34</v>
      </c>
      <c r="X159" s="329">
        <f>IFERROR(__xludf.DUMMYFUNCTION("""COMPUTED_VALUE"""),20.0)</f>
        <v>20</v>
      </c>
      <c r="Y159" s="329">
        <f>IFERROR(__xludf.DUMMYFUNCTION("""COMPUTED_VALUE"""),9.0)</f>
        <v>9</v>
      </c>
      <c r="Z159" s="329">
        <f>IFERROR(__xludf.DUMMYFUNCTION("""COMPUTED_VALUE"""),2501.0)</f>
        <v>2501</v>
      </c>
      <c r="AA159" s="258">
        <f>IFERROR(__xludf.DUMMYFUNCTION("""COMPUTED_VALUE"""),3642.0)</f>
        <v>3642</v>
      </c>
      <c r="AB159" s="258">
        <f>IFERROR(__xludf.DUMMYFUNCTION("""COMPUTED_VALUE"""),1302.0)</f>
        <v>1302</v>
      </c>
      <c r="AC159" s="258">
        <f>IFERROR(__xludf.DUMMYFUNCTION("""COMPUTED_VALUE"""),4944.0)</f>
        <v>4944</v>
      </c>
      <c r="AD159" s="258">
        <f>IFERROR(__xludf.DUMMYFUNCTION("""COMPUTED_VALUE"""),175213.0)</f>
        <v>175213</v>
      </c>
      <c r="AE159" s="258">
        <f>IFERROR(__xludf.DUMMYFUNCTION("""COMPUTED_VALUE"""),3642.0)</f>
        <v>3642</v>
      </c>
      <c r="AF159" s="258">
        <f>IFERROR(__xludf.DUMMYFUNCTION("""COMPUTED_VALUE"""),120552.0)</f>
        <v>120552</v>
      </c>
      <c r="AG159" s="258">
        <f>IFERROR(__xludf.DUMMYFUNCTION("""COMPUTED_VALUE"""),1302.0)</f>
        <v>1302</v>
      </c>
      <c r="AH159" s="258">
        <f>IFERROR(__xludf.DUMMYFUNCTION("""COMPUTED_VALUE"""),54661.0)</f>
        <v>54661</v>
      </c>
    </row>
    <row r="160">
      <c r="A160" s="328">
        <f>IFERROR(__xludf.DUMMYFUNCTION("""COMPUTED_VALUE"""),44244.0)</f>
        <v>44244</v>
      </c>
      <c r="B160" s="329">
        <f>IFERROR(__xludf.DUMMYFUNCTION("""COMPUTED_VALUE"""),412.0)</f>
        <v>412</v>
      </c>
      <c r="C160" s="329">
        <f>IFERROR(__xludf.DUMMYFUNCTION("""COMPUTED_VALUE"""),405.0)</f>
        <v>405</v>
      </c>
      <c r="D160" s="329">
        <f>IFERROR(__xludf.DUMMYFUNCTION("""COMPUTED_VALUE"""),146549.0)</f>
        <v>146549</v>
      </c>
      <c r="E160" s="329">
        <f>IFERROR(__xludf.DUMMYFUNCTION("""COMPUTED_VALUE"""),22259.0)</f>
        <v>22259</v>
      </c>
      <c r="F160" s="258">
        <f>IFERROR(__xludf.DUMMYFUNCTION("""COMPUTED_VALUE"""),2692824.0)</f>
        <v>2692824</v>
      </c>
      <c r="G160" s="258">
        <f>IFERROR(__xludf.DUMMYFUNCTION("""COMPUTED_VALUE"""),22671.0)</f>
        <v>22671</v>
      </c>
      <c r="H160" s="258">
        <f>IFERROR(__xludf.DUMMYFUNCTION("""COMPUTED_VALUE"""),2839373.0)</f>
        <v>2839373</v>
      </c>
      <c r="I160" s="329">
        <f>IFERROR(__xludf.DUMMYFUNCTION("""COMPUTED_VALUE"""),384.0)</f>
        <v>384</v>
      </c>
      <c r="J160" s="329">
        <f>IFERROR(__xludf.DUMMYFUNCTION("""COMPUTED_VALUE"""),362.0)</f>
        <v>362</v>
      </c>
      <c r="K160" s="329">
        <f>IFERROR(__xludf.DUMMYFUNCTION("""COMPUTED_VALUE"""),122836.0)</f>
        <v>122836</v>
      </c>
      <c r="L160" s="329">
        <f>IFERROR(__xludf.DUMMYFUNCTION("""COMPUTED_VALUE"""),1738.0)</f>
        <v>1738</v>
      </c>
      <c r="M160" s="329">
        <f>IFERROR(__xludf.DUMMYFUNCTION("""COMPUTED_VALUE"""),646223.0)</f>
        <v>646223</v>
      </c>
      <c r="N160" s="329">
        <f>IFERROR(__xludf.DUMMYFUNCTION("""COMPUTED_VALUE"""),769059.0)</f>
        <v>769059</v>
      </c>
      <c r="O160" s="329">
        <f>IFERROR(__xludf.DUMMYFUNCTION("""COMPUTED_VALUE"""),25.0)</f>
        <v>25</v>
      </c>
      <c r="P160" s="329">
        <f>IFERROR(__xludf.DUMMYFUNCTION("""COMPUTED_VALUE"""),8734.0)</f>
        <v>8734</v>
      </c>
      <c r="Q160" s="329">
        <f>IFERROR(__xludf.DUMMYFUNCTION("""COMPUTED_VALUE"""),27.0)</f>
        <v>27</v>
      </c>
      <c r="R160" s="329">
        <f>IFERROR(__xludf.DUMMYFUNCTION("""COMPUTED_VALUE"""),7558.0)</f>
        <v>7558</v>
      </c>
      <c r="S160" s="329">
        <f>IFERROR(__xludf.DUMMYFUNCTION("""COMPUTED_VALUE"""),0.0)</f>
        <v>0</v>
      </c>
      <c r="T160" s="329">
        <f>IFERROR(__xludf.DUMMYFUNCTION("""COMPUTED_VALUE"""),983.0)</f>
        <v>983</v>
      </c>
      <c r="U160" s="329">
        <f>IFERROR(__xludf.DUMMYFUNCTION("""COMPUTED_VALUE"""),193.0)</f>
        <v>193</v>
      </c>
      <c r="V160" s="329">
        <f>IFERROR(__xludf.DUMMYFUNCTION("""COMPUTED_VALUE"""),202.0)</f>
        <v>202</v>
      </c>
      <c r="W160" s="329">
        <f>IFERROR(__xludf.DUMMYFUNCTION("""COMPUTED_VALUE"""),30.0)</f>
        <v>30</v>
      </c>
      <c r="X160" s="329">
        <f>IFERROR(__xludf.DUMMYFUNCTION("""COMPUTED_VALUE"""),20.0)</f>
        <v>20</v>
      </c>
      <c r="Y160" s="329">
        <f>IFERROR(__xludf.DUMMYFUNCTION("""COMPUTED_VALUE"""),2.0)</f>
        <v>2</v>
      </c>
      <c r="Z160" s="329">
        <f>IFERROR(__xludf.DUMMYFUNCTION("""COMPUTED_VALUE"""),2503.0)</f>
        <v>2503</v>
      </c>
      <c r="AA160" s="258">
        <f>IFERROR(__xludf.DUMMYFUNCTION("""COMPUTED_VALUE"""),5200.0)</f>
        <v>5200</v>
      </c>
      <c r="AB160" s="258">
        <f>IFERROR(__xludf.DUMMYFUNCTION("""COMPUTED_VALUE"""),1929.0)</f>
        <v>1929</v>
      </c>
      <c r="AC160" s="258">
        <f>IFERROR(__xludf.DUMMYFUNCTION("""COMPUTED_VALUE"""),7129.0)</f>
        <v>7129</v>
      </c>
      <c r="AD160" s="258">
        <f>IFERROR(__xludf.DUMMYFUNCTION("""COMPUTED_VALUE"""),182342.0)</f>
        <v>182342</v>
      </c>
      <c r="AE160" s="258">
        <f>IFERROR(__xludf.DUMMYFUNCTION("""COMPUTED_VALUE"""),5200.0)</f>
        <v>5200</v>
      </c>
      <c r="AF160" s="258">
        <f>IFERROR(__xludf.DUMMYFUNCTION("""COMPUTED_VALUE"""),125752.0)</f>
        <v>125752</v>
      </c>
      <c r="AG160" s="258">
        <f>IFERROR(__xludf.DUMMYFUNCTION("""COMPUTED_VALUE"""),1929.0)</f>
        <v>1929</v>
      </c>
      <c r="AH160" s="258">
        <f>IFERROR(__xludf.DUMMYFUNCTION("""COMPUTED_VALUE"""),56590.0)</f>
        <v>56590</v>
      </c>
    </row>
    <row r="161">
      <c r="A161" s="328">
        <f>IFERROR(__xludf.DUMMYFUNCTION("""COMPUTED_VALUE"""),44245.0)</f>
        <v>44245</v>
      </c>
      <c r="B161" s="329">
        <f>IFERROR(__xludf.DUMMYFUNCTION("""COMPUTED_VALUE"""),397.0)</f>
        <v>397</v>
      </c>
      <c r="C161" s="329">
        <f>IFERROR(__xludf.DUMMYFUNCTION("""COMPUTED_VALUE"""),427.0)</f>
        <v>427</v>
      </c>
      <c r="D161" s="329">
        <f>IFERROR(__xludf.DUMMYFUNCTION("""COMPUTED_VALUE"""),146946.0)</f>
        <v>146946</v>
      </c>
      <c r="E161" s="329">
        <f>IFERROR(__xludf.DUMMYFUNCTION("""COMPUTED_VALUE"""),20161.0)</f>
        <v>20161</v>
      </c>
      <c r="F161" s="258">
        <f>IFERROR(__xludf.DUMMYFUNCTION("""COMPUTED_VALUE"""),2712985.0)</f>
        <v>2712985</v>
      </c>
      <c r="G161" s="258">
        <f>IFERROR(__xludf.DUMMYFUNCTION("""COMPUTED_VALUE"""),20558.0)</f>
        <v>20558</v>
      </c>
      <c r="H161" s="258">
        <f>IFERROR(__xludf.DUMMYFUNCTION("""COMPUTED_VALUE"""),2859931.0)</f>
        <v>2859931</v>
      </c>
      <c r="I161" s="329">
        <f>IFERROR(__xludf.DUMMYFUNCTION("""COMPUTED_VALUE"""),329.0)</f>
        <v>329</v>
      </c>
      <c r="J161" s="329">
        <f>IFERROR(__xludf.DUMMYFUNCTION("""COMPUTED_VALUE"""),370.0)</f>
        <v>370</v>
      </c>
      <c r="K161" s="329">
        <f>IFERROR(__xludf.DUMMYFUNCTION("""COMPUTED_VALUE"""),123165.0)</f>
        <v>123165</v>
      </c>
      <c r="L161" s="329">
        <f>IFERROR(__xludf.DUMMYFUNCTION("""COMPUTED_VALUE"""),1570.0)</f>
        <v>1570</v>
      </c>
      <c r="M161" s="329">
        <f>IFERROR(__xludf.DUMMYFUNCTION("""COMPUTED_VALUE"""),647793.0)</f>
        <v>647793</v>
      </c>
      <c r="N161" s="329">
        <f>IFERROR(__xludf.DUMMYFUNCTION("""COMPUTED_VALUE"""),770958.0)</f>
        <v>770958</v>
      </c>
      <c r="O161" s="329">
        <f>IFERROR(__xludf.DUMMYFUNCTION("""COMPUTED_VALUE"""),17.0)</f>
        <v>17</v>
      </c>
      <c r="P161" s="329">
        <f>IFERROR(__xludf.DUMMYFUNCTION("""COMPUTED_VALUE"""),8751.0)</f>
        <v>8751</v>
      </c>
      <c r="Q161" s="329">
        <f>IFERROR(__xludf.DUMMYFUNCTION("""COMPUTED_VALUE"""),19.0)</f>
        <v>19</v>
      </c>
      <c r="R161" s="329">
        <f>IFERROR(__xludf.DUMMYFUNCTION("""COMPUTED_VALUE"""),7577.0)</f>
        <v>7577</v>
      </c>
      <c r="S161" s="329">
        <f>IFERROR(__xludf.DUMMYFUNCTION("""COMPUTED_VALUE"""),2.0)</f>
        <v>2</v>
      </c>
      <c r="T161" s="329">
        <f>IFERROR(__xludf.DUMMYFUNCTION("""COMPUTED_VALUE"""),985.0)</f>
        <v>985</v>
      </c>
      <c r="U161" s="329">
        <f>IFERROR(__xludf.DUMMYFUNCTION("""COMPUTED_VALUE"""),189.0)</f>
        <v>189</v>
      </c>
      <c r="V161" s="329">
        <f>IFERROR(__xludf.DUMMYFUNCTION("""COMPUTED_VALUE"""),192.0)</f>
        <v>192</v>
      </c>
      <c r="W161" s="329">
        <f>IFERROR(__xludf.DUMMYFUNCTION("""COMPUTED_VALUE"""),34.0)</f>
        <v>34</v>
      </c>
      <c r="X161" s="329">
        <f>IFERROR(__xludf.DUMMYFUNCTION("""COMPUTED_VALUE"""),19.0)</f>
        <v>19</v>
      </c>
      <c r="Y161" s="329">
        <f>IFERROR(__xludf.DUMMYFUNCTION("""COMPUTED_VALUE"""),4.0)</f>
        <v>4</v>
      </c>
      <c r="Z161" s="329">
        <f>IFERROR(__xludf.DUMMYFUNCTION("""COMPUTED_VALUE"""),2507.0)</f>
        <v>2507</v>
      </c>
      <c r="AA161" s="258">
        <f>IFERROR(__xludf.DUMMYFUNCTION("""COMPUTED_VALUE"""),6032.0)</f>
        <v>6032</v>
      </c>
      <c r="AB161" s="258">
        <f>IFERROR(__xludf.DUMMYFUNCTION("""COMPUTED_VALUE"""),2331.0)</f>
        <v>2331</v>
      </c>
      <c r="AC161" s="258">
        <f>IFERROR(__xludf.DUMMYFUNCTION("""COMPUTED_VALUE"""),8363.0)</f>
        <v>8363</v>
      </c>
      <c r="AD161" s="258">
        <f>IFERROR(__xludf.DUMMYFUNCTION("""COMPUTED_VALUE"""),190705.0)</f>
        <v>190705</v>
      </c>
      <c r="AE161" s="258">
        <f>IFERROR(__xludf.DUMMYFUNCTION("""COMPUTED_VALUE"""),6032.0)</f>
        <v>6032</v>
      </c>
      <c r="AF161" s="258">
        <f>IFERROR(__xludf.DUMMYFUNCTION("""COMPUTED_VALUE"""),131784.0)</f>
        <v>131784</v>
      </c>
      <c r="AG161" s="258">
        <f>IFERROR(__xludf.DUMMYFUNCTION("""COMPUTED_VALUE"""),2331.0)</f>
        <v>2331</v>
      </c>
      <c r="AH161" s="258">
        <f>IFERROR(__xludf.DUMMYFUNCTION("""COMPUTED_VALUE"""),58921.0)</f>
        <v>58921</v>
      </c>
    </row>
    <row r="162">
      <c r="A162" s="328">
        <f>IFERROR(__xludf.DUMMYFUNCTION("""COMPUTED_VALUE"""),44246.0)</f>
        <v>44246</v>
      </c>
      <c r="B162" s="329">
        <f>IFERROR(__xludf.DUMMYFUNCTION("""COMPUTED_VALUE"""),418.0)</f>
        <v>418</v>
      </c>
      <c r="C162" s="329">
        <f>IFERROR(__xludf.DUMMYFUNCTION("""COMPUTED_VALUE"""),409.0)</f>
        <v>409</v>
      </c>
      <c r="D162" s="329">
        <f>IFERROR(__xludf.DUMMYFUNCTION("""COMPUTED_VALUE"""),147364.0)</f>
        <v>147364</v>
      </c>
      <c r="E162" s="329">
        <f>IFERROR(__xludf.DUMMYFUNCTION("""COMPUTED_VALUE"""),16726.0)</f>
        <v>16726</v>
      </c>
      <c r="F162" s="258">
        <f>IFERROR(__xludf.DUMMYFUNCTION("""COMPUTED_VALUE"""),2729711.0)</f>
        <v>2729711</v>
      </c>
      <c r="G162" s="258">
        <f>IFERROR(__xludf.DUMMYFUNCTION("""COMPUTED_VALUE"""),17144.0)</f>
        <v>17144</v>
      </c>
      <c r="H162" s="258">
        <f>IFERROR(__xludf.DUMMYFUNCTION("""COMPUTED_VALUE"""),2877075.0)</f>
        <v>2877075</v>
      </c>
      <c r="I162" s="329">
        <f>IFERROR(__xludf.DUMMYFUNCTION("""COMPUTED_VALUE"""),355.0)</f>
        <v>355</v>
      </c>
      <c r="J162" s="329">
        <f>IFERROR(__xludf.DUMMYFUNCTION("""COMPUTED_VALUE"""),356.0)</f>
        <v>356</v>
      </c>
      <c r="K162" s="329">
        <f>IFERROR(__xludf.DUMMYFUNCTION("""COMPUTED_VALUE"""),123520.0)</f>
        <v>123520</v>
      </c>
      <c r="L162" s="329">
        <f>IFERROR(__xludf.DUMMYFUNCTION("""COMPUTED_VALUE"""),1541.0)</f>
        <v>1541</v>
      </c>
      <c r="M162" s="329">
        <f>IFERROR(__xludf.DUMMYFUNCTION("""COMPUTED_VALUE"""),649334.0)</f>
        <v>649334</v>
      </c>
      <c r="N162" s="329">
        <f>IFERROR(__xludf.DUMMYFUNCTION("""COMPUTED_VALUE"""),772854.0)</f>
        <v>772854</v>
      </c>
      <c r="O162" s="329">
        <f>IFERROR(__xludf.DUMMYFUNCTION("""COMPUTED_VALUE"""),22.0)</f>
        <v>22</v>
      </c>
      <c r="P162" s="329">
        <f>IFERROR(__xludf.DUMMYFUNCTION("""COMPUTED_VALUE"""),8773.0)</f>
        <v>8773</v>
      </c>
      <c r="Q162" s="329">
        <f>IFERROR(__xludf.DUMMYFUNCTION("""COMPUTED_VALUE"""),34.0)</f>
        <v>34</v>
      </c>
      <c r="R162" s="329">
        <f>IFERROR(__xludf.DUMMYFUNCTION("""COMPUTED_VALUE"""),7611.0)</f>
        <v>7611</v>
      </c>
      <c r="S162" s="329">
        <f>IFERROR(__xludf.DUMMYFUNCTION("""COMPUTED_VALUE"""),3.0)</f>
        <v>3</v>
      </c>
      <c r="T162" s="329">
        <f>IFERROR(__xludf.DUMMYFUNCTION("""COMPUTED_VALUE"""),988.0)</f>
        <v>988</v>
      </c>
      <c r="U162" s="329">
        <f>IFERROR(__xludf.DUMMYFUNCTION("""COMPUTED_VALUE"""),174.0)</f>
        <v>174</v>
      </c>
      <c r="V162" s="329">
        <f>IFERROR(__xludf.DUMMYFUNCTION("""COMPUTED_VALUE"""),185.0)</f>
        <v>185</v>
      </c>
      <c r="W162" s="329">
        <f>IFERROR(__xludf.DUMMYFUNCTION("""COMPUTED_VALUE"""),28.0)</f>
        <v>28</v>
      </c>
      <c r="X162" s="329">
        <f>IFERROR(__xludf.DUMMYFUNCTION("""COMPUTED_VALUE"""),17.0)</f>
        <v>17</v>
      </c>
      <c r="Y162" s="329">
        <f>IFERROR(__xludf.DUMMYFUNCTION("""COMPUTED_VALUE"""),6.0)</f>
        <v>6</v>
      </c>
      <c r="Z162" s="329">
        <f>IFERROR(__xludf.DUMMYFUNCTION("""COMPUTED_VALUE"""),2513.0)</f>
        <v>2513</v>
      </c>
      <c r="AA162" s="258">
        <f>IFERROR(__xludf.DUMMYFUNCTION("""COMPUTED_VALUE"""),5575.0)</f>
        <v>5575</v>
      </c>
      <c r="AB162" s="258">
        <f>IFERROR(__xludf.DUMMYFUNCTION("""COMPUTED_VALUE"""),2259.0)</f>
        <v>2259</v>
      </c>
      <c r="AC162" s="258">
        <f>IFERROR(__xludf.DUMMYFUNCTION("""COMPUTED_VALUE"""),7834.0)</f>
        <v>7834</v>
      </c>
      <c r="AD162" s="258">
        <f>IFERROR(__xludf.DUMMYFUNCTION("""COMPUTED_VALUE"""),198539.0)</f>
        <v>198539</v>
      </c>
      <c r="AE162" s="258">
        <f>IFERROR(__xludf.DUMMYFUNCTION("""COMPUTED_VALUE"""),5575.0)</f>
        <v>5575</v>
      </c>
      <c r="AF162" s="258">
        <f>IFERROR(__xludf.DUMMYFUNCTION("""COMPUTED_VALUE"""),137359.0)</f>
        <v>137359</v>
      </c>
      <c r="AG162" s="258">
        <f>IFERROR(__xludf.DUMMYFUNCTION("""COMPUTED_VALUE"""),2259.0)</f>
        <v>2259</v>
      </c>
      <c r="AH162" s="258">
        <f>IFERROR(__xludf.DUMMYFUNCTION("""COMPUTED_VALUE"""),61180.0)</f>
        <v>61180</v>
      </c>
    </row>
    <row r="163">
      <c r="A163" s="328">
        <f>IFERROR(__xludf.DUMMYFUNCTION("""COMPUTED_VALUE"""),44247.0)</f>
        <v>44247</v>
      </c>
      <c r="B163" s="329">
        <f>IFERROR(__xludf.DUMMYFUNCTION("""COMPUTED_VALUE"""),336.0)</f>
        <v>336</v>
      </c>
      <c r="C163" s="329">
        <f>IFERROR(__xludf.DUMMYFUNCTION("""COMPUTED_VALUE"""),384.0)</f>
        <v>384</v>
      </c>
      <c r="D163" s="329">
        <f>IFERROR(__xludf.DUMMYFUNCTION("""COMPUTED_VALUE"""),147700.0)</f>
        <v>147700</v>
      </c>
      <c r="E163" s="329">
        <f>IFERROR(__xludf.DUMMYFUNCTION("""COMPUTED_VALUE"""),10618.0)</f>
        <v>10618</v>
      </c>
      <c r="F163" s="329">
        <f>IFERROR(__xludf.DUMMYFUNCTION("""COMPUTED_VALUE"""),2740329.0)</f>
        <v>2740329</v>
      </c>
      <c r="G163" s="329">
        <f>IFERROR(__xludf.DUMMYFUNCTION("""COMPUTED_VALUE"""),10954.0)</f>
        <v>10954</v>
      </c>
      <c r="H163" s="329">
        <f>IFERROR(__xludf.DUMMYFUNCTION("""COMPUTED_VALUE"""),2888029.0)</f>
        <v>2888029</v>
      </c>
      <c r="I163" s="329">
        <f>IFERROR(__xludf.DUMMYFUNCTION("""COMPUTED_VALUE"""),274.0)</f>
        <v>274</v>
      </c>
      <c r="J163" s="329">
        <f>IFERROR(__xludf.DUMMYFUNCTION("""COMPUTED_VALUE"""),319.0)</f>
        <v>319</v>
      </c>
      <c r="K163" s="329">
        <f>IFERROR(__xludf.DUMMYFUNCTION("""COMPUTED_VALUE"""),123794.0)</f>
        <v>123794</v>
      </c>
      <c r="L163" s="329">
        <f>IFERROR(__xludf.DUMMYFUNCTION("""COMPUTED_VALUE"""),1305.0)</f>
        <v>1305</v>
      </c>
      <c r="M163" s="329">
        <f>IFERROR(__xludf.DUMMYFUNCTION("""COMPUTED_VALUE"""),650639.0)</f>
        <v>650639</v>
      </c>
      <c r="N163" s="329">
        <f>IFERROR(__xludf.DUMMYFUNCTION("""COMPUTED_VALUE"""),774433.0)</f>
        <v>774433</v>
      </c>
      <c r="O163" s="329">
        <f>IFERROR(__xludf.DUMMYFUNCTION("""COMPUTED_VALUE"""),37.0)</f>
        <v>37</v>
      </c>
      <c r="P163" s="329">
        <f>IFERROR(__xludf.DUMMYFUNCTION("""COMPUTED_VALUE"""),8810.0)</f>
        <v>8810</v>
      </c>
      <c r="Q163" s="329">
        <f>IFERROR(__xludf.DUMMYFUNCTION("""COMPUTED_VALUE"""),21.0)</f>
        <v>21</v>
      </c>
      <c r="R163" s="329">
        <f>IFERROR(__xludf.DUMMYFUNCTION("""COMPUTED_VALUE"""),7632.0)</f>
        <v>7632</v>
      </c>
      <c r="S163" s="329">
        <f>IFERROR(__xludf.DUMMYFUNCTION("""COMPUTED_VALUE"""),2.0)</f>
        <v>2</v>
      </c>
      <c r="T163" s="329">
        <f>IFERROR(__xludf.DUMMYFUNCTION("""COMPUTED_VALUE"""),990.0)</f>
        <v>990</v>
      </c>
      <c r="U163" s="329">
        <f>IFERROR(__xludf.DUMMYFUNCTION("""COMPUTED_VALUE"""),188.0)</f>
        <v>188</v>
      </c>
      <c r="V163" s="329">
        <f>IFERROR(__xludf.DUMMYFUNCTION("""COMPUTED_VALUE"""),184.0)</f>
        <v>184</v>
      </c>
      <c r="W163" s="329">
        <f>IFERROR(__xludf.DUMMYFUNCTION("""COMPUTED_VALUE"""),28.0)</f>
        <v>28</v>
      </c>
      <c r="X163" s="329">
        <f>IFERROR(__xludf.DUMMYFUNCTION("""COMPUTED_VALUE"""),17.0)</f>
        <v>17</v>
      </c>
      <c r="Y163" s="329">
        <f>IFERROR(__xludf.DUMMYFUNCTION("""COMPUTED_VALUE"""),4.0)</f>
        <v>4</v>
      </c>
      <c r="Z163" s="329">
        <f>IFERROR(__xludf.DUMMYFUNCTION("""COMPUTED_VALUE"""),2517.0)</f>
        <v>2517</v>
      </c>
      <c r="AA163" s="329">
        <f>IFERROR(__xludf.DUMMYFUNCTION("""COMPUTED_VALUE"""),8106.0)</f>
        <v>8106</v>
      </c>
      <c r="AB163" s="329">
        <f>IFERROR(__xludf.DUMMYFUNCTION("""COMPUTED_VALUE"""),2032.0)</f>
        <v>2032</v>
      </c>
      <c r="AC163" s="329">
        <f>IFERROR(__xludf.DUMMYFUNCTION("""COMPUTED_VALUE"""),10138.0)</f>
        <v>10138</v>
      </c>
      <c r="AD163" s="329">
        <f>IFERROR(__xludf.DUMMYFUNCTION("""COMPUTED_VALUE"""),208677.0)</f>
        <v>208677</v>
      </c>
      <c r="AE163" s="329">
        <f>IFERROR(__xludf.DUMMYFUNCTION("""COMPUTED_VALUE"""),8106.0)</f>
        <v>8106</v>
      </c>
      <c r="AF163" s="329">
        <f>IFERROR(__xludf.DUMMYFUNCTION("""COMPUTED_VALUE"""),145465.0)</f>
        <v>145465</v>
      </c>
      <c r="AG163" s="329">
        <f>IFERROR(__xludf.DUMMYFUNCTION("""COMPUTED_VALUE"""),2032.0)</f>
        <v>2032</v>
      </c>
      <c r="AH163" s="329">
        <f>IFERROR(__xludf.DUMMYFUNCTION("""COMPUTED_VALUE"""),63212.0)</f>
        <v>63212</v>
      </c>
    </row>
    <row r="164">
      <c r="A164" s="328">
        <f>IFERROR(__xludf.DUMMYFUNCTION("""COMPUTED_VALUE"""),44248.0)</f>
        <v>44248</v>
      </c>
      <c r="B164" s="329">
        <f>IFERROR(__xludf.DUMMYFUNCTION("""COMPUTED_VALUE"""),199.0)</f>
        <v>199</v>
      </c>
      <c r="C164" s="329">
        <f>IFERROR(__xludf.DUMMYFUNCTION("""COMPUTED_VALUE"""),318.0)</f>
        <v>318</v>
      </c>
      <c r="D164" s="329">
        <f>IFERROR(__xludf.DUMMYFUNCTION("""COMPUTED_VALUE"""),147899.0)</f>
        <v>147899</v>
      </c>
      <c r="E164" s="329">
        <f>IFERROR(__xludf.DUMMYFUNCTION("""COMPUTED_VALUE"""),6308.0)</f>
        <v>6308</v>
      </c>
      <c r="F164" s="329">
        <f>IFERROR(__xludf.DUMMYFUNCTION("""COMPUTED_VALUE"""),2746637.0)</f>
        <v>2746637</v>
      </c>
      <c r="G164" s="329">
        <f>IFERROR(__xludf.DUMMYFUNCTION("""COMPUTED_VALUE"""),6507.0)</f>
        <v>6507</v>
      </c>
      <c r="H164" s="329">
        <f>IFERROR(__xludf.DUMMYFUNCTION("""COMPUTED_VALUE"""),2894536.0)</f>
        <v>2894536</v>
      </c>
      <c r="I164" s="329">
        <f>IFERROR(__xludf.DUMMYFUNCTION("""COMPUTED_VALUE"""),199.0)</f>
        <v>199</v>
      </c>
      <c r="J164" s="329">
        <f>IFERROR(__xludf.DUMMYFUNCTION("""COMPUTED_VALUE"""),276.0)</f>
        <v>276</v>
      </c>
      <c r="K164" s="329">
        <f>IFERROR(__xludf.DUMMYFUNCTION("""COMPUTED_VALUE"""),123993.0)</f>
        <v>123993</v>
      </c>
      <c r="L164" s="329">
        <f>IFERROR(__xludf.DUMMYFUNCTION("""COMPUTED_VALUE"""),832.0)</f>
        <v>832</v>
      </c>
      <c r="M164" s="329">
        <f>IFERROR(__xludf.DUMMYFUNCTION("""COMPUTED_VALUE"""),651471.0)</f>
        <v>651471</v>
      </c>
      <c r="N164" s="329">
        <f>IFERROR(__xludf.DUMMYFUNCTION("""COMPUTED_VALUE"""),775464.0)</f>
        <v>775464</v>
      </c>
      <c r="O164" s="329">
        <f>IFERROR(__xludf.DUMMYFUNCTION("""COMPUTED_VALUE"""),6.0)</f>
        <v>6</v>
      </c>
      <c r="P164" s="329">
        <f>IFERROR(__xludf.DUMMYFUNCTION("""COMPUTED_VALUE"""),8816.0)</f>
        <v>8816</v>
      </c>
      <c r="Q164" s="329">
        <f>IFERROR(__xludf.DUMMYFUNCTION("""COMPUTED_VALUE"""),14.0)</f>
        <v>14</v>
      </c>
      <c r="R164" s="329">
        <f>IFERROR(__xludf.DUMMYFUNCTION("""COMPUTED_VALUE"""),7646.0)</f>
        <v>7646</v>
      </c>
      <c r="S164" s="329">
        <f>IFERROR(__xludf.DUMMYFUNCTION("""COMPUTED_VALUE"""),2.0)</f>
        <v>2</v>
      </c>
      <c r="T164" s="329">
        <f>IFERROR(__xludf.DUMMYFUNCTION("""COMPUTED_VALUE"""),992.0)</f>
        <v>992</v>
      </c>
      <c r="U164" s="329">
        <f>IFERROR(__xludf.DUMMYFUNCTION("""COMPUTED_VALUE"""),178.0)</f>
        <v>178</v>
      </c>
      <c r="V164" s="329">
        <f>IFERROR(__xludf.DUMMYFUNCTION("""COMPUTED_VALUE"""),180.0)</f>
        <v>180</v>
      </c>
      <c r="W164" s="329">
        <f>IFERROR(__xludf.DUMMYFUNCTION("""COMPUTED_VALUE"""),32.0)</f>
        <v>32</v>
      </c>
      <c r="X164" s="329">
        <f>IFERROR(__xludf.DUMMYFUNCTION("""COMPUTED_VALUE"""),17.0)</f>
        <v>17</v>
      </c>
      <c r="Y164" s="329">
        <f>IFERROR(__xludf.DUMMYFUNCTION("""COMPUTED_VALUE"""),3.0)</f>
        <v>3</v>
      </c>
      <c r="Z164" s="329">
        <f>IFERROR(__xludf.DUMMYFUNCTION("""COMPUTED_VALUE"""),2520.0)</f>
        <v>2520</v>
      </c>
      <c r="AA164" s="329">
        <f>IFERROR(__xludf.DUMMYFUNCTION("""COMPUTED_VALUE"""),1946.0)</f>
        <v>1946</v>
      </c>
      <c r="AB164" s="329">
        <f>IFERROR(__xludf.DUMMYFUNCTION("""COMPUTED_VALUE"""),618.0)</f>
        <v>618</v>
      </c>
      <c r="AC164" s="329">
        <f>IFERROR(__xludf.DUMMYFUNCTION("""COMPUTED_VALUE"""),2564.0)</f>
        <v>2564</v>
      </c>
      <c r="AD164" s="329">
        <f>IFERROR(__xludf.DUMMYFUNCTION("""COMPUTED_VALUE"""),211241.0)</f>
        <v>211241</v>
      </c>
      <c r="AE164" s="329">
        <f>IFERROR(__xludf.DUMMYFUNCTION("""COMPUTED_VALUE"""),1946.0)</f>
        <v>1946</v>
      </c>
      <c r="AF164" s="329">
        <f>IFERROR(__xludf.DUMMYFUNCTION("""COMPUTED_VALUE"""),147411.0)</f>
        <v>147411</v>
      </c>
      <c r="AG164" s="329">
        <f>IFERROR(__xludf.DUMMYFUNCTION("""COMPUTED_VALUE"""),618.0)</f>
        <v>618</v>
      </c>
      <c r="AH164" s="329">
        <f>IFERROR(__xludf.DUMMYFUNCTION("""COMPUTED_VALUE"""),63830.0)</f>
        <v>63830</v>
      </c>
    </row>
    <row r="165">
      <c r="A165" s="328">
        <f>IFERROR(__xludf.DUMMYFUNCTION("""COMPUTED_VALUE"""),44249.0)</f>
        <v>44249</v>
      </c>
      <c r="B165" s="329">
        <f>IFERROR(__xludf.DUMMYFUNCTION("""COMPUTED_VALUE"""),389.0)</f>
        <v>389</v>
      </c>
      <c r="C165" s="329">
        <f>IFERROR(__xludf.DUMMYFUNCTION("""COMPUTED_VALUE"""),308.0)</f>
        <v>308</v>
      </c>
      <c r="D165" s="329">
        <f>IFERROR(__xludf.DUMMYFUNCTION("""COMPUTED_VALUE"""),148288.0)</f>
        <v>148288</v>
      </c>
      <c r="E165" s="329">
        <f>IFERROR(__xludf.DUMMYFUNCTION("""COMPUTED_VALUE"""),12032.0)</f>
        <v>12032</v>
      </c>
      <c r="F165" s="329">
        <f>IFERROR(__xludf.DUMMYFUNCTION("""COMPUTED_VALUE"""),2758669.0)</f>
        <v>2758669</v>
      </c>
      <c r="G165" s="329">
        <f>IFERROR(__xludf.DUMMYFUNCTION("""COMPUTED_VALUE"""),12421.0)</f>
        <v>12421</v>
      </c>
      <c r="H165" s="329">
        <f>IFERROR(__xludf.DUMMYFUNCTION("""COMPUTED_VALUE"""),2906957.0)</f>
        <v>2906957</v>
      </c>
      <c r="I165" s="329">
        <f>IFERROR(__xludf.DUMMYFUNCTION("""COMPUTED_VALUE"""),342.0)</f>
        <v>342</v>
      </c>
      <c r="J165" s="329">
        <f>IFERROR(__xludf.DUMMYFUNCTION("""COMPUTED_VALUE"""),272.0)</f>
        <v>272</v>
      </c>
      <c r="K165" s="329">
        <f>IFERROR(__xludf.DUMMYFUNCTION("""COMPUTED_VALUE"""),124335.0)</f>
        <v>124335</v>
      </c>
      <c r="L165" s="329">
        <f>IFERROR(__xludf.DUMMYFUNCTION("""COMPUTED_VALUE"""),1508.0)</f>
        <v>1508</v>
      </c>
      <c r="M165" s="329">
        <f>IFERROR(__xludf.DUMMYFUNCTION("""COMPUTED_VALUE"""),652979.0)</f>
        <v>652979</v>
      </c>
      <c r="N165" s="329">
        <f>IFERROR(__xludf.DUMMYFUNCTION("""COMPUTED_VALUE"""),777314.0)</f>
        <v>777314</v>
      </c>
      <c r="O165" s="329">
        <f>IFERROR(__xludf.DUMMYFUNCTION("""COMPUTED_VALUE"""),16.0)</f>
        <v>16</v>
      </c>
      <c r="P165" s="329">
        <f>IFERROR(__xludf.DUMMYFUNCTION("""COMPUTED_VALUE"""),8832.0)</f>
        <v>8832</v>
      </c>
      <c r="Q165" s="329">
        <f>IFERROR(__xludf.DUMMYFUNCTION("""COMPUTED_VALUE"""),17.0)</f>
        <v>17</v>
      </c>
      <c r="R165" s="329">
        <f>IFERROR(__xludf.DUMMYFUNCTION("""COMPUTED_VALUE"""),7663.0)</f>
        <v>7663</v>
      </c>
      <c r="S165" s="329">
        <f>IFERROR(__xludf.DUMMYFUNCTION("""COMPUTED_VALUE"""),0.0)</f>
        <v>0</v>
      </c>
      <c r="T165" s="329">
        <f>IFERROR(__xludf.DUMMYFUNCTION("""COMPUTED_VALUE"""),992.0)</f>
        <v>992</v>
      </c>
      <c r="U165" s="329">
        <f>IFERROR(__xludf.DUMMYFUNCTION("""COMPUTED_VALUE"""),177.0)</f>
        <v>177</v>
      </c>
      <c r="V165" s="329">
        <f>IFERROR(__xludf.DUMMYFUNCTION("""COMPUTED_VALUE"""),181.0)</f>
        <v>181</v>
      </c>
      <c r="W165" s="329">
        <f>IFERROR(__xludf.DUMMYFUNCTION("""COMPUTED_VALUE"""),31.0)</f>
        <v>31</v>
      </c>
      <c r="X165" s="329">
        <f>IFERROR(__xludf.DUMMYFUNCTION("""COMPUTED_VALUE"""),16.0)</f>
        <v>16</v>
      </c>
      <c r="Y165" s="329">
        <f>IFERROR(__xludf.DUMMYFUNCTION("""COMPUTED_VALUE"""),3.0)</f>
        <v>3</v>
      </c>
      <c r="Z165" s="329">
        <f>IFERROR(__xludf.DUMMYFUNCTION("""COMPUTED_VALUE"""),2523.0)</f>
        <v>2523</v>
      </c>
      <c r="AA165" s="329">
        <f>IFERROR(__xludf.DUMMYFUNCTION("""COMPUTED_VALUE"""),5487.0)</f>
        <v>5487</v>
      </c>
      <c r="AB165" s="329">
        <f>IFERROR(__xludf.DUMMYFUNCTION("""COMPUTED_VALUE"""),1399.0)</f>
        <v>1399</v>
      </c>
      <c r="AC165" s="329">
        <f>IFERROR(__xludf.DUMMYFUNCTION("""COMPUTED_VALUE"""),6886.0)</f>
        <v>6886</v>
      </c>
      <c r="AD165" s="329">
        <f>IFERROR(__xludf.DUMMYFUNCTION("""COMPUTED_VALUE"""),218127.0)</f>
        <v>218127</v>
      </c>
      <c r="AE165" s="329">
        <f>IFERROR(__xludf.DUMMYFUNCTION("""COMPUTED_VALUE"""),5487.0)</f>
        <v>5487</v>
      </c>
      <c r="AF165" s="329">
        <f>IFERROR(__xludf.DUMMYFUNCTION("""COMPUTED_VALUE"""),152898.0)</f>
        <v>152898</v>
      </c>
      <c r="AG165" s="329">
        <f>IFERROR(__xludf.DUMMYFUNCTION("""COMPUTED_VALUE"""),1399.0)</f>
        <v>1399</v>
      </c>
      <c r="AH165" s="329">
        <f>IFERROR(__xludf.DUMMYFUNCTION("""COMPUTED_VALUE"""),65229.0)</f>
        <v>65229</v>
      </c>
    </row>
    <row r="166">
      <c r="A166" s="328">
        <f>IFERROR(__xludf.DUMMYFUNCTION("""COMPUTED_VALUE"""),44250.0)</f>
        <v>44250</v>
      </c>
      <c r="B166" s="329">
        <f>IFERROR(__xludf.DUMMYFUNCTION("""COMPUTED_VALUE"""),489.0)</f>
        <v>489</v>
      </c>
      <c r="C166" s="329">
        <f>IFERROR(__xludf.DUMMYFUNCTION("""COMPUTED_VALUE"""),359.0)</f>
        <v>359</v>
      </c>
      <c r="D166" s="329">
        <f>IFERROR(__xludf.DUMMYFUNCTION("""COMPUTED_VALUE"""),148777.0)</f>
        <v>148777</v>
      </c>
      <c r="E166" s="329">
        <f>IFERROR(__xludf.DUMMYFUNCTION("""COMPUTED_VALUE"""),19938.0)</f>
        <v>19938</v>
      </c>
      <c r="F166" s="329">
        <f>IFERROR(__xludf.DUMMYFUNCTION("""COMPUTED_VALUE"""),2778607.0)</f>
        <v>2778607</v>
      </c>
      <c r="G166" s="329">
        <f>IFERROR(__xludf.DUMMYFUNCTION("""COMPUTED_VALUE"""),20427.0)</f>
        <v>20427</v>
      </c>
      <c r="H166" s="329">
        <f>IFERROR(__xludf.DUMMYFUNCTION("""COMPUTED_VALUE"""),2927384.0)</f>
        <v>2927384</v>
      </c>
      <c r="I166" s="329">
        <f>IFERROR(__xludf.DUMMYFUNCTION("""COMPUTED_VALUE"""),443.0)</f>
        <v>443</v>
      </c>
      <c r="J166" s="329">
        <f>IFERROR(__xludf.DUMMYFUNCTION("""COMPUTED_VALUE"""),328.0)</f>
        <v>328</v>
      </c>
      <c r="K166" s="329">
        <f>IFERROR(__xludf.DUMMYFUNCTION("""COMPUTED_VALUE"""),124778.0)</f>
        <v>124778</v>
      </c>
      <c r="L166" s="329">
        <f>IFERROR(__xludf.DUMMYFUNCTION("""COMPUTED_VALUE"""),2090.0)</f>
        <v>2090</v>
      </c>
      <c r="M166" s="329">
        <f>IFERROR(__xludf.DUMMYFUNCTION("""COMPUTED_VALUE"""),655069.0)</f>
        <v>655069</v>
      </c>
      <c r="N166" s="329">
        <f>IFERROR(__xludf.DUMMYFUNCTION("""COMPUTED_VALUE"""),779847.0)</f>
        <v>779847</v>
      </c>
      <c r="O166" s="329">
        <f>IFERROR(__xludf.DUMMYFUNCTION("""COMPUTED_VALUE"""),26.0)</f>
        <v>26</v>
      </c>
      <c r="P166" s="329">
        <f>IFERROR(__xludf.DUMMYFUNCTION("""COMPUTED_VALUE"""),8858.0)</f>
        <v>8858</v>
      </c>
      <c r="Q166" s="329">
        <f>IFERROR(__xludf.DUMMYFUNCTION("""COMPUTED_VALUE"""),27.0)</f>
        <v>27</v>
      </c>
      <c r="R166" s="329">
        <f>IFERROR(__xludf.DUMMYFUNCTION("""COMPUTED_VALUE"""),7690.0)</f>
        <v>7690</v>
      </c>
      <c r="S166" s="329">
        <f>IFERROR(__xludf.DUMMYFUNCTION("""COMPUTED_VALUE"""),2.0)</f>
        <v>2</v>
      </c>
      <c r="T166" s="329">
        <f>IFERROR(__xludf.DUMMYFUNCTION("""COMPUTED_VALUE"""),994.0)</f>
        <v>994</v>
      </c>
      <c r="U166" s="329">
        <f>IFERROR(__xludf.DUMMYFUNCTION("""COMPUTED_VALUE"""),174.0)</f>
        <v>174</v>
      </c>
      <c r="V166" s="329">
        <f>IFERROR(__xludf.DUMMYFUNCTION("""COMPUTED_VALUE"""),176.0)</f>
        <v>176</v>
      </c>
      <c r="W166" s="329">
        <f>IFERROR(__xludf.DUMMYFUNCTION("""COMPUTED_VALUE"""),31.0)</f>
        <v>31</v>
      </c>
      <c r="X166" s="329">
        <f>IFERROR(__xludf.DUMMYFUNCTION("""COMPUTED_VALUE"""),17.0)</f>
        <v>17</v>
      </c>
      <c r="Y166" s="329">
        <f>IFERROR(__xludf.DUMMYFUNCTION("""COMPUTED_VALUE"""),6.0)</f>
        <v>6</v>
      </c>
      <c r="Z166" s="329">
        <f>IFERROR(__xludf.DUMMYFUNCTION("""COMPUTED_VALUE"""),2529.0)</f>
        <v>2529</v>
      </c>
      <c r="AA166" s="329">
        <f>IFERROR(__xludf.DUMMYFUNCTION("""COMPUTED_VALUE"""),6203.0)</f>
        <v>6203</v>
      </c>
      <c r="AB166" s="329">
        <f>IFERROR(__xludf.DUMMYFUNCTION("""COMPUTED_VALUE"""),1385.0)</f>
        <v>1385</v>
      </c>
      <c r="AC166" s="329">
        <f>IFERROR(__xludf.DUMMYFUNCTION("""COMPUTED_VALUE"""),7588.0)</f>
        <v>7588</v>
      </c>
      <c r="AD166" s="329">
        <f>IFERROR(__xludf.DUMMYFUNCTION("""COMPUTED_VALUE"""),225715.0)</f>
        <v>225715</v>
      </c>
      <c r="AE166" s="329">
        <f>IFERROR(__xludf.DUMMYFUNCTION("""COMPUTED_VALUE"""),6203.0)</f>
        <v>6203</v>
      </c>
      <c r="AF166" s="329">
        <f>IFERROR(__xludf.DUMMYFUNCTION("""COMPUTED_VALUE"""),159101.0)</f>
        <v>159101</v>
      </c>
      <c r="AG166" s="329">
        <f>IFERROR(__xludf.DUMMYFUNCTION("""COMPUTED_VALUE"""),1385.0)</f>
        <v>1385</v>
      </c>
      <c r="AH166" s="329">
        <f>IFERROR(__xludf.DUMMYFUNCTION("""COMPUTED_VALUE"""),66614.0)</f>
        <v>66614</v>
      </c>
    </row>
    <row r="167">
      <c r="A167" s="328">
        <f>IFERROR(__xludf.DUMMYFUNCTION("""COMPUTED_VALUE"""),44251.0)</f>
        <v>44251</v>
      </c>
      <c r="B167" s="329">
        <f>IFERROR(__xludf.DUMMYFUNCTION("""COMPUTED_VALUE"""),489.0)</f>
        <v>489</v>
      </c>
      <c r="C167" s="329">
        <f>IFERROR(__xludf.DUMMYFUNCTION("""COMPUTED_VALUE"""),456.0)</f>
        <v>456</v>
      </c>
      <c r="D167" s="329">
        <f>IFERROR(__xludf.DUMMYFUNCTION("""COMPUTED_VALUE"""),149266.0)</f>
        <v>149266</v>
      </c>
      <c r="E167" s="329">
        <f>IFERROR(__xludf.DUMMYFUNCTION("""COMPUTED_VALUE"""),23277.0)</f>
        <v>23277</v>
      </c>
      <c r="F167" s="329">
        <f>IFERROR(__xludf.DUMMYFUNCTION("""COMPUTED_VALUE"""),2801884.0)</f>
        <v>2801884</v>
      </c>
      <c r="G167" s="329">
        <f>IFERROR(__xludf.DUMMYFUNCTION("""COMPUTED_VALUE"""),23766.0)</f>
        <v>23766</v>
      </c>
      <c r="H167" s="329">
        <f>IFERROR(__xludf.DUMMYFUNCTION("""COMPUTED_VALUE"""),2951150.0)</f>
        <v>2951150</v>
      </c>
      <c r="I167" s="329">
        <f>IFERROR(__xludf.DUMMYFUNCTION("""COMPUTED_VALUE"""),406.0)</f>
        <v>406</v>
      </c>
      <c r="J167" s="329">
        <f>IFERROR(__xludf.DUMMYFUNCTION("""COMPUTED_VALUE"""),397.0)</f>
        <v>397</v>
      </c>
      <c r="K167" s="329">
        <f>IFERROR(__xludf.DUMMYFUNCTION("""COMPUTED_VALUE"""),125184.0)</f>
        <v>125184</v>
      </c>
      <c r="L167" s="329">
        <f>IFERROR(__xludf.DUMMYFUNCTION("""COMPUTED_VALUE"""),2016.0)</f>
        <v>2016</v>
      </c>
      <c r="M167" s="329">
        <f>IFERROR(__xludf.DUMMYFUNCTION("""COMPUTED_VALUE"""),657085.0)</f>
        <v>657085</v>
      </c>
      <c r="N167" s="329">
        <f>IFERROR(__xludf.DUMMYFUNCTION("""COMPUTED_VALUE"""),782269.0)</f>
        <v>782269</v>
      </c>
      <c r="O167" s="329">
        <f>IFERROR(__xludf.DUMMYFUNCTION("""COMPUTED_VALUE"""),28.0)</f>
        <v>28</v>
      </c>
      <c r="P167" s="329">
        <f>IFERROR(__xludf.DUMMYFUNCTION("""COMPUTED_VALUE"""),8886.0)</f>
        <v>8886</v>
      </c>
      <c r="Q167" s="329">
        <f>IFERROR(__xludf.DUMMYFUNCTION("""COMPUTED_VALUE"""),20.0)</f>
        <v>20</v>
      </c>
      <c r="R167" s="329">
        <f>IFERROR(__xludf.DUMMYFUNCTION("""COMPUTED_VALUE"""),7710.0)</f>
        <v>7710</v>
      </c>
      <c r="S167" s="329">
        <f>IFERROR(__xludf.DUMMYFUNCTION("""COMPUTED_VALUE"""),2.0)</f>
        <v>2</v>
      </c>
      <c r="T167" s="329">
        <f>IFERROR(__xludf.DUMMYFUNCTION("""COMPUTED_VALUE"""),996.0)</f>
        <v>996</v>
      </c>
      <c r="U167" s="329">
        <f>IFERROR(__xludf.DUMMYFUNCTION("""COMPUTED_VALUE"""),180.0)</f>
        <v>180</v>
      </c>
      <c r="V167" s="329">
        <f>IFERROR(__xludf.DUMMYFUNCTION("""COMPUTED_VALUE"""),177.0)</f>
        <v>177</v>
      </c>
      <c r="W167" s="329">
        <f>IFERROR(__xludf.DUMMYFUNCTION("""COMPUTED_VALUE"""),32.0)</f>
        <v>32</v>
      </c>
      <c r="X167" s="329">
        <f>IFERROR(__xludf.DUMMYFUNCTION("""COMPUTED_VALUE"""),19.0)</f>
        <v>19</v>
      </c>
      <c r="Y167" s="329">
        <f>IFERROR(__xludf.DUMMYFUNCTION("""COMPUTED_VALUE"""),5.0)</f>
        <v>5</v>
      </c>
      <c r="Z167" s="329">
        <f>IFERROR(__xludf.DUMMYFUNCTION("""COMPUTED_VALUE"""),2534.0)</f>
        <v>2534</v>
      </c>
      <c r="AA167" s="329">
        <f>IFERROR(__xludf.DUMMYFUNCTION("""COMPUTED_VALUE"""),6641.0)</f>
        <v>6641</v>
      </c>
      <c r="AB167" s="329">
        <f>IFERROR(__xludf.DUMMYFUNCTION("""COMPUTED_VALUE"""),1824.0)</f>
        <v>1824</v>
      </c>
      <c r="AC167" s="329">
        <f>IFERROR(__xludf.DUMMYFUNCTION("""COMPUTED_VALUE"""),8465.0)</f>
        <v>8465</v>
      </c>
      <c r="AD167" s="329">
        <f>IFERROR(__xludf.DUMMYFUNCTION("""COMPUTED_VALUE"""),234180.0)</f>
        <v>234180</v>
      </c>
      <c r="AE167" s="329">
        <f>IFERROR(__xludf.DUMMYFUNCTION("""COMPUTED_VALUE"""),6641.0)</f>
        <v>6641</v>
      </c>
      <c r="AF167" s="329">
        <f>IFERROR(__xludf.DUMMYFUNCTION("""COMPUTED_VALUE"""),165742.0)</f>
        <v>165742</v>
      </c>
      <c r="AG167" s="329">
        <f>IFERROR(__xludf.DUMMYFUNCTION("""COMPUTED_VALUE"""),1824.0)</f>
        <v>1824</v>
      </c>
      <c r="AH167" s="329">
        <f>IFERROR(__xludf.DUMMYFUNCTION("""COMPUTED_VALUE"""),68438.0)</f>
        <v>68438</v>
      </c>
    </row>
    <row r="168">
      <c r="A168" s="328">
        <f>IFERROR(__xludf.DUMMYFUNCTION("""COMPUTED_VALUE"""),44252.0)</f>
        <v>44252</v>
      </c>
      <c r="B168" s="329">
        <f>IFERROR(__xludf.DUMMYFUNCTION("""COMPUTED_VALUE"""),526.0)</f>
        <v>526</v>
      </c>
      <c r="C168" s="329">
        <f>IFERROR(__xludf.DUMMYFUNCTION("""COMPUTED_VALUE"""),501.0)</f>
        <v>501</v>
      </c>
      <c r="D168" s="329">
        <f>IFERROR(__xludf.DUMMYFUNCTION("""COMPUTED_VALUE"""),149792.0)</f>
        <v>149792</v>
      </c>
      <c r="E168" s="329">
        <f>IFERROR(__xludf.DUMMYFUNCTION("""COMPUTED_VALUE"""),21115.0)</f>
        <v>21115</v>
      </c>
      <c r="F168" s="329">
        <f>IFERROR(__xludf.DUMMYFUNCTION("""COMPUTED_VALUE"""),2822999.0)</f>
        <v>2822999</v>
      </c>
      <c r="G168" s="329">
        <f>IFERROR(__xludf.DUMMYFUNCTION("""COMPUTED_VALUE"""),21641.0)</f>
        <v>21641</v>
      </c>
      <c r="H168" s="329">
        <f>IFERROR(__xludf.DUMMYFUNCTION("""COMPUTED_VALUE"""),2972791.0)</f>
        <v>2972791</v>
      </c>
      <c r="I168" s="329">
        <f>IFERROR(__xludf.DUMMYFUNCTION("""COMPUTED_VALUE"""),460.0)</f>
        <v>460</v>
      </c>
      <c r="J168" s="329">
        <f>IFERROR(__xludf.DUMMYFUNCTION("""COMPUTED_VALUE"""),436.0)</f>
        <v>436</v>
      </c>
      <c r="K168" s="329">
        <f>IFERROR(__xludf.DUMMYFUNCTION("""COMPUTED_VALUE"""),125644.0)</f>
        <v>125644</v>
      </c>
      <c r="L168" s="329">
        <f>IFERROR(__xludf.DUMMYFUNCTION("""COMPUTED_VALUE"""),1923.0)</f>
        <v>1923</v>
      </c>
      <c r="M168" s="329">
        <f>IFERROR(__xludf.DUMMYFUNCTION("""COMPUTED_VALUE"""),659008.0)</f>
        <v>659008</v>
      </c>
      <c r="N168" s="329">
        <f>IFERROR(__xludf.DUMMYFUNCTION("""COMPUTED_VALUE"""),784652.0)</f>
        <v>784652</v>
      </c>
      <c r="O168" s="329">
        <f>IFERROR(__xludf.DUMMYFUNCTION("""COMPUTED_VALUE"""),19.0)</f>
        <v>19</v>
      </c>
      <c r="P168" s="329">
        <f>IFERROR(__xludf.DUMMYFUNCTION("""COMPUTED_VALUE"""),8905.0)</f>
        <v>8905</v>
      </c>
      <c r="Q168" s="329">
        <f>IFERROR(__xludf.DUMMYFUNCTION("""COMPUTED_VALUE"""),20.0)</f>
        <v>20</v>
      </c>
      <c r="R168" s="329">
        <f>IFERROR(__xludf.DUMMYFUNCTION("""COMPUTED_VALUE"""),7730.0)</f>
        <v>7730</v>
      </c>
      <c r="S168" s="329">
        <f>IFERROR(__xludf.DUMMYFUNCTION("""COMPUTED_VALUE"""),3.0)</f>
        <v>3</v>
      </c>
      <c r="T168" s="329">
        <f>IFERROR(__xludf.DUMMYFUNCTION("""COMPUTED_VALUE"""),999.0)</f>
        <v>999</v>
      </c>
      <c r="U168" s="329">
        <f>IFERROR(__xludf.DUMMYFUNCTION("""COMPUTED_VALUE"""),176.0)</f>
        <v>176</v>
      </c>
      <c r="V168" s="329">
        <f>IFERROR(__xludf.DUMMYFUNCTION("""COMPUTED_VALUE"""),177.0)</f>
        <v>177</v>
      </c>
      <c r="W168" s="329">
        <f>IFERROR(__xludf.DUMMYFUNCTION("""COMPUTED_VALUE"""),29.0)</f>
        <v>29</v>
      </c>
      <c r="X168" s="329">
        <f>IFERROR(__xludf.DUMMYFUNCTION("""COMPUTED_VALUE"""),19.0)</f>
        <v>19</v>
      </c>
      <c r="Y168" s="329">
        <f>IFERROR(__xludf.DUMMYFUNCTION("""COMPUTED_VALUE"""),5.0)</f>
        <v>5</v>
      </c>
      <c r="Z168" s="329">
        <f>IFERROR(__xludf.DUMMYFUNCTION("""COMPUTED_VALUE"""),2539.0)</f>
        <v>2539</v>
      </c>
      <c r="AA168" s="329">
        <f>IFERROR(__xludf.DUMMYFUNCTION("""COMPUTED_VALUE"""),8710.0)</f>
        <v>8710</v>
      </c>
      <c r="AB168" s="329">
        <f>IFERROR(__xludf.DUMMYFUNCTION("""COMPUTED_VALUE"""),2983.0)</f>
        <v>2983</v>
      </c>
      <c r="AC168" s="329">
        <f>IFERROR(__xludf.DUMMYFUNCTION("""COMPUTED_VALUE"""),11693.0)</f>
        <v>11693</v>
      </c>
      <c r="AD168" s="329">
        <f>IFERROR(__xludf.DUMMYFUNCTION("""COMPUTED_VALUE"""),245873.0)</f>
        <v>245873</v>
      </c>
      <c r="AE168" s="329">
        <f>IFERROR(__xludf.DUMMYFUNCTION("""COMPUTED_VALUE"""),8710.0)</f>
        <v>8710</v>
      </c>
      <c r="AF168" s="329">
        <f>IFERROR(__xludf.DUMMYFUNCTION("""COMPUTED_VALUE"""),174452.0)</f>
        <v>174452</v>
      </c>
      <c r="AG168" s="329">
        <f>IFERROR(__xludf.DUMMYFUNCTION("""COMPUTED_VALUE"""),2983.0)</f>
        <v>2983</v>
      </c>
      <c r="AH168" s="329">
        <f>IFERROR(__xludf.DUMMYFUNCTION("""COMPUTED_VALUE"""),71421.0)</f>
        <v>71421</v>
      </c>
    </row>
    <row r="169">
      <c r="A169" s="328">
        <f>IFERROR(__xludf.DUMMYFUNCTION("""COMPUTED_VALUE"""),44253.0)</f>
        <v>44253</v>
      </c>
      <c r="B169" s="329">
        <f>IFERROR(__xludf.DUMMYFUNCTION("""COMPUTED_VALUE"""),433.0)</f>
        <v>433</v>
      </c>
      <c r="C169" s="329">
        <f>IFERROR(__xludf.DUMMYFUNCTION("""COMPUTED_VALUE"""),483.0)</f>
        <v>483</v>
      </c>
      <c r="D169" s="329">
        <f>IFERROR(__xludf.DUMMYFUNCTION("""COMPUTED_VALUE"""),150225.0)</f>
        <v>150225</v>
      </c>
      <c r="E169" s="329">
        <f>IFERROR(__xludf.DUMMYFUNCTION("""COMPUTED_VALUE"""),18586.0)</f>
        <v>18586</v>
      </c>
      <c r="F169" s="329">
        <f>IFERROR(__xludf.DUMMYFUNCTION("""COMPUTED_VALUE"""),2841585.0)</f>
        <v>2841585</v>
      </c>
      <c r="G169" s="329">
        <f>IFERROR(__xludf.DUMMYFUNCTION("""COMPUTED_VALUE"""),19019.0)</f>
        <v>19019</v>
      </c>
      <c r="H169" s="329">
        <f>IFERROR(__xludf.DUMMYFUNCTION("""COMPUTED_VALUE"""),2991810.0)</f>
        <v>2991810</v>
      </c>
      <c r="I169" s="329">
        <f>IFERROR(__xludf.DUMMYFUNCTION("""COMPUTED_VALUE"""),371.0)</f>
        <v>371</v>
      </c>
      <c r="J169" s="329">
        <f>IFERROR(__xludf.DUMMYFUNCTION("""COMPUTED_VALUE"""),412.0)</f>
        <v>412</v>
      </c>
      <c r="K169" s="329">
        <f>IFERROR(__xludf.DUMMYFUNCTION("""COMPUTED_VALUE"""),126015.0)</f>
        <v>126015</v>
      </c>
      <c r="L169" s="329">
        <f>IFERROR(__xludf.DUMMYFUNCTION("""COMPUTED_VALUE"""),1582.0)</f>
        <v>1582</v>
      </c>
      <c r="M169" s="329">
        <f>IFERROR(__xludf.DUMMYFUNCTION("""COMPUTED_VALUE"""),660590.0)</f>
        <v>660590</v>
      </c>
      <c r="N169" s="329">
        <f>IFERROR(__xludf.DUMMYFUNCTION("""COMPUTED_VALUE"""),786605.0)</f>
        <v>786605</v>
      </c>
      <c r="O169" s="329">
        <f>IFERROR(__xludf.DUMMYFUNCTION("""COMPUTED_VALUE"""),26.0)</f>
        <v>26</v>
      </c>
      <c r="P169" s="329">
        <f>IFERROR(__xludf.DUMMYFUNCTION("""COMPUTED_VALUE"""),8931.0)</f>
        <v>8931</v>
      </c>
      <c r="Q169" s="329">
        <f>IFERROR(__xludf.DUMMYFUNCTION("""COMPUTED_VALUE"""),24.0)</f>
        <v>24</v>
      </c>
      <c r="R169" s="329">
        <f>IFERROR(__xludf.DUMMYFUNCTION("""COMPUTED_VALUE"""),7754.0)</f>
        <v>7754</v>
      </c>
      <c r="S169" s="329">
        <f>IFERROR(__xludf.DUMMYFUNCTION("""COMPUTED_VALUE"""),1.0)</f>
        <v>1</v>
      </c>
      <c r="T169" s="329">
        <f>IFERROR(__xludf.DUMMYFUNCTION("""COMPUTED_VALUE"""),1000.0)</f>
        <v>1000</v>
      </c>
      <c r="U169" s="329">
        <f>IFERROR(__xludf.DUMMYFUNCTION("""COMPUTED_VALUE"""),177.0)</f>
        <v>177</v>
      </c>
      <c r="V169" s="329">
        <f>IFERROR(__xludf.DUMMYFUNCTION("""COMPUTED_VALUE"""),178.0)</f>
        <v>178</v>
      </c>
      <c r="W169" s="329">
        <f>IFERROR(__xludf.DUMMYFUNCTION("""COMPUTED_VALUE"""),29.0)</f>
        <v>29</v>
      </c>
      <c r="X169" s="329">
        <f>IFERROR(__xludf.DUMMYFUNCTION("""COMPUTED_VALUE"""),20.0)</f>
        <v>20</v>
      </c>
      <c r="Y169" s="329">
        <f>IFERROR(__xludf.DUMMYFUNCTION("""COMPUTED_VALUE"""),0.0)</f>
        <v>0</v>
      </c>
      <c r="Z169" s="329">
        <f>IFERROR(__xludf.DUMMYFUNCTION("""COMPUTED_VALUE"""),2539.0)</f>
        <v>2539</v>
      </c>
      <c r="AA169" s="329">
        <f>IFERROR(__xludf.DUMMYFUNCTION("""COMPUTED_VALUE"""),8433.0)</f>
        <v>8433</v>
      </c>
      <c r="AB169" s="329">
        <f>IFERROR(__xludf.DUMMYFUNCTION("""COMPUTED_VALUE"""),2646.0)</f>
        <v>2646</v>
      </c>
      <c r="AC169" s="329">
        <f>IFERROR(__xludf.DUMMYFUNCTION("""COMPUTED_VALUE"""),11079.0)</f>
        <v>11079</v>
      </c>
      <c r="AD169" s="329">
        <f>IFERROR(__xludf.DUMMYFUNCTION("""COMPUTED_VALUE"""),256952.0)</f>
        <v>256952</v>
      </c>
      <c r="AE169" s="329">
        <f>IFERROR(__xludf.DUMMYFUNCTION("""COMPUTED_VALUE"""),8433.0)</f>
        <v>8433</v>
      </c>
      <c r="AF169" s="329">
        <f>IFERROR(__xludf.DUMMYFUNCTION("""COMPUTED_VALUE"""),182885.0)</f>
        <v>182885</v>
      </c>
      <c r="AG169" s="329">
        <f>IFERROR(__xludf.DUMMYFUNCTION("""COMPUTED_VALUE"""),2646.0)</f>
        <v>2646</v>
      </c>
      <c r="AH169" s="329">
        <f>IFERROR(__xludf.DUMMYFUNCTION("""COMPUTED_VALUE"""),74067.0)</f>
        <v>74067</v>
      </c>
    </row>
    <row r="170">
      <c r="A170" s="328">
        <f>IFERROR(__xludf.DUMMYFUNCTION("""COMPUTED_VALUE"""),44254.0)</f>
        <v>44254</v>
      </c>
      <c r="B170" s="329">
        <f>IFERROR(__xludf.DUMMYFUNCTION("""COMPUTED_VALUE"""),384.0)</f>
        <v>384</v>
      </c>
      <c r="C170" s="329">
        <f>IFERROR(__xludf.DUMMYFUNCTION("""COMPUTED_VALUE"""),448.0)</f>
        <v>448</v>
      </c>
      <c r="D170" s="329">
        <f>IFERROR(__xludf.DUMMYFUNCTION("""COMPUTED_VALUE"""),150609.0)</f>
        <v>150609</v>
      </c>
      <c r="E170" s="329">
        <f>IFERROR(__xludf.DUMMYFUNCTION("""COMPUTED_VALUE"""),14920.0)</f>
        <v>14920</v>
      </c>
      <c r="F170" s="329">
        <f>IFERROR(__xludf.DUMMYFUNCTION("""COMPUTED_VALUE"""),2856505.0)</f>
        <v>2856505</v>
      </c>
      <c r="G170" s="329">
        <f>IFERROR(__xludf.DUMMYFUNCTION("""COMPUTED_VALUE"""),15304.0)</f>
        <v>15304</v>
      </c>
      <c r="H170" s="329">
        <f>IFERROR(__xludf.DUMMYFUNCTION("""COMPUTED_VALUE"""),3007114.0)</f>
        <v>3007114</v>
      </c>
      <c r="I170" s="329">
        <f>IFERROR(__xludf.DUMMYFUNCTION("""COMPUTED_VALUE"""),348.0)</f>
        <v>348</v>
      </c>
      <c r="J170" s="329">
        <f>IFERROR(__xludf.DUMMYFUNCTION("""COMPUTED_VALUE"""),393.0)</f>
        <v>393</v>
      </c>
      <c r="K170" s="329">
        <f>IFERROR(__xludf.DUMMYFUNCTION("""COMPUTED_VALUE"""),126363.0)</f>
        <v>126363</v>
      </c>
      <c r="L170" s="329">
        <f>IFERROR(__xludf.DUMMYFUNCTION("""COMPUTED_VALUE"""),1622.0)</f>
        <v>1622</v>
      </c>
      <c r="M170" s="329">
        <f>IFERROR(__xludf.DUMMYFUNCTION("""COMPUTED_VALUE"""),662212.0)</f>
        <v>662212</v>
      </c>
      <c r="N170" s="329">
        <f>IFERROR(__xludf.DUMMYFUNCTION("""COMPUTED_VALUE"""),788575.0)</f>
        <v>788575</v>
      </c>
      <c r="O170" s="329">
        <f>IFERROR(__xludf.DUMMYFUNCTION("""COMPUTED_VALUE"""),14.0)</f>
        <v>14</v>
      </c>
      <c r="P170" s="329">
        <f>IFERROR(__xludf.DUMMYFUNCTION("""COMPUTED_VALUE"""),8945.0)</f>
        <v>8945</v>
      </c>
      <c r="Q170" s="329">
        <f>IFERROR(__xludf.DUMMYFUNCTION("""COMPUTED_VALUE"""),13.0)</f>
        <v>13</v>
      </c>
      <c r="R170" s="329">
        <f>IFERROR(__xludf.DUMMYFUNCTION("""COMPUTED_VALUE"""),7767.0)</f>
        <v>7767</v>
      </c>
      <c r="S170" s="329">
        <f>IFERROR(__xludf.DUMMYFUNCTION("""COMPUTED_VALUE"""),1.0)</f>
        <v>1</v>
      </c>
      <c r="T170" s="329">
        <f>IFERROR(__xludf.DUMMYFUNCTION("""COMPUTED_VALUE"""),1001.0)</f>
        <v>1001</v>
      </c>
      <c r="U170" s="329">
        <f>IFERROR(__xludf.DUMMYFUNCTION("""COMPUTED_VALUE"""),177.0)</f>
        <v>177</v>
      </c>
      <c r="V170" s="329">
        <f>IFERROR(__xludf.DUMMYFUNCTION("""COMPUTED_VALUE"""),177.0)</f>
        <v>177</v>
      </c>
      <c r="W170" s="329">
        <f>IFERROR(__xludf.DUMMYFUNCTION("""COMPUTED_VALUE"""),29.0)</f>
        <v>29</v>
      </c>
      <c r="X170" s="329">
        <f>IFERROR(__xludf.DUMMYFUNCTION("""COMPUTED_VALUE"""),20.0)</f>
        <v>20</v>
      </c>
      <c r="Y170" s="329">
        <f>IFERROR(__xludf.DUMMYFUNCTION("""COMPUTED_VALUE"""),4.0)</f>
        <v>4</v>
      </c>
      <c r="Z170" s="329">
        <f>IFERROR(__xludf.DUMMYFUNCTION("""COMPUTED_VALUE"""),2543.0)</f>
        <v>2543</v>
      </c>
      <c r="AA170" s="329">
        <f>IFERROR(__xludf.DUMMYFUNCTION("""COMPUTED_VALUE"""),8514.0)</f>
        <v>8514</v>
      </c>
      <c r="AB170" s="329">
        <f>IFERROR(__xludf.DUMMYFUNCTION("""COMPUTED_VALUE"""),3762.0)</f>
        <v>3762</v>
      </c>
      <c r="AC170" s="329">
        <f>IFERROR(__xludf.DUMMYFUNCTION("""COMPUTED_VALUE"""),12276.0)</f>
        <v>12276</v>
      </c>
      <c r="AD170" s="329">
        <f>IFERROR(__xludf.DUMMYFUNCTION("""COMPUTED_VALUE"""),269228.0)</f>
        <v>269228</v>
      </c>
      <c r="AE170" s="329">
        <f>IFERROR(__xludf.DUMMYFUNCTION("""COMPUTED_VALUE"""),8514.0)</f>
        <v>8514</v>
      </c>
      <c r="AF170" s="329">
        <f>IFERROR(__xludf.DUMMYFUNCTION("""COMPUTED_VALUE"""),191399.0)</f>
        <v>191399</v>
      </c>
      <c r="AG170" s="329">
        <f>IFERROR(__xludf.DUMMYFUNCTION("""COMPUTED_VALUE"""),3762.0)</f>
        <v>3762</v>
      </c>
      <c r="AH170" s="329">
        <f>IFERROR(__xludf.DUMMYFUNCTION("""COMPUTED_VALUE"""),77829.0)</f>
        <v>77829</v>
      </c>
    </row>
    <row r="171">
      <c r="A171" s="328">
        <f>IFERROR(__xludf.DUMMYFUNCTION("""COMPUTED_VALUE"""),44255.0)</f>
        <v>44255</v>
      </c>
      <c r="B171" s="329">
        <f>IFERROR(__xludf.DUMMYFUNCTION("""COMPUTED_VALUE"""),193.0)</f>
        <v>193</v>
      </c>
      <c r="C171" s="329">
        <f>IFERROR(__xludf.DUMMYFUNCTION("""COMPUTED_VALUE"""),337.0)</f>
        <v>337</v>
      </c>
      <c r="D171" s="329">
        <f>IFERROR(__xludf.DUMMYFUNCTION("""COMPUTED_VALUE"""),150802.0)</f>
        <v>150802</v>
      </c>
      <c r="E171" s="329">
        <f>IFERROR(__xludf.DUMMYFUNCTION("""COMPUTED_VALUE"""),6184.0)</f>
        <v>6184</v>
      </c>
      <c r="F171" s="329">
        <f>IFERROR(__xludf.DUMMYFUNCTION("""COMPUTED_VALUE"""),2862689.0)</f>
        <v>2862689</v>
      </c>
      <c r="G171" s="329">
        <f>IFERROR(__xludf.DUMMYFUNCTION("""COMPUTED_VALUE"""),6377.0)</f>
        <v>6377</v>
      </c>
      <c r="H171" s="329">
        <f>IFERROR(__xludf.DUMMYFUNCTION("""COMPUTED_VALUE"""),3013491.0)</f>
        <v>3013491</v>
      </c>
      <c r="I171" s="329">
        <f>IFERROR(__xludf.DUMMYFUNCTION("""COMPUTED_VALUE"""),169.0)</f>
        <v>169</v>
      </c>
      <c r="J171" s="329">
        <f>IFERROR(__xludf.DUMMYFUNCTION("""COMPUTED_VALUE"""),296.0)</f>
        <v>296</v>
      </c>
      <c r="K171" s="329">
        <f>IFERROR(__xludf.DUMMYFUNCTION("""COMPUTED_VALUE"""),126532.0)</f>
        <v>126532</v>
      </c>
      <c r="L171" s="329">
        <f>IFERROR(__xludf.DUMMYFUNCTION("""COMPUTED_VALUE"""),722.0)</f>
        <v>722</v>
      </c>
      <c r="M171" s="329">
        <f>IFERROR(__xludf.DUMMYFUNCTION("""COMPUTED_VALUE"""),662934.0)</f>
        <v>662934</v>
      </c>
      <c r="N171" s="329">
        <f>IFERROR(__xludf.DUMMYFUNCTION("""COMPUTED_VALUE"""),789466.0)</f>
        <v>789466</v>
      </c>
      <c r="O171" s="329">
        <f>IFERROR(__xludf.DUMMYFUNCTION("""COMPUTED_VALUE"""),8.0)</f>
        <v>8</v>
      </c>
      <c r="P171" s="329">
        <f>IFERROR(__xludf.DUMMYFUNCTION("""COMPUTED_VALUE"""),8953.0)</f>
        <v>8953</v>
      </c>
      <c r="Q171" s="329">
        <f>IFERROR(__xludf.DUMMYFUNCTION("""COMPUTED_VALUE"""),8.0)</f>
        <v>8</v>
      </c>
      <c r="R171" s="329">
        <f>IFERROR(__xludf.DUMMYFUNCTION("""COMPUTED_VALUE"""),7775.0)</f>
        <v>7775</v>
      </c>
      <c r="S171" s="329">
        <f>IFERROR(__xludf.DUMMYFUNCTION("""COMPUTED_VALUE"""),2.0)</f>
        <v>2</v>
      </c>
      <c r="T171" s="329">
        <f>IFERROR(__xludf.DUMMYFUNCTION("""COMPUTED_VALUE"""),1003.0)</f>
        <v>1003</v>
      </c>
      <c r="U171" s="329">
        <f>IFERROR(__xludf.DUMMYFUNCTION("""COMPUTED_VALUE"""),175.0)</f>
        <v>175</v>
      </c>
      <c r="V171" s="329">
        <f>IFERROR(__xludf.DUMMYFUNCTION("""COMPUTED_VALUE"""),176.0)</f>
        <v>176</v>
      </c>
      <c r="W171" s="329">
        <f>IFERROR(__xludf.DUMMYFUNCTION("""COMPUTED_VALUE"""),27.0)</f>
        <v>27</v>
      </c>
      <c r="X171" s="329">
        <f>IFERROR(__xludf.DUMMYFUNCTION("""COMPUTED_VALUE"""),18.0)</f>
        <v>18</v>
      </c>
      <c r="Y171" s="329">
        <f>IFERROR(__xludf.DUMMYFUNCTION("""COMPUTED_VALUE"""),3.0)</f>
        <v>3</v>
      </c>
      <c r="Z171" s="329">
        <f>IFERROR(__xludf.DUMMYFUNCTION("""COMPUTED_VALUE"""),2546.0)</f>
        <v>2546</v>
      </c>
      <c r="AA171" s="329">
        <f>IFERROR(__xludf.DUMMYFUNCTION("""COMPUTED_VALUE"""),2518.0)</f>
        <v>2518</v>
      </c>
      <c r="AB171" s="329">
        <f>IFERROR(__xludf.DUMMYFUNCTION("""COMPUTED_VALUE"""),1352.0)</f>
        <v>1352</v>
      </c>
      <c r="AC171" s="329">
        <f>IFERROR(__xludf.DUMMYFUNCTION("""COMPUTED_VALUE"""),3870.0)</f>
        <v>3870</v>
      </c>
      <c r="AD171" s="329">
        <f>IFERROR(__xludf.DUMMYFUNCTION("""COMPUTED_VALUE"""),273098.0)</f>
        <v>273098</v>
      </c>
      <c r="AE171" s="329">
        <f>IFERROR(__xludf.DUMMYFUNCTION("""COMPUTED_VALUE"""),2518.0)</f>
        <v>2518</v>
      </c>
      <c r="AF171" s="329">
        <f>IFERROR(__xludf.DUMMYFUNCTION("""COMPUTED_VALUE"""),193917.0)</f>
        <v>193917</v>
      </c>
      <c r="AG171" s="329">
        <f>IFERROR(__xludf.DUMMYFUNCTION("""COMPUTED_VALUE"""),1352.0)</f>
        <v>1352</v>
      </c>
      <c r="AH171" s="329">
        <f>IFERROR(__xludf.DUMMYFUNCTION("""COMPUTED_VALUE"""),79181.0)</f>
        <v>79181</v>
      </c>
    </row>
    <row r="172">
      <c r="A172" s="328">
        <f>IFERROR(__xludf.DUMMYFUNCTION("""COMPUTED_VALUE"""),44256.0)</f>
        <v>44256</v>
      </c>
      <c r="B172" s="329">
        <f>IFERROR(__xludf.DUMMYFUNCTION("""COMPUTED_VALUE"""),360.0)</f>
        <v>360</v>
      </c>
      <c r="C172" s="329">
        <f>IFERROR(__xludf.DUMMYFUNCTION("""COMPUTED_VALUE"""),312.0)</f>
        <v>312</v>
      </c>
      <c r="D172" s="329">
        <f>IFERROR(__xludf.DUMMYFUNCTION("""COMPUTED_VALUE"""),151162.0)</f>
        <v>151162</v>
      </c>
      <c r="E172" s="329">
        <f>IFERROR(__xludf.DUMMYFUNCTION("""COMPUTED_VALUE"""),11468.0)</f>
        <v>11468</v>
      </c>
      <c r="F172" s="329">
        <f>IFERROR(__xludf.DUMMYFUNCTION("""COMPUTED_VALUE"""),2874157.0)</f>
        <v>2874157</v>
      </c>
      <c r="G172" s="329">
        <f>IFERROR(__xludf.DUMMYFUNCTION("""COMPUTED_VALUE"""),11828.0)</f>
        <v>11828</v>
      </c>
      <c r="H172" s="329">
        <f>IFERROR(__xludf.DUMMYFUNCTION("""COMPUTED_VALUE"""),3025319.0)</f>
        <v>3025319</v>
      </c>
      <c r="I172" s="329">
        <f>IFERROR(__xludf.DUMMYFUNCTION("""COMPUTED_VALUE"""),311.0)</f>
        <v>311</v>
      </c>
      <c r="J172" s="329">
        <f>IFERROR(__xludf.DUMMYFUNCTION("""COMPUTED_VALUE"""),276.0)</f>
        <v>276</v>
      </c>
      <c r="K172" s="329">
        <f>IFERROR(__xludf.DUMMYFUNCTION("""COMPUTED_VALUE"""),126843.0)</f>
        <v>126843</v>
      </c>
      <c r="L172" s="329">
        <f>IFERROR(__xludf.DUMMYFUNCTION("""COMPUTED_VALUE"""),1385.0)</f>
        <v>1385</v>
      </c>
      <c r="M172" s="329">
        <f>IFERROR(__xludf.DUMMYFUNCTION("""COMPUTED_VALUE"""),664319.0)</f>
        <v>664319</v>
      </c>
      <c r="N172" s="329">
        <f>IFERROR(__xludf.DUMMYFUNCTION("""COMPUTED_VALUE"""),791162.0)</f>
        <v>791162</v>
      </c>
      <c r="O172" s="329">
        <f>IFERROR(__xludf.DUMMYFUNCTION("""COMPUTED_VALUE"""),14.0)</f>
        <v>14</v>
      </c>
      <c r="P172" s="329">
        <f>IFERROR(__xludf.DUMMYFUNCTION("""COMPUTED_VALUE"""),8967.0)</f>
        <v>8967</v>
      </c>
      <c r="Q172" s="329">
        <f>IFERROR(__xludf.DUMMYFUNCTION("""COMPUTED_VALUE"""),21.0)</f>
        <v>21</v>
      </c>
      <c r="R172" s="329">
        <f>IFERROR(__xludf.DUMMYFUNCTION("""COMPUTED_VALUE"""),7796.0)</f>
        <v>7796</v>
      </c>
      <c r="S172" s="329">
        <f>IFERROR(__xludf.DUMMYFUNCTION("""COMPUTED_VALUE"""),4.0)</f>
        <v>4</v>
      </c>
      <c r="T172" s="329">
        <f>IFERROR(__xludf.DUMMYFUNCTION("""COMPUTED_VALUE"""),1007.0)</f>
        <v>1007</v>
      </c>
      <c r="U172" s="329">
        <f>IFERROR(__xludf.DUMMYFUNCTION("""COMPUTED_VALUE"""),164.0)</f>
        <v>164</v>
      </c>
      <c r="V172" s="329">
        <f>IFERROR(__xludf.DUMMYFUNCTION("""COMPUTED_VALUE"""),172.0)</f>
        <v>172</v>
      </c>
      <c r="W172" s="329">
        <f>IFERROR(__xludf.DUMMYFUNCTION("""COMPUTED_VALUE"""),26.0)</f>
        <v>26</v>
      </c>
      <c r="X172" s="329">
        <f>IFERROR(__xludf.DUMMYFUNCTION("""COMPUTED_VALUE"""),16.0)</f>
        <v>16</v>
      </c>
      <c r="Y172" s="329">
        <f>IFERROR(__xludf.DUMMYFUNCTION("""COMPUTED_VALUE"""),6.0)</f>
        <v>6</v>
      </c>
      <c r="Z172" s="329">
        <f>IFERROR(__xludf.DUMMYFUNCTION("""COMPUTED_VALUE"""),2552.0)</f>
        <v>2552</v>
      </c>
      <c r="AA172" s="329">
        <f>IFERROR(__xludf.DUMMYFUNCTION("""COMPUTED_VALUE"""),4816.0)</f>
        <v>4816</v>
      </c>
      <c r="AB172" s="329">
        <f>IFERROR(__xludf.DUMMYFUNCTION("""COMPUTED_VALUE"""),1484.0)</f>
        <v>1484</v>
      </c>
      <c r="AC172" s="329">
        <f>IFERROR(__xludf.DUMMYFUNCTION("""COMPUTED_VALUE"""),6300.0)</f>
        <v>6300</v>
      </c>
      <c r="AD172" s="329">
        <f>IFERROR(__xludf.DUMMYFUNCTION("""COMPUTED_VALUE"""),279398.0)</f>
        <v>279398</v>
      </c>
      <c r="AE172" s="329">
        <f>IFERROR(__xludf.DUMMYFUNCTION("""COMPUTED_VALUE"""),4816.0)</f>
        <v>4816</v>
      </c>
      <c r="AF172" s="329">
        <f>IFERROR(__xludf.DUMMYFUNCTION("""COMPUTED_VALUE"""),198733.0)</f>
        <v>198733</v>
      </c>
      <c r="AG172" s="329">
        <f>IFERROR(__xludf.DUMMYFUNCTION("""COMPUTED_VALUE"""),1484.0)</f>
        <v>1484</v>
      </c>
      <c r="AH172" s="329">
        <f>IFERROR(__xludf.DUMMYFUNCTION("""COMPUTED_VALUE"""),80665.0)</f>
        <v>80665</v>
      </c>
    </row>
    <row r="173">
      <c r="A173" s="328">
        <f>IFERROR(__xludf.DUMMYFUNCTION("""COMPUTED_VALUE"""),44257.0)</f>
        <v>44257</v>
      </c>
      <c r="B173" s="329">
        <f>IFERROR(__xludf.DUMMYFUNCTION("""COMPUTED_VALUE"""),481.0)</f>
        <v>481</v>
      </c>
      <c r="C173" s="329">
        <f>IFERROR(__xludf.DUMMYFUNCTION("""COMPUTED_VALUE"""),345.0)</f>
        <v>345</v>
      </c>
      <c r="D173" s="329">
        <f>IFERROR(__xludf.DUMMYFUNCTION("""COMPUTED_VALUE"""),151643.0)</f>
        <v>151643</v>
      </c>
      <c r="E173" s="329">
        <f>IFERROR(__xludf.DUMMYFUNCTION("""COMPUTED_VALUE"""),20959.0)</f>
        <v>20959</v>
      </c>
      <c r="F173" s="329">
        <f>IFERROR(__xludf.DUMMYFUNCTION("""COMPUTED_VALUE"""),2895116.0)</f>
        <v>2895116</v>
      </c>
      <c r="G173" s="329">
        <f>IFERROR(__xludf.DUMMYFUNCTION("""COMPUTED_VALUE"""),21440.0)</f>
        <v>21440</v>
      </c>
      <c r="H173" s="329">
        <f>IFERROR(__xludf.DUMMYFUNCTION("""COMPUTED_VALUE"""),3046759.0)</f>
        <v>3046759</v>
      </c>
      <c r="I173" s="329">
        <f>IFERROR(__xludf.DUMMYFUNCTION("""COMPUTED_VALUE"""),452.0)</f>
        <v>452</v>
      </c>
      <c r="J173" s="329">
        <f>IFERROR(__xludf.DUMMYFUNCTION("""COMPUTED_VALUE"""),311.0)</f>
        <v>311</v>
      </c>
      <c r="K173" s="329">
        <f>IFERROR(__xludf.DUMMYFUNCTION("""COMPUTED_VALUE"""),127295.0)</f>
        <v>127295</v>
      </c>
      <c r="L173" s="329">
        <f>IFERROR(__xludf.DUMMYFUNCTION("""COMPUTED_VALUE"""),1704.0)</f>
        <v>1704</v>
      </c>
      <c r="M173" s="329">
        <f>IFERROR(__xludf.DUMMYFUNCTION("""COMPUTED_VALUE"""),666023.0)</f>
        <v>666023</v>
      </c>
      <c r="N173" s="329">
        <f>IFERROR(__xludf.DUMMYFUNCTION("""COMPUTED_VALUE"""),793318.0)</f>
        <v>793318</v>
      </c>
      <c r="O173" s="329">
        <f>IFERROR(__xludf.DUMMYFUNCTION("""COMPUTED_VALUE"""),23.0)</f>
        <v>23</v>
      </c>
      <c r="P173" s="329">
        <f>IFERROR(__xludf.DUMMYFUNCTION("""COMPUTED_VALUE"""),8990.0)</f>
        <v>8990</v>
      </c>
      <c r="Q173" s="329">
        <f>IFERROR(__xludf.DUMMYFUNCTION("""COMPUTED_VALUE"""),23.0)</f>
        <v>23</v>
      </c>
      <c r="R173" s="329">
        <f>IFERROR(__xludf.DUMMYFUNCTION("""COMPUTED_VALUE"""),7819.0)</f>
        <v>7819</v>
      </c>
      <c r="S173" s="329">
        <f>IFERROR(__xludf.DUMMYFUNCTION("""COMPUTED_VALUE"""),0.0)</f>
        <v>0</v>
      </c>
      <c r="T173" s="329">
        <f>IFERROR(__xludf.DUMMYFUNCTION("""COMPUTED_VALUE"""),1007.0)</f>
        <v>1007</v>
      </c>
      <c r="U173" s="329">
        <f>IFERROR(__xludf.DUMMYFUNCTION("""COMPUTED_VALUE"""),164.0)</f>
        <v>164</v>
      </c>
      <c r="V173" s="329">
        <f>IFERROR(__xludf.DUMMYFUNCTION("""COMPUTED_VALUE"""),168.0)</f>
        <v>168</v>
      </c>
      <c r="W173" s="329">
        <f>IFERROR(__xludf.DUMMYFUNCTION("""COMPUTED_VALUE"""),27.0)</f>
        <v>27</v>
      </c>
      <c r="X173" s="329">
        <f>IFERROR(__xludf.DUMMYFUNCTION("""COMPUTED_VALUE"""),18.0)</f>
        <v>18</v>
      </c>
      <c r="Y173" s="329">
        <f>IFERROR(__xludf.DUMMYFUNCTION("""COMPUTED_VALUE"""),0.0)</f>
        <v>0</v>
      </c>
      <c r="Z173" s="329">
        <f>IFERROR(__xludf.DUMMYFUNCTION("""COMPUTED_VALUE"""),2552.0)</f>
        <v>2552</v>
      </c>
      <c r="AA173" s="329">
        <f>IFERROR(__xludf.DUMMYFUNCTION("""COMPUTED_VALUE"""),6219.0)</f>
        <v>6219</v>
      </c>
      <c r="AB173" s="329">
        <f>IFERROR(__xludf.DUMMYFUNCTION("""COMPUTED_VALUE"""),1361.0)</f>
        <v>1361</v>
      </c>
      <c r="AC173" s="329">
        <f>IFERROR(__xludf.DUMMYFUNCTION("""COMPUTED_VALUE"""),7580.0)</f>
        <v>7580</v>
      </c>
      <c r="AD173" s="329">
        <f>IFERROR(__xludf.DUMMYFUNCTION("""COMPUTED_VALUE"""),286978.0)</f>
        <v>286978</v>
      </c>
      <c r="AE173" s="329">
        <f>IFERROR(__xludf.DUMMYFUNCTION("""COMPUTED_VALUE"""),6219.0)</f>
        <v>6219</v>
      </c>
      <c r="AF173" s="329">
        <f>IFERROR(__xludf.DUMMYFUNCTION("""COMPUTED_VALUE"""),204952.0)</f>
        <v>204952</v>
      </c>
      <c r="AG173" s="329">
        <f>IFERROR(__xludf.DUMMYFUNCTION("""COMPUTED_VALUE"""),1361.0)</f>
        <v>1361</v>
      </c>
      <c r="AH173" s="329">
        <f>IFERROR(__xludf.DUMMYFUNCTION("""COMPUTED_VALUE"""),82026.0)</f>
        <v>82026</v>
      </c>
    </row>
    <row r="174">
      <c r="A174" s="328">
        <f>IFERROR(__xludf.DUMMYFUNCTION("""COMPUTED_VALUE"""),44258.0)</f>
        <v>44258</v>
      </c>
      <c r="B174" s="329">
        <f>IFERROR(__xludf.DUMMYFUNCTION("""COMPUTED_VALUE"""),474.0)</f>
        <v>474</v>
      </c>
      <c r="C174" s="329">
        <f>IFERROR(__xludf.DUMMYFUNCTION("""COMPUTED_VALUE"""),438.0)</f>
        <v>438</v>
      </c>
      <c r="D174" s="329">
        <f>IFERROR(__xludf.DUMMYFUNCTION("""COMPUTED_VALUE"""),152117.0)</f>
        <v>152117</v>
      </c>
      <c r="E174" s="329">
        <f>IFERROR(__xludf.DUMMYFUNCTION("""COMPUTED_VALUE"""),24228.0)</f>
        <v>24228</v>
      </c>
      <c r="F174" s="329">
        <f>IFERROR(__xludf.DUMMYFUNCTION("""COMPUTED_VALUE"""),2919344.0)</f>
        <v>2919344</v>
      </c>
      <c r="G174" s="329">
        <f>IFERROR(__xludf.DUMMYFUNCTION("""COMPUTED_VALUE"""),24702.0)</f>
        <v>24702</v>
      </c>
      <c r="H174" s="329">
        <f>IFERROR(__xludf.DUMMYFUNCTION("""COMPUTED_VALUE"""),3071461.0)</f>
        <v>3071461</v>
      </c>
      <c r="I174" s="329">
        <f>IFERROR(__xludf.DUMMYFUNCTION("""COMPUTED_VALUE"""),422.0)</f>
        <v>422</v>
      </c>
      <c r="J174" s="329">
        <f>IFERROR(__xludf.DUMMYFUNCTION("""COMPUTED_VALUE"""),395.0)</f>
        <v>395</v>
      </c>
      <c r="K174" s="329">
        <f>IFERROR(__xludf.DUMMYFUNCTION("""COMPUTED_VALUE"""),127717.0)</f>
        <v>127717</v>
      </c>
      <c r="L174" s="329">
        <f>IFERROR(__xludf.DUMMYFUNCTION("""COMPUTED_VALUE"""),1828.0)</f>
        <v>1828</v>
      </c>
      <c r="M174" s="329">
        <f>IFERROR(__xludf.DUMMYFUNCTION("""COMPUTED_VALUE"""),667851.0)</f>
        <v>667851</v>
      </c>
      <c r="N174" s="329">
        <f>IFERROR(__xludf.DUMMYFUNCTION("""COMPUTED_VALUE"""),795568.0)</f>
        <v>795568</v>
      </c>
      <c r="O174" s="329">
        <f>IFERROR(__xludf.DUMMYFUNCTION("""COMPUTED_VALUE"""),16.0)</f>
        <v>16</v>
      </c>
      <c r="P174" s="329">
        <f>IFERROR(__xludf.DUMMYFUNCTION("""COMPUTED_VALUE"""),9006.0)</f>
        <v>9006</v>
      </c>
      <c r="Q174" s="329">
        <f>IFERROR(__xludf.DUMMYFUNCTION("""COMPUTED_VALUE"""),23.0)</f>
        <v>23</v>
      </c>
      <c r="R174" s="329">
        <f>IFERROR(__xludf.DUMMYFUNCTION("""COMPUTED_VALUE"""),7842.0)</f>
        <v>7842</v>
      </c>
      <c r="S174" s="329">
        <f>IFERROR(__xludf.DUMMYFUNCTION("""COMPUTED_VALUE"""),2.0)</f>
        <v>2</v>
      </c>
      <c r="T174" s="329">
        <f>IFERROR(__xludf.DUMMYFUNCTION("""COMPUTED_VALUE"""),1009.0)</f>
        <v>1009</v>
      </c>
      <c r="U174" s="329">
        <f>IFERROR(__xludf.DUMMYFUNCTION("""COMPUTED_VALUE"""),155.0)</f>
        <v>155</v>
      </c>
      <c r="V174" s="329">
        <f>IFERROR(__xludf.DUMMYFUNCTION("""COMPUTED_VALUE"""),161.0)</f>
        <v>161</v>
      </c>
      <c r="W174" s="329">
        <f>IFERROR(__xludf.DUMMYFUNCTION("""COMPUTED_VALUE"""),28.0)</f>
        <v>28</v>
      </c>
      <c r="X174" s="329">
        <f>IFERROR(__xludf.DUMMYFUNCTION("""COMPUTED_VALUE"""),17.0)</f>
        <v>17</v>
      </c>
      <c r="Y174" s="329">
        <f>IFERROR(__xludf.DUMMYFUNCTION("""COMPUTED_VALUE"""),3.0)</f>
        <v>3</v>
      </c>
      <c r="Z174" s="329">
        <f>IFERROR(__xludf.DUMMYFUNCTION("""COMPUTED_VALUE"""),2555.0)</f>
        <v>2555</v>
      </c>
      <c r="AA174" s="329">
        <f>IFERROR(__xludf.DUMMYFUNCTION("""COMPUTED_VALUE"""),7629.0)</f>
        <v>7629</v>
      </c>
      <c r="AB174" s="329">
        <f>IFERROR(__xludf.DUMMYFUNCTION("""COMPUTED_VALUE"""),3151.0)</f>
        <v>3151</v>
      </c>
      <c r="AC174" s="329">
        <f>IFERROR(__xludf.DUMMYFUNCTION("""COMPUTED_VALUE"""),10780.0)</f>
        <v>10780</v>
      </c>
      <c r="AD174" s="329">
        <f>IFERROR(__xludf.DUMMYFUNCTION("""COMPUTED_VALUE"""),297758.0)</f>
        <v>297758</v>
      </c>
      <c r="AE174" s="329">
        <f>IFERROR(__xludf.DUMMYFUNCTION("""COMPUTED_VALUE"""),7629.0)</f>
        <v>7629</v>
      </c>
      <c r="AF174" s="329">
        <f>IFERROR(__xludf.DUMMYFUNCTION("""COMPUTED_VALUE"""),212581.0)</f>
        <v>212581</v>
      </c>
      <c r="AG174" s="329">
        <f>IFERROR(__xludf.DUMMYFUNCTION("""COMPUTED_VALUE"""),3151.0)</f>
        <v>3151</v>
      </c>
      <c r="AH174" s="329">
        <f>IFERROR(__xludf.DUMMYFUNCTION("""COMPUTED_VALUE"""),85177.0)</f>
        <v>85177</v>
      </c>
    </row>
    <row r="175">
      <c r="A175" s="328">
        <f>IFERROR(__xludf.DUMMYFUNCTION("""COMPUTED_VALUE"""),44259.0)</f>
        <v>44259</v>
      </c>
      <c r="B175" s="329">
        <f>IFERROR(__xludf.DUMMYFUNCTION("""COMPUTED_VALUE"""),429.0)</f>
        <v>429</v>
      </c>
      <c r="C175" s="329">
        <f>IFERROR(__xludf.DUMMYFUNCTION("""COMPUTED_VALUE"""),461.0)</f>
        <v>461</v>
      </c>
      <c r="D175" s="329">
        <f>IFERROR(__xludf.DUMMYFUNCTION("""COMPUTED_VALUE"""),152546.0)</f>
        <v>152546</v>
      </c>
      <c r="E175" s="329">
        <f>IFERROR(__xludf.DUMMYFUNCTION("""COMPUTED_VALUE"""),20740.0)</f>
        <v>20740</v>
      </c>
      <c r="F175" s="329">
        <f>IFERROR(__xludf.DUMMYFUNCTION("""COMPUTED_VALUE"""),2940084.0)</f>
        <v>2940084</v>
      </c>
      <c r="G175" s="329">
        <f>IFERROR(__xludf.DUMMYFUNCTION("""COMPUTED_VALUE"""),21169.0)</f>
        <v>21169</v>
      </c>
      <c r="H175" s="329">
        <f>IFERROR(__xludf.DUMMYFUNCTION("""COMPUTED_VALUE"""),3092630.0)</f>
        <v>3092630</v>
      </c>
      <c r="I175" s="329">
        <f>IFERROR(__xludf.DUMMYFUNCTION("""COMPUTED_VALUE"""),381.0)</f>
        <v>381</v>
      </c>
      <c r="J175" s="329">
        <f>IFERROR(__xludf.DUMMYFUNCTION("""COMPUTED_VALUE"""),418.0)</f>
        <v>418</v>
      </c>
      <c r="K175" s="329">
        <f>IFERROR(__xludf.DUMMYFUNCTION("""COMPUTED_VALUE"""),128098.0)</f>
        <v>128098</v>
      </c>
      <c r="L175" s="329">
        <f>IFERROR(__xludf.DUMMYFUNCTION("""COMPUTED_VALUE"""),1722.0)</f>
        <v>1722</v>
      </c>
      <c r="M175" s="329">
        <f>IFERROR(__xludf.DUMMYFUNCTION("""COMPUTED_VALUE"""),669573.0)</f>
        <v>669573</v>
      </c>
      <c r="N175" s="329">
        <f>IFERROR(__xludf.DUMMYFUNCTION("""COMPUTED_VALUE"""),797671.0)</f>
        <v>797671</v>
      </c>
      <c r="O175" s="329">
        <f>IFERROR(__xludf.DUMMYFUNCTION("""COMPUTED_VALUE"""),22.0)</f>
        <v>22</v>
      </c>
      <c r="P175" s="329">
        <f>IFERROR(__xludf.DUMMYFUNCTION("""COMPUTED_VALUE"""),9028.0)</f>
        <v>9028</v>
      </c>
      <c r="Q175" s="329">
        <f>IFERROR(__xludf.DUMMYFUNCTION("""COMPUTED_VALUE"""),28.0)</f>
        <v>28</v>
      </c>
      <c r="R175" s="329">
        <f>IFERROR(__xludf.DUMMYFUNCTION("""COMPUTED_VALUE"""),7870.0)</f>
        <v>7870</v>
      </c>
      <c r="S175" s="329">
        <f>IFERROR(__xludf.DUMMYFUNCTION("""COMPUTED_VALUE"""),2.0)</f>
        <v>2</v>
      </c>
      <c r="T175" s="329">
        <f>IFERROR(__xludf.DUMMYFUNCTION("""COMPUTED_VALUE"""),1011.0)</f>
        <v>1011</v>
      </c>
      <c r="U175" s="329">
        <f>IFERROR(__xludf.DUMMYFUNCTION("""COMPUTED_VALUE"""),147.0)</f>
        <v>147</v>
      </c>
      <c r="V175" s="329">
        <f>IFERROR(__xludf.DUMMYFUNCTION("""COMPUTED_VALUE"""),155.0)</f>
        <v>155</v>
      </c>
      <c r="W175" s="329">
        <f>IFERROR(__xludf.DUMMYFUNCTION("""COMPUTED_VALUE"""),26.0)</f>
        <v>26</v>
      </c>
      <c r="X175" s="329">
        <f>IFERROR(__xludf.DUMMYFUNCTION("""COMPUTED_VALUE"""),17.0)</f>
        <v>17</v>
      </c>
      <c r="Y175" s="329">
        <f>IFERROR(__xludf.DUMMYFUNCTION("""COMPUTED_VALUE"""),2.0)</f>
        <v>2</v>
      </c>
      <c r="Z175" s="329">
        <f>IFERROR(__xludf.DUMMYFUNCTION("""COMPUTED_VALUE"""),2557.0)</f>
        <v>2557</v>
      </c>
      <c r="AA175" s="329">
        <f>IFERROR(__xludf.DUMMYFUNCTION("""COMPUTED_VALUE"""),6757.0)</f>
        <v>6757</v>
      </c>
      <c r="AB175" s="329">
        <f>IFERROR(__xludf.DUMMYFUNCTION("""COMPUTED_VALUE"""),2828.0)</f>
        <v>2828</v>
      </c>
      <c r="AC175" s="329">
        <f>IFERROR(__xludf.DUMMYFUNCTION("""COMPUTED_VALUE"""),9585.0)</f>
        <v>9585</v>
      </c>
      <c r="AD175" s="329">
        <f>IFERROR(__xludf.DUMMYFUNCTION("""COMPUTED_VALUE"""),307343.0)</f>
        <v>307343</v>
      </c>
      <c r="AE175" s="329">
        <f>IFERROR(__xludf.DUMMYFUNCTION("""COMPUTED_VALUE"""),6757.0)</f>
        <v>6757</v>
      </c>
      <c r="AF175" s="329">
        <f>IFERROR(__xludf.DUMMYFUNCTION("""COMPUTED_VALUE"""),219338.0)</f>
        <v>219338</v>
      </c>
      <c r="AG175" s="329">
        <f>IFERROR(__xludf.DUMMYFUNCTION("""COMPUTED_VALUE"""),2828.0)</f>
        <v>2828</v>
      </c>
      <c r="AH175" s="329">
        <f>IFERROR(__xludf.DUMMYFUNCTION("""COMPUTED_VALUE"""),88005.0)</f>
        <v>88005</v>
      </c>
    </row>
    <row r="176">
      <c r="A176" s="328">
        <f>IFERROR(__xludf.DUMMYFUNCTION("""COMPUTED_VALUE"""),44260.0)</f>
        <v>44260</v>
      </c>
      <c r="B176" s="329">
        <f>IFERROR(__xludf.DUMMYFUNCTION("""COMPUTED_VALUE"""),424.0)</f>
        <v>424</v>
      </c>
      <c r="C176" s="329">
        <f>IFERROR(__xludf.DUMMYFUNCTION("""COMPUTED_VALUE"""),442.0)</f>
        <v>442</v>
      </c>
      <c r="D176" s="329">
        <f>IFERROR(__xludf.DUMMYFUNCTION("""COMPUTED_VALUE"""),152970.0)</f>
        <v>152970</v>
      </c>
      <c r="E176" s="329">
        <f>IFERROR(__xludf.DUMMYFUNCTION("""COMPUTED_VALUE"""),18659.0)</f>
        <v>18659</v>
      </c>
      <c r="F176" s="329">
        <f>IFERROR(__xludf.DUMMYFUNCTION("""COMPUTED_VALUE"""),2958743.0)</f>
        <v>2958743</v>
      </c>
      <c r="G176" s="329">
        <f>IFERROR(__xludf.DUMMYFUNCTION("""COMPUTED_VALUE"""),19083.0)</f>
        <v>19083</v>
      </c>
      <c r="H176" s="329">
        <f>IFERROR(__xludf.DUMMYFUNCTION("""COMPUTED_VALUE"""),3111713.0)</f>
        <v>3111713</v>
      </c>
      <c r="I176" s="329">
        <f>IFERROR(__xludf.DUMMYFUNCTION("""COMPUTED_VALUE"""),364.0)</f>
        <v>364</v>
      </c>
      <c r="J176" s="329">
        <f>IFERROR(__xludf.DUMMYFUNCTION("""COMPUTED_VALUE"""),389.0)</f>
        <v>389</v>
      </c>
      <c r="K176" s="329">
        <f>IFERROR(__xludf.DUMMYFUNCTION("""COMPUTED_VALUE"""),128462.0)</f>
        <v>128462</v>
      </c>
      <c r="L176" s="329">
        <f>IFERROR(__xludf.DUMMYFUNCTION("""COMPUTED_VALUE"""),1860.0)</f>
        <v>1860</v>
      </c>
      <c r="M176" s="329">
        <f>IFERROR(__xludf.DUMMYFUNCTION("""COMPUTED_VALUE"""),671433.0)</f>
        <v>671433</v>
      </c>
      <c r="N176" s="329">
        <f>IFERROR(__xludf.DUMMYFUNCTION("""COMPUTED_VALUE"""),799895.0)</f>
        <v>799895</v>
      </c>
      <c r="O176" s="329">
        <f>IFERROR(__xludf.DUMMYFUNCTION("""COMPUTED_VALUE"""),19.0)</f>
        <v>19</v>
      </c>
      <c r="P176" s="329">
        <f>IFERROR(__xludf.DUMMYFUNCTION("""COMPUTED_VALUE"""),9047.0)</f>
        <v>9047</v>
      </c>
      <c r="Q176" s="329">
        <f>IFERROR(__xludf.DUMMYFUNCTION("""COMPUTED_VALUE"""),18.0)</f>
        <v>18</v>
      </c>
      <c r="R176" s="329">
        <f>IFERROR(__xludf.DUMMYFUNCTION("""COMPUTED_VALUE"""),7888.0)</f>
        <v>7888</v>
      </c>
      <c r="S176" s="329">
        <f>IFERROR(__xludf.DUMMYFUNCTION("""COMPUTED_VALUE"""),2.0)</f>
        <v>2</v>
      </c>
      <c r="T176" s="329">
        <f>IFERROR(__xludf.DUMMYFUNCTION("""COMPUTED_VALUE"""),1013.0)</f>
        <v>1013</v>
      </c>
      <c r="U176" s="329">
        <f>IFERROR(__xludf.DUMMYFUNCTION("""COMPUTED_VALUE"""),146.0)</f>
        <v>146</v>
      </c>
      <c r="V176" s="329">
        <f>IFERROR(__xludf.DUMMYFUNCTION("""COMPUTED_VALUE"""),149.0)</f>
        <v>149</v>
      </c>
      <c r="W176" s="329">
        <f>IFERROR(__xludf.DUMMYFUNCTION("""COMPUTED_VALUE"""),25.0)</f>
        <v>25</v>
      </c>
      <c r="X176" s="329">
        <f>IFERROR(__xludf.DUMMYFUNCTION("""COMPUTED_VALUE"""),17.0)</f>
        <v>17</v>
      </c>
      <c r="Y176" s="329">
        <f>IFERROR(__xludf.DUMMYFUNCTION("""COMPUTED_VALUE"""),3.0)</f>
        <v>3</v>
      </c>
      <c r="Z176" s="329">
        <f>IFERROR(__xludf.DUMMYFUNCTION("""COMPUTED_VALUE"""),2560.0)</f>
        <v>2560</v>
      </c>
      <c r="AA176" s="329">
        <f>IFERROR(__xludf.DUMMYFUNCTION("""COMPUTED_VALUE"""),6325.0)</f>
        <v>6325</v>
      </c>
      <c r="AB176" s="329">
        <f>IFERROR(__xludf.DUMMYFUNCTION("""COMPUTED_VALUE"""),2846.0)</f>
        <v>2846</v>
      </c>
      <c r="AC176" s="329">
        <f>IFERROR(__xludf.DUMMYFUNCTION("""COMPUTED_VALUE"""),9171.0)</f>
        <v>9171</v>
      </c>
      <c r="AD176" s="329">
        <f>IFERROR(__xludf.DUMMYFUNCTION("""COMPUTED_VALUE"""),316514.0)</f>
        <v>316514</v>
      </c>
      <c r="AE176" s="329">
        <f>IFERROR(__xludf.DUMMYFUNCTION("""COMPUTED_VALUE"""),6325.0)</f>
        <v>6325</v>
      </c>
      <c r="AF176" s="329">
        <f>IFERROR(__xludf.DUMMYFUNCTION("""COMPUTED_VALUE"""),225663.0)</f>
        <v>225663</v>
      </c>
      <c r="AG176" s="329">
        <f>IFERROR(__xludf.DUMMYFUNCTION("""COMPUTED_VALUE"""),2846.0)</f>
        <v>2846</v>
      </c>
      <c r="AH176" s="329">
        <f>IFERROR(__xludf.DUMMYFUNCTION("""COMPUTED_VALUE"""),90851.0)</f>
        <v>90851</v>
      </c>
    </row>
    <row r="177">
      <c r="A177" s="328">
        <f>IFERROR(__xludf.DUMMYFUNCTION("""COMPUTED_VALUE"""),44261.0)</f>
        <v>44261</v>
      </c>
      <c r="B177" s="329">
        <f>IFERROR(__xludf.DUMMYFUNCTION("""COMPUTED_VALUE"""),299.0)</f>
        <v>299</v>
      </c>
      <c r="C177" s="329">
        <f>IFERROR(__xludf.DUMMYFUNCTION("""COMPUTED_VALUE"""),384.0)</f>
        <v>384</v>
      </c>
      <c r="D177" s="329">
        <f>IFERROR(__xludf.DUMMYFUNCTION("""COMPUTED_VALUE"""),153269.0)</f>
        <v>153269</v>
      </c>
      <c r="E177" s="329">
        <f>IFERROR(__xludf.DUMMYFUNCTION("""COMPUTED_VALUE"""),13482.0)</f>
        <v>13482</v>
      </c>
      <c r="F177" s="329">
        <f>IFERROR(__xludf.DUMMYFUNCTION("""COMPUTED_VALUE"""),2972225.0)</f>
        <v>2972225</v>
      </c>
      <c r="G177" s="329">
        <f>IFERROR(__xludf.DUMMYFUNCTION("""COMPUTED_VALUE"""),13781.0)</f>
        <v>13781</v>
      </c>
      <c r="H177" s="329">
        <f>IFERROR(__xludf.DUMMYFUNCTION("""COMPUTED_VALUE"""),3125494.0)</f>
        <v>3125494</v>
      </c>
      <c r="I177" s="329">
        <f>IFERROR(__xludf.DUMMYFUNCTION("""COMPUTED_VALUE"""),228.0)</f>
        <v>228</v>
      </c>
      <c r="J177" s="329">
        <f>IFERROR(__xludf.DUMMYFUNCTION("""COMPUTED_VALUE"""),324.0)</f>
        <v>324</v>
      </c>
      <c r="K177" s="329">
        <f>IFERROR(__xludf.DUMMYFUNCTION("""COMPUTED_VALUE"""),128690.0)</f>
        <v>128690</v>
      </c>
      <c r="L177" s="329">
        <f>IFERROR(__xludf.DUMMYFUNCTION("""COMPUTED_VALUE"""),1447.0)</f>
        <v>1447</v>
      </c>
      <c r="M177" s="329">
        <f>IFERROR(__xludf.DUMMYFUNCTION("""COMPUTED_VALUE"""),672880.0)</f>
        <v>672880</v>
      </c>
      <c r="N177" s="329">
        <f>IFERROR(__xludf.DUMMYFUNCTION("""COMPUTED_VALUE"""),801570.0)</f>
        <v>801570</v>
      </c>
      <c r="O177" s="329">
        <f>IFERROR(__xludf.DUMMYFUNCTION("""COMPUTED_VALUE"""),16.0)</f>
        <v>16</v>
      </c>
      <c r="P177" s="329">
        <f>IFERROR(__xludf.DUMMYFUNCTION("""COMPUTED_VALUE"""),9063.0)</f>
        <v>9063</v>
      </c>
      <c r="Q177" s="329">
        <f>IFERROR(__xludf.DUMMYFUNCTION("""COMPUTED_VALUE"""),16.0)</f>
        <v>16</v>
      </c>
      <c r="R177" s="329">
        <f>IFERROR(__xludf.DUMMYFUNCTION("""COMPUTED_VALUE"""),7904.0)</f>
        <v>7904</v>
      </c>
      <c r="S177" s="329">
        <f>IFERROR(__xludf.DUMMYFUNCTION("""COMPUTED_VALUE"""),1.0)</f>
        <v>1</v>
      </c>
      <c r="T177" s="329">
        <f>IFERROR(__xludf.DUMMYFUNCTION("""COMPUTED_VALUE"""),1014.0)</f>
        <v>1014</v>
      </c>
      <c r="U177" s="329">
        <f>IFERROR(__xludf.DUMMYFUNCTION("""COMPUTED_VALUE"""),145.0)</f>
        <v>145</v>
      </c>
      <c r="V177" s="329">
        <f>IFERROR(__xludf.DUMMYFUNCTION("""COMPUTED_VALUE"""),146.0)</f>
        <v>146</v>
      </c>
      <c r="W177" s="329">
        <f>IFERROR(__xludf.DUMMYFUNCTION("""COMPUTED_VALUE"""),24.0)</f>
        <v>24</v>
      </c>
      <c r="X177" s="329">
        <f>IFERROR(__xludf.DUMMYFUNCTION("""COMPUTED_VALUE"""),19.0)</f>
        <v>19</v>
      </c>
      <c r="Y177" s="329">
        <f>IFERROR(__xludf.DUMMYFUNCTION("""COMPUTED_VALUE"""),1.0)</f>
        <v>1</v>
      </c>
      <c r="Z177" s="329">
        <f>IFERROR(__xludf.DUMMYFUNCTION("""COMPUTED_VALUE"""),2561.0)</f>
        <v>2561</v>
      </c>
      <c r="AA177" s="329">
        <f>IFERROR(__xludf.DUMMYFUNCTION("""COMPUTED_VALUE"""),7791.0)</f>
        <v>7791</v>
      </c>
      <c r="AB177" s="329">
        <f>IFERROR(__xludf.DUMMYFUNCTION("""COMPUTED_VALUE"""),2380.0)</f>
        <v>2380</v>
      </c>
      <c r="AC177" s="329">
        <f>IFERROR(__xludf.DUMMYFUNCTION("""COMPUTED_VALUE"""),10171.0)</f>
        <v>10171</v>
      </c>
      <c r="AD177" s="329">
        <f>IFERROR(__xludf.DUMMYFUNCTION("""COMPUTED_VALUE"""),326685.0)</f>
        <v>326685</v>
      </c>
      <c r="AE177" s="329">
        <f>IFERROR(__xludf.DUMMYFUNCTION("""COMPUTED_VALUE"""),7791.0)</f>
        <v>7791</v>
      </c>
      <c r="AF177" s="329">
        <f>IFERROR(__xludf.DUMMYFUNCTION("""COMPUTED_VALUE"""),233454.0)</f>
        <v>233454</v>
      </c>
      <c r="AG177" s="329">
        <f>IFERROR(__xludf.DUMMYFUNCTION("""COMPUTED_VALUE"""),2771.0)</f>
        <v>2771</v>
      </c>
      <c r="AH177" s="329">
        <f>IFERROR(__xludf.DUMMYFUNCTION("""COMPUTED_VALUE"""),93622.0)</f>
        <v>93622</v>
      </c>
    </row>
    <row r="178">
      <c r="A178" s="328">
        <f>IFERROR(__xludf.DUMMYFUNCTION("""COMPUTED_VALUE"""),44262.0)</f>
        <v>44262</v>
      </c>
      <c r="B178" s="329">
        <f>IFERROR(__xludf.DUMMYFUNCTION("""COMPUTED_VALUE"""),244.0)</f>
        <v>244</v>
      </c>
      <c r="C178" s="329">
        <f>IFERROR(__xludf.DUMMYFUNCTION("""COMPUTED_VALUE"""),322.0)</f>
        <v>322</v>
      </c>
      <c r="D178" s="329">
        <f>IFERROR(__xludf.DUMMYFUNCTION("""COMPUTED_VALUE"""),153513.0)</f>
        <v>153513</v>
      </c>
      <c r="E178" s="329">
        <f>IFERROR(__xludf.DUMMYFUNCTION("""COMPUTED_VALUE"""),5098.0)</f>
        <v>5098</v>
      </c>
      <c r="F178" s="329">
        <f>IFERROR(__xludf.DUMMYFUNCTION("""COMPUTED_VALUE"""),2977323.0)</f>
        <v>2977323</v>
      </c>
      <c r="G178" s="329">
        <f>IFERROR(__xludf.DUMMYFUNCTION("""COMPUTED_VALUE"""),5342.0)</f>
        <v>5342</v>
      </c>
      <c r="H178" s="329">
        <f>IFERROR(__xludf.DUMMYFUNCTION("""COMPUTED_VALUE"""),3130836.0)</f>
        <v>3130836</v>
      </c>
      <c r="I178" s="329">
        <f>IFERROR(__xludf.DUMMYFUNCTION("""COMPUTED_VALUE"""),191.0)</f>
        <v>191</v>
      </c>
      <c r="J178" s="329">
        <f>IFERROR(__xludf.DUMMYFUNCTION("""COMPUTED_VALUE"""),261.0)</f>
        <v>261</v>
      </c>
      <c r="K178" s="329">
        <f>IFERROR(__xludf.DUMMYFUNCTION("""COMPUTED_VALUE"""),128881.0)</f>
        <v>128881</v>
      </c>
      <c r="L178" s="329">
        <f>IFERROR(__xludf.DUMMYFUNCTION("""COMPUTED_VALUE"""),678.0)</f>
        <v>678</v>
      </c>
      <c r="M178" s="329">
        <f>IFERROR(__xludf.DUMMYFUNCTION("""COMPUTED_VALUE"""),673558.0)</f>
        <v>673558</v>
      </c>
      <c r="N178" s="329">
        <f>IFERROR(__xludf.DUMMYFUNCTION("""COMPUTED_VALUE"""),802439.0)</f>
        <v>802439</v>
      </c>
      <c r="O178" s="329">
        <f>IFERROR(__xludf.DUMMYFUNCTION("""COMPUTED_VALUE"""),13.0)</f>
        <v>13</v>
      </c>
      <c r="P178" s="329">
        <f>IFERROR(__xludf.DUMMYFUNCTION("""COMPUTED_VALUE"""),9076.0)</f>
        <v>9076</v>
      </c>
      <c r="Q178" s="329">
        <f>IFERROR(__xludf.DUMMYFUNCTION("""COMPUTED_VALUE"""),6.0)</f>
        <v>6</v>
      </c>
      <c r="R178" s="329">
        <f>IFERROR(__xludf.DUMMYFUNCTION("""COMPUTED_VALUE"""),7910.0)</f>
        <v>7910</v>
      </c>
      <c r="S178" s="329">
        <f>IFERROR(__xludf.DUMMYFUNCTION("""COMPUTED_VALUE"""),0.0)</f>
        <v>0</v>
      </c>
      <c r="T178" s="329">
        <f>IFERROR(__xludf.DUMMYFUNCTION("""COMPUTED_VALUE"""),1014.0)</f>
        <v>1014</v>
      </c>
      <c r="U178" s="329">
        <f>IFERROR(__xludf.DUMMYFUNCTION("""COMPUTED_VALUE"""),152.0)</f>
        <v>152</v>
      </c>
      <c r="V178" s="329">
        <f>IFERROR(__xludf.DUMMYFUNCTION("""COMPUTED_VALUE"""),148.0)</f>
        <v>148</v>
      </c>
      <c r="W178" s="329">
        <f>IFERROR(__xludf.DUMMYFUNCTION("""COMPUTED_VALUE"""),23.0)</f>
        <v>23</v>
      </c>
      <c r="X178" s="329">
        <f>IFERROR(__xludf.DUMMYFUNCTION("""COMPUTED_VALUE"""),17.0)</f>
        <v>17</v>
      </c>
      <c r="Y178" s="329">
        <f>IFERROR(__xludf.DUMMYFUNCTION("""COMPUTED_VALUE"""),4.0)</f>
        <v>4</v>
      </c>
      <c r="Z178" s="329">
        <f>IFERROR(__xludf.DUMMYFUNCTION("""COMPUTED_VALUE"""),2565.0)</f>
        <v>2565</v>
      </c>
      <c r="AA178" s="329">
        <f>IFERROR(__xludf.DUMMYFUNCTION("""COMPUTED_VALUE"""),3030.0)</f>
        <v>3030</v>
      </c>
      <c r="AB178" s="329">
        <f>IFERROR(__xludf.DUMMYFUNCTION("""COMPUTED_VALUE"""),435.0)</f>
        <v>435</v>
      </c>
      <c r="AC178" s="329">
        <f>IFERROR(__xludf.DUMMYFUNCTION("""COMPUTED_VALUE"""),3465.0)</f>
        <v>3465</v>
      </c>
      <c r="AD178" s="329">
        <f>IFERROR(__xludf.DUMMYFUNCTION("""COMPUTED_VALUE"""),330150.0)</f>
        <v>330150</v>
      </c>
      <c r="AE178" s="329">
        <f>IFERROR(__xludf.DUMMYFUNCTION("""COMPUTED_VALUE"""),3030.0)</f>
        <v>3030</v>
      </c>
      <c r="AF178" s="329">
        <f>IFERROR(__xludf.DUMMYFUNCTION("""COMPUTED_VALUE"""),236484.0)</f>
        <v>236484</v>
      </c>
      <c r="AG178" s="329">
        <f>IFERROR(__xludf.DUMMYFUNCTION("""COMPUTED_VALUE"""),816.0)</f>
        <v>816</v>
      </c>
      <c r="AH178" s="329">
        <f>IFERROR(__xludf.DUMMYFUNCTION("""COMPUTED_VALUE"""),94438.0)</f>
        <v>94438</v>
      </c>
    </row>
    <row r="179">
      <c r="A179" s="328">
        <f>IFERROR(__xludf.DUMMYFUNCTION("""COMPUTED_VALUE"""),44263.0)</f>
        <v>44263</v>
      </c>
      <c r="B179" s="329">
        <f>IFERROR(__xludf.DUMMYFUNCTION("""COMPUTED_VALUE"""),368.0)</f>
        <v>368</v>
      </c>
      <c r="C179" s="329">
        <f>IFERROR(__xludf.DUMMYFUNCTION("""COMPUTED_VALUE"""),304.0)</f>
        <v>304</v>
      </c>
      <c r="D179" s="329">
        <f>IFERROR(__xludf.DUMMYFUNCTION("""COMPUTED_VALUE"""),153881.0)</f>
        <v>153881</v>
      </c>
      <c r="E179" s="329">
        <f>IFERROR(__xludf.DUMMYFUNCTION("""COMPUTED_VALUE"""),12282.0)</f>
        <v>12282</v>
      </c>
      <c r="F179" s="329">
        <f>IFERROR(__xludf.DUMMYFUNCTION("""COMPUTED_VALUE"""),2989605.0)</f>
        <v>2989605</v>
      </c>
      <c r="G179" s="329">
        <f>IFERROR(__xludf.DUMMYFUNCTION("""COMPUTED_VALUE"""),12650.0)</f>
        <v>12650</v>
      </c>
      <c r="H179" s="329">
        <f>IFERROR(__xludf.DUMMYFUNCTION("""COMPUTED_VALUE"""),3143486.0)</f>
        <v>3143486</v>
      </c>
      <c r="I179" s="329">
        <f>IFERROR(__xludf.DUMMYFUNCTION("""COMPUTED_VALUE"""),312.0)</f>
        <v>312</v>
      </c>
      <c r="J179" s="329">
        <f>IFERROR(__xludf.DUMMYFUNCTION("""COMPUTED_VALUE"""),244.0)</f>
        <v>244</v>
      </c>
      <c r="K179" s="329">
        <f>IFERROR(__xludf.DUMMYFUNCTION("""COMPUTED_VALUE"""),129193.0)</f>
        <v>129193</v>
      </c>
      <c r="L179" s="329">
        <f>IFERROR(__xludf.DUMMYFUNCTION("""COMPUTED_VALUE"""),1435.0)</f>
        <v>1435</v>
      </c>
      <c r="M179" s="329">
        <f>IFERROR(__xludf.DUMMYFUNCTION("""COMPUTED_VALUE"""),674993.0)</f>
        <v>674993</v>
      </c>
      <c r="N179" s="329">
        <f>IFERROR(__xludf.DUMMYFUNCTION("""COMPUTED_VALUE"""),804186.0)</f>
        <v>804186</v>
      </c>
      <c r="O179" s="329">
        <f>IFERROR(__xludf.DUMMYFUNCTION("""COMPUTED_VALUE"""),25.0)</f>
        <v>25</v>
      </c>
      <c r="P179" s="329">
        <f>IFERROR(__xludf.DUMMYFUNCTION("""COMPUTED_VALUE"""),9101.0)</f>
        <v>9101</v>
      </c>
      <c r="Q179" s="329">
        <f>IFERROR(__xludf.DUMMYFUNCTION("""COMPUTED_VALUE"""),22.0)</f>
        <v>22</v>
      </c>
      <c r="R179" s="329">
        <f>IFERROR(__xludf.DUMMYFUNCTION("""COMPUTED_VALUE"""),7932.0)</f>
        <v>7932</v>
      </c>
      <c r="S179" s="329">
        <f>IFERROR(__xludf.DUMMYFUNCTION("""COMPUTED_VALUE"""),1.0)</f>
        <v>1</v>
      </c>
      <c r="T179" s="329">
        <f>IFERROR(__xludf.DUMMYFUNCTION("""COMPUTED_VALUE"""),1015.0)</f>
        <v>1015</v>
      </c>
      <c r="U179" s="329">
        <f>IFERROR(__xludf.DUMMYFUNCTION("""COMPUTED_VALUE"""),154.0)</f>
        <v>154</v>
      </c>
      <c r="V179" s="329">
        <f>IFERROR(__xludf.DUMMYFUNCTION("""COMPUTED_VALUE"""),150.0)</f>
        <v>150</v>
      </c>
      <c r="W179" s="329">
        <f>IFERROR(__xludf.DUMMYFUNCTION("""COMPUTED_VALUE"""),24.0)</f>
        <v>24</v>
      </c>
      <c r="X179" s="329">
        <f>IFERROR(__xludf.DUMMYFUNCTION("""COMPUTED_VALUE"""),17.0)</f>
        <v>17</v>
      </c>
      <c r="Y179" s="329">
        <f>IFERROR(__xludf.DUMMYFUNCTION("""COMPUTED_VALUE"""),1.0)</f>
        <v>1</v>
      </c>
      <c r="Z179" s="329">
        <f>IFERROR(__xludf.DUMMYFUNCTION("""COMPUTED_VALUE"""),2566.0)</f>
        <v>2566</v>
      </c>
      <c r="AA179" s="329">
        <f>IFERROR(__xludf.DUMMYFUNCTION("""COMPUTED_VALUE"""),4587.0)</f>
        <v>4587</v>
      </c>
      <c r="AB179" s="329">
        <f>IFERROR(__xludf.DUMMYFUNCTION("""COMPUTED_VALUE"""),1637.0)</f>
        <v>1637</v>
      </c>
      <c r="AC179" s="329">
        <f>IFERROR(__xludf.DUMMYFUNCTION("""COMPUTED_VALUE"""),6224.0)</f>
        <v>6224</v>
      </c>
      <c r="AD179" s="329">
        <f>IFERROR(__xludf.DUMMYFUNCTION("""COMPUTED_VALUE"""),336374.0)</f>
        <v>336374</v>
      </c>
      <c r="AE179" s="329">
        <f>IFERROR(__xludf.DUMMYFUNCTION("""COMPUTED_VALUE"""),4587.0)</f>
        <v>4587</v>
      </c>
      <c r="AF179" s="329">
        <f>IFERROR(__xludf.DUMMYFUNCTION("""COMPUTED_VALUE"""),241071.0)</f>
        <v>241071</v>
      </c>
      <c r="AG179" s="329">
        <f>IFERROR(__xludf.DUMMYFUNCTION("""COMPUTED_VALUE"""),2138.0)</f>
        <v>2138</v>
      </c>
      <c r="AH179" s="329">
        <f>IFERROR(__xludf.DUMMYFUNCTION("""COMPUTED_VALUE"""),96576.0)</f>
        <v>96576</v>
      </c>
    </row>
    <row r="180">
      <c r="A180" s="328">
        <f>IFERROR(__xludf.DUMMYFUNCTION("""COMPUTED_VALUE"""),44264.0)</f>
        <v>44264</v>
      </c>
      <c r="B180" s="329">
        <f>IFERROR(__xludf.DUMMYFUNCTION("""COMPUTED_VALUE"""),427.0)</f>
        <v>427</v>
      </c>
      <c r="C180" s="329">
        <f>IFERROR(__xludf.DUMMYFUNCTION("""COMPUTED_VALUE"""),346.0)</f>
        <v>346</v>
      </c>
      <c r="D180" s="329">
        <f>IFERROR(__xludf.DUMMYFUNCTION("""COMPUTED_VALUE"""),154308.0)</f>
        <v>154308</v>
      </c>
      <c r="E180" s="329">
        <f>IFERROR(__xludf.DUMMYFUNCTION("""COMPUTED_VALUE"""),19752.0)</f>
        <v>19752</v>
      </c>
      <c r="F180" s="329">
        <f>IFERROR(__xludf.DUMMYFUNCTION("""COMPUTED_VALUE"""),3009357.0)</f>
        <v>3009357</v>
      </c>
      <c r="G180" s="329">
        <f>IFERROR(__xludf.DUMMYFUNCTION("""COMPUTED_VALUE"""),20179.0)</f>
        <v>20179</v>
      </c>
      <c r="H180" s="329">
        <f>IFERROR(__xludf.DUMMYFUNCTION("""COMPUTED_VALUE"""),3163665.0)</f>
        <v>3163665</v>
      </c>
      <c r="I180" s="329">
        <f>IFERROR(__xludf.DUMMYFUNCTION("""COMPUTED_VALUE"""),402.0)</f>
        <v>402</v>
      </c>
      <c r="J180" s="329">
        <f>IFERROR(__xludf.DUMMYFUNCTION("""COMPUTED_VALUE"""),302.0)</f>
        <v>302</v>
      </c>
      <c r="K180" s="329">
        <f>IFERROR(__xludf.DUMMYFUNCTION("""COMPUTED_VALUE"""),129595.0)</f>
        <v>129595</v>
      </c>
      <c r="L180" s="329">
        <f>IFERROR(__xludf.DUMMYFUNCTION("""COMPUTED_VALUE"""),1849.0)</f>
        <v>1849</v>
      </c>
      <c r="M180" s="329">
        <f>IFERROR(__xludf.DUMMYFUNCTION("""COMPUTED_VALUE"""),676842.0)</f>
        <v>676842</v>
      </c>
      <c r="N180" s="329">
        <f>IFERROR(__xludf.DUMMYFUNCTION("""COMPUTED_VALUE"""),806437.0)</f>
        <v>806437</v>
      </c>
      <c r="O180" s="329">
        <f>IFERROR(__xludf.DUMMYFUNCTION("""COMPUTED_VALUE"""),24.0)</f>
        <v>24</v>
      </c>
      <c r="P180" s="329">
        <f>IFERROR(__xludf.DUMMYFUNCTION("""COMPUTED_VALUE"""),9125.0)</f>
        <v>9125</v>
      </c>
      <c r="Q180" s="329">
        <f>IFERROR(__xludf.DUMMYFUNCTION("""COMPUTED_VALUE"""),24.0)</f>
        <v>24</v>
      </c>
      <c r="R180" s="329">
        <f>IFERROR(__xludf.DUMMYFUNCTION("""COMPUTED_VALUE"""),7956.0)</f>
        <v>7956</v>
      </c>
      <c r="S180" s="329">
        <f>IFERROR(__xludf.DUMMYFUNCTION("""COMPUTED_VALUE"""),2.0)</f>
        <v>2</v>
      </c>
      <c r="T180" s="329">
        <f>IFERROR(__xludf.DUMMYFUNCTION("""COMPUTED_VALUE"""),1017.0)</f>
        <v>1017</v>
      </c>
      <c r="U180" s="329">
        <f>IFERROR(__xludf.DUMMYFUNCTION("""COMPUTED_VALUE"""),152.0)</f>
        <v>152</v>
      </c>
      <c r="V180" s="329">
        <f>IFERROR(__xludf.DUMMYFUNCTION("""COMPUTED_VALUE"""),153.0)</f>
        <v>153</v>
      </c>
      <c r="W180" s="329">
        <f>IFERROR(__xludf.DUMMYFUNCTION("""COMPUTED_VALUE"""),27.0)</f>
        <v>27</v>
      </c>
      <c r="X180" s="329">
        <f>IFERROR(__xludf.DUMMYFUNCTION("""COMPUTED_VALUE"""),17.0)</f>
        <v>17</v>
      </c>
      <c r="Y180" s="329">
        <f>IFERROR(__xludf.DUMMYFUNCTION("""COMPUTED_VALUE"""),2.0)</f>
        <v>2</v>
      </c>
      <c r="Z180" s="329">
        <f>IFERROR(__xludf.DUMMYFUNCTION("""COMPUTED_VALUE"""),2568.0)</f>
        <v>2568</v>
      </c>
      <c r="AA180" s="329">
        <f>IFERROR(__xludf.DUMMYFUNCTION("""COMPUTED_VALUE"""),5136.0)</f>
        <v>5136</v>
      </c>
      <c r="AB180" s="329">
        <f>IFERROR(__xludf.DUMMYFUNCTION("""COMPUTED_VALUE"""),2471.0)</f>
        <v>2471</v>
      </c>
      <c r="AC180" s="329">
        <f>IFERROR(__xludf.DUMMYFUNCTION("""COMPUTED_VALUE"""),7607.0)</f>
        <v>7607</v>
      </c>
      <c r="AD180" s="329">
        <f>IFERROR(__xludf.DUMMYFUNCTION("""COMPUTED_VALUE"""),343981.0)</f>
        <v>343981</v>
      </c>
      <c r="AE180" s="329">
        <f>IFERROR(__xludf.DUMMYFUNCTION("""COMPUTED_VALUE"""),5136.0)</f>
        <v>5136</v>
      </c>
      <c r="AF180" s="329">
        <f>IFERROR(__xludf.DUMMYFUNCTION("""COMPUTED_VALUE"""),246207.0)</f>
        <v>246207</v>
      </c>
      <c r="AG180" s="329">
        <f>IFERROR(__xludf.DUMMYFUNCTION("""COMPUTED_VALUE"""),3259.0)</f>
        <v>3259</v>
      </c>
      <c r="AH180" s="329">
        <f>IFERROR(__xludf.DUMMYFUNCTION("""COMPUTED_VALUE"""),99835.0)</f>
        <v>99835</v>
      </c>
    </row>
    <row r="181">
      <c r="A181" s="328">
        <f>IFERROR(__xludf.DUMMYFUNCTION("""COMPUTED_VALUE"""),44265.0)</f>
        <v>44265</v>
      </c>
      <c r="B181" s="329">
        <f>IFERROR(__xludf.DUMMYFUNCTION("""COMPUTED_VALUE"""),538.0)</f>
        <v>538</v>
      </c>
      <c r="C181" s="329">
        <f>IFERROR(__xludf.DUMMYFUNCTION("""COMPUTED_VALUE"""),444.0)</f>
        <v>444</v>
      </c>
      <c r="D181" s="329">
        <f>IFERROR(__xludf.DUMMYFUNCTION("""COMPUTED_VALUE"""),154846.0)</f>
        <v>154846</v>
      </c>
      <c r="E181" s="329">
        <f>IFERROR(__xludf.DUMMYFUNCTION("""COMPUTED_VALUE"""),25658.0)</f>
        <v>25658</v>
      </c>
      <c r="F181" s="329">
        <f>IFERROR(__xludf.DUMMYFUNCTION("""COMPUTED_VALUE"""),3035015.0)</f>
        <v>3035015</v>
      </c>
      <c r="G181" s="329">
        <f>IFERROR(__xludf.DUMMYFUNCTION("""COMPUTED_VALUE"""),26196.0)</f>
        <v>26196</v>
      </c>
      <c r="H181" s="329">
        <f>IFERROR(__xludf.DUMMYFUNCTION("""COMPUTED_VALUE"""),3189861.0)</f>
        <v>3189861</v>
      </c>
      <c r="I181" s="329">
        <f>IFERROR(__xludf.DUMMYFUNCTION("""COMPUTED_VALUE"""),435.0)</f>
        <v>435</v>
      </c>
      <c r="J181" s="329">
        <f>IFERROR(__xludf.DUMMYFUNCTION("""COMPUTED_VALUE"""),383.0)</f>
        <v>383</v>
      </c>
      <c r="K181" s="329">
        <f>IFERROR(__xludf.DUMMYFUNCTION("""COMPUTED_VALUE"""),130030.0)</f>
        <v>130030</v>
      </c>
      <c r="L181" s="329">
        <f>IFERROR(__xludf.DUMMYFUNCTION("""COMPUTED_VALUE"""),2051.0)</f>
        <v>2051</v>
      </c>
      <c r="M181" s="329">
        <f>IFERROR(__xludf.DUMMYFUNCTION("""COMPUTED_VALUE"""),678893.0)</f>
        <v>678893</v>
      </c>
      <c r="N181" s="329">
        <f>IFERROR(__xludf.DUMMYFUNCTION("""COMPUTED_VALUE"""),808923.0)</f>
        <v>808923</v>
      </c>
      <c r="O181" s="329">
        <f>IFERROR(__xludf.DUMMYFUNCTION("""COMPUTED_VALUE"""),19.0)</f>
        <v>19</v>
      </c>
      <c r="P181" s="329">
        <f>IFERROR(__xludf.DUMMYFUNCTION("""COMPUTED_VALUE"""),9144.0)</f>
        <v>9144</v>
      </c>
      <c r="Q181" s="329">
        <f>IFERROR(__xludf.DUMMYFUNCTION("""COMPUTED_VALUE"""),26.0)</f>
        <v>26</v>
      </c>
      <c r="R181" s="329">
        <f>IFERROR(__xludf.DUMMYFUNCTION("""COMPUTED_VALUE"""),7982.0)</f>
        <v>7982</v>
      </c>
      <c r="S181" s="329">
        <f>IFERROR(__xludf.DUMMYFUNCTION("""COMPUTED_VALUE"""),0.0)</f>
        <v>0</v>
      </c>
      <c r="T181" s="329">
        <f>IFERROR(__xludf.DUMMYFUNCTION("""COMPUTED_VALUE"""),1017.0)</f>
        <v>1017</v>
      </c>
      <c r="U181" s="329">
        <f>IFERROR(__xludf.DUMMYFUNCTION("""COMPUTED_VALUE"""),145.0)</f>
        <v>145</v>
      </c>
      <c r="V181" s="329">
        <f>IFERROR(__xludf.DUMMYFUNCTION("""COMPUTED_VALUE"""),150.0)</f>
        <v>150</v>
      </c>
      <c r="W181" s="329">
        <f>IFERROR(__xludf.DUMMYFUNCTION("""COMPUTED_VALUE"""),25.0)</f>
        <v>25</v>
      </c>
      <c r="X181" s="329">
        <f>IFERROR(__xludf.DUMMYFUNCTION("""COMPUTED_VALUE"""),18.0)</f>
        <v>18</v>
      </c>
      <c r="Y181" s="329">
        <f>IFERROR(__xludf.DUMMYFUNCTION("""COMPUTED_VALUE"""),6.0)</f>
        <v>6</v>
      </c>
      <c r="Z181" s="329">
        <f>IFERROR(__xludf.DUMMYFUNCTION("""COMPUTED_VALUE"""),2574.0)</f>
        <v>2574</v>
      </c>
      <c r="AA181" s="329">
        <f>IFERROR(__xludf.DUMMYFUNCTION("""COMPUTED_VALUE"""),5725.0)</f>
        <v>5725</v>
      </c>
      <c r="AB181" s="329">
        <f>IFERROR(__xludf.DUMMYFUNCTION("""COMPUTED_VALUE"""),2672.0)</f>
        <v>2672</v>
      </c>
      <c r="AC181" s="329">
        <f>IFERROR(__xludf.DUMMYFUNCTION("""COMPUTED_VALUE"""),8397.0)</f>
        <v>8397</v>
      </c>
      <c r="AD181" s="329">
        <f>IFERROR(__xludf.DUMMYFUNCTION("""COMPUTED_VALUE"""),352378.0)</f>
        <v>352378</v>
      </c>
      <c r="AE181" s="329">
        <f>IFERROR(__xludf.DUMMYFUNCTION("""COMPUTED_VALUE"""),5725.0)</f>
        <v>5725</v>
      </c>
      <c r="AF181" s="329">
        <f>IFERROR(__xludf.DUMMYFUNCTION("""COMPUTED_VALUE"""),251932.0)</f>
        <v>251932</v>
      </c>
      <c r="AG181" s="329">
        <f>IFERROR(__xludf.DUMMYFUNCTION("""COMPUTED_VALUE"""),3245.0)</f>
        <v>3245</v>
      </c>
      <c r="AH181" s="329">
        <f>IFERROR(__xludf.DUMMYFUNCTION("""COMPUTED_VALUE"""),103080.0)</f>
        <v>103080</v>
      </c>
    </row>
    <row r="182">
      <c r="A182" s="328">
        <f>IFERROR(__xludf.DUMMYFUNCTION("""COMPUTED_VALUE"""),44266.0)</f>
        <v>44266</v>
      </c>
      <c r="B182" s="329">
        <f>IFERROR(__xludf.DUMMYFUNCTION("""COMPUTED_VALUE"""),415.0)</f>
        <v>415</v>
      </c>
      <c r="C182" s="329">
        <f>IFERROR(__xludf.DUMMYFUNCTION("""COMPUTED_VALUE"""),460.0)</f>
        <v>460</v>
      </c>
      <c r="D182" s="329">
        <f>IFERROR(__xludf.DUMMYFUNCTION("""COMPUTED_VALUE"""),155261.0)</f>
        <v>155261</v>
      </c>
      <c r="E182" s="329">
        <f>IFERROR(__xludf.DUMMYFUNCTION("""COMPUTED_VALUE"""),21024.0)</f>
        <v>21024</v>
      </c>
      <c r="F182" s="329">
        <f>IFERROR(__xludf.DUMMYFUNCTION("""COMPUTED_VALUE"""),3056039.0)</f>
        <v>3056039</v>
      </c>
      <c r="G182" s="329">
        <f>IFERROR(__xludf.DUMMYFUNCTION("""COMPUTED_VALUE"""),21439.0)</f>
        <v>21439</v>
      </c>
      <c r="H182" s="329">
        <f>IFERROR(__xludf.DUMMYFUNCTION("""COMPUTED_VALUE"""),3211300.0)</f>
        <v>3211300</v>
      </c>
      <c r="I182" s="329">
        <f>IFERROR(__xludf.DUMMYFUNCTION("""COMPUTED_VALUE"""),350.0)</f>
        <v>350</v>
      </c>
      <c r="J182" s="329">
        <f>IFERROR(__xludf.DUMMYFUNCTION("""COMPUTED_VALUE"""),396.0)</f>
        <v>396</v>
      </c>
      <c r="K182" s="329">
        <f>IFERROR(__xludf.DUMMYFUNCTION("""COMPUTED_VALUE"""),130380.0)</f>
        <v>130380</v>
      </c>
      <c r="L182" s="329">
        <f>IFERROR(__xludf.DUMMYFUNCTION("""COMPUTED_VALUE"""),2095.0)</f>
        <v>2095</v>
      </c>
      <c r="M182" s="329">
        <f>IFERROR(__xludf.DUMMYFUNCTION("""COMPUTED_VALUE"""),680988.0)</f>
        <v>680988</v>
      </c>
      <c r="N182" s="329">
        <f>IFERROR(__xludf.DUMMYFUNCTION("""COMPUTED_VALUE"""),811368.0)</f>
        <v>811368</v>
      </c>
      <c r="O182" s="329">
        <f>IFERROR(__xludf.DUMMYFUNCTION("""COMPUTED_VALUE"""),21.0)</f>
        <v>21</v>
      </c>
      <c r="P182" s="329">
        <f>IFERROR(__xludf.DUMMYFUNCTION("""COMPUTED_VALUE"""),9165.0)</f>
        <v>9165</v>
      </c>
      <c r="Q182" s="329">
        <f>IFERROR(__xludf.DUMMYFUNCTION("""COMPUTED_VALUE"""),14.0)</f>
        <v>14</v>
      </c>
      <c r="R182" s="329">
        <f>IFERROR(__xludf.DUMMYFUNCTION("""COMPUTED_VALUE"""),7996.0)</f>
        <v>7996</v>
      </c>
      <c r="S182" s="329">
        <f>IFERROR(__xludf.DUMMYFUNCTION("""COMPUTED_VALUE"""),3.0)</f>
        <v>3</v>
      </c>
      <c r="T182" s="329">
        <f>IFERROR(__xludf.DUMMYFUNCTION("""COMPUTED_VALUE"""),1020.0)</f>
        <v>1020</v>
      </c>
      <c r="U182" s="329">
        <f>IFERROR(__xludf.DUMMYFUNCTION("""COMPUTED_VALUE"""),149.0)</f>
        <v>149</v>
      </c>
      <c r="V182" s="329">
        <f>IFERROR(__xludf.DUMMYFUNCTION("""COMPUTED_VALUE"""),149.0)</f>
        <v>149</v>
      </c>
      <c r="W182" s="329">
        <f>IFERROR(__xludf.DUMMYFUNCTION("""COMPUTED_VALUE"""),25.0)</f>
        <v>25</v>
      </c>
      <c r="X182" s="329">
        <f>IFERROR(__xludf.DUMMYFUNCTION("""COMPUTED_VALUE"""),16.0)</f>
        <v>16</v>
      </c>
      <c r="Y182" s="329">
        <f>IFERROR(__xludf.DUMMYFUNCTION("""COMPUTED_VALUE"""),3.0)</f>
        <v>3</v>
      </c>
      <c r="Z182" s="329">
        <f>IFERROR(__xludf.DUMMYFUNCTION("""COMPUTED_VALUE"""),2577.0)</f>
        <v>2577</v>
      </c>
      <c r="AA182" s="329">
        <f>IFERROR(__xludf.DUMMYFUNCTION("""COMPUTED_VALUE"""),7253.0)</f>
        <v>7253</v>
      </c>
      <c r="AB182" s="329">
        <f>IFERROR(__xludf.DUMMYFUNCTION("""COMPUTED_VALUE"""),3105.0)</f>
        <v>3105</v>
      </c>
      <c r="AC182" s="329">
        <f>IFERROR(__xludf.DUMMYFUNCTION("""COMPUTED_VALUE"""),10358.0)</f>
        <v>10358</v>
      </c>
      <c r="AD182" s="329">
        <f>IFERROR(__xludf.DUMMYFUNCTION("""COMPUTED_VALUE"""),362736.0)</f>
        <v>362736</v>
      </c>
      <c r="AE182" s="329">
        <f>IFERROR(__xludf.DUMMYFUNCTION("""COMPUTED_VALUE"""),7253.0)</f>
        <v>7253</v>
      </c>
      <c r="AF182" s="329">
        <f>IFERROR(__xludf.DUMMYFUNCTION("""COMPUTED_VALUE"""),259185.0)</f>
        <v>259185</v>
      </c>
      <c r="AG182" s="329">
        <f>IFERROR(__xludf.DUMMYFUNCTION("""COMPUTED_VALUE"""),4590.0)</f>
        <v>4590</v>
      </c>
      <c r="AH182" s="329">
        <f>IFERROR(__xludf.DUMMYFUNCTION("""COMPUTED_VALUE"""),107670.0)</f>
        <v>107670</v>
      </c>
    </row>
    <row r="183">
      <c r="A183" s="328">
        <f>IFERROR(__xludf.DUMMYFUNCTION("""COMPUTED_VALUE"""),44267.0)</f>
        <v>44267</v>
      </c>
      <c r="B183" s="329">
        <f>IFERROR(__xludf.DUMMYFUNCTION("""COMPUTED_VALUE"""),428.0)</f>
        <v>428</v>
      </c>
      <c r="C183" s="329">
        <f>IFERROR(__xludf.DUMMYFUNCTION("""COMPUTED_VALUE"""),460.0)</f>
        <v>460</v>
      </c>
      <c r="D183" s="329">
        <f>IFERROR(__xludf.DUMMYFUNCTION("""COMPUTED_VALUE"""),155689.0)</f>
        <v>155689</v>
      </c>
      <c r="E183" s="329">
        <f>IFERROR(__xludf.DUMMYFUNCTION("""COMPUTED_VALUE"""),18121.0)</f>
        <v>18121</v>
      </c>
      <c r="F183" s="329">
        <f>IFERROR(__xludf.DUMMYFUNCTION("""COMPUTED_VALUE"""),3074160.0)</f>
        <v>3074160</v>
      </c>
      <c r="G183" s="329">
        <f>IFERROR(__xludf.DUMMYFUNCTION("""COMPUTED_VALUE"""),18549.0)</f>
        <v>18549</v>
      </c>
      <c r="H183" s="329">
        <f>IFERROR(__xludf.DUMMYFUNCTION("""COMPUTED_VALUE"""),3229849.0)</f>
        <v>3229849</v>
      </c>
      <c r="I183" s="329">
        <f>IFERROR(__xludf.DUMMYFUNCTION("""COMPUTED_VALUE"""),363.0)</f>
        <v>363</v>
      </c>
      <c r="J183" s="329">
        <f>IFERROR(__xludf.DUMMYFUNCTION("""COMPUTED_VALUE"""),383.0)</f>
        <v>383</v>
      </c>
      <c r="K183" s="329">
        <f>IFERROR(__xludf.DUMMYFUNCTION("""COMPUTED_VALUE"""),130743.0)</f>
        <v>130743</v>
      </c>
      <c r="L183" s="329">
        <f>IFERROR(__xludf.DUMMYFUNCTION("""COMPUTED_VALUE"""),1903.0)</f>
        <v>1903</v>
      </c>
      <c r="M183" s="329">
        <f>IFERROR(__xludf.DUMMYFUNCTION("""COMPUTED_VALUE"""),682891.0)</f>
        <v>682891</v>
      </c>
      <c r="N183" s="329">
        <f>IFERROR(__xludf.DUMMYFUNCTION("""COMPUTED_VALUE"""),813634.0)</f>
        <v>813634</v>
      </c>
      <c r="O183" s="329">
        <f>IFERROR(__xludf.DUMMYFUNCTION("""COMPUTED_VALUE"""),24.0)</f>
        <v>24</v>
      </c>
      <c r="P183" s="329">
        <f>IFERROR(__xludf.DUMMYFUNCTION("""COMPUTED_VALUE"""),9189.0)</f>
        <v>9189</v>
      </c>
      <c r="Q183" s="329">
        <f>IFERROR(__xludf.DUMMYFUNCTION("""COMPUTED_VALUE"""),28.0)</f>
        <v>28</v>
      </c>
      <c r="R183" s="329">
        <f>IFERROR(__xludf.DUMMYFUNCTION("""COMPUTED_VALUE"""),8024.0)</f>
        <v>8024</v>
      </c>
      <c r="S183" s="329">
        <f>IFERROR(__xludf.DUMMYFUNCTION("""COMPUTED_VALUE"""),0.0)</f>
        <v>0</v>
      </c>
      <c r="T183" s="329">
        <f>IFERROR(__xludf.DUMMYFUNCTION("""COMPUTED_VALUE"""),1020.0)</f>
        <v>1020</v>
      </c>
      <c r="U183" s="329">
        <f>IFERROR(__xludf.DUMMYFUNCTION("""COMPUTED_VALUE"""),145.0)</f>
        <v>145</v>
      </c>
      <c r="V183" s="329">
        <f>IFERROR(__xludf.DUMMYFUNCTION("""COMPUTED_VALUE"""),146.0)</f>
        <v>146</v>
      </c>
      <c r="W183" s="329">
        <f>IFERROR(__xludf.DUMMYFUNCTION("""COMPUTED_VALUE"""),24.0)</f>
        <v>24</v>
      </c>
      <c r="X183" s="329">
        <f>IFERROR(__xludf.DUMMYFUNCTION("""COMPUTED_VALUE"""),15.0)</f>
        <v>15</v>
      </c>
      <c r="Y183" s="329">
        <f>IFERROR(__xludf.DUMMYFUNCTION("""COMPUTED_VALUE"""),1.0)</f>
        <v>1</v>
      </c>
      <c r="Z183" s="329">
        <f>IFERROR(__xludf.DUMMYFUNCTION("""COMPUTED_VALUE"""),2578.0)</f>
        <v>2578</v>
      </c>
      <c r="AA183" s="329">
        <f>IFERROR(__xludf.DUMMYFUNCTION("""COMPUTED_VALUE"""),8577.0)</f>
        <v>8577</v>
      </c>
      <c r="AB183" s="329">
        <f>IFERROR(__xludf.DUMMYFUNCTION("""COMPUTED_VALUE"""),3200.0)</f>
        <v>3200</v>
      </c>
      <c r="AC183" s="329">
        <f>IFERROR(__xludf.DUMMYFUNCTION("""COMPUTED_VALUE"""),11777.0)</f>
        <v>11777</v>
      </c>
      <c r="AD183" s="329">
        <f>IFERROR(__xludf.DUMMYFUNCTION("""COMPUTED_VALUE"""),374513.0)</f>
        <v>374513</v>
      </c>
      <c r="AE183" s="329">
        <f>IFERROR(__xludf.DUMMYFUNCTION("""COMPUTED_VALUE"""),8577.0)</f>
        <v>8577</v>
      </c>
      <c r="AF183" s="329">
        <f>IFERROR(__xludf.DUMMYFUNCTION("""COMPUTED_VALUE"""),267762.0)</f>
        <v>267762</v>
      </c>
      <c r="AG183" s="329">
        <f>IFERROR(__xludf.DUMMYFUNCTION("""COMPUTED_VALUE"""),3874.0)</f>
        <v>3874</v>
      </c>
      <c r="AH183" s="329">
        <f>IFERROR(__xludf.DUMMYFUNCTION("""COMPUTED_VALUE"""),111544.0)</f>
        <v>111544</v>
      </c>
    </row>
    <row r="184">
      <c r="A184" s="328">
        <f>IFERROR(__xludf.DUMMYFUNCTION("""COMPUTED_VALUE"""),44268.0)</f>
        <v>44268</v>
      </c>
      <c r="B184" s="329">
        <f>IFERROR(__xludf.DUMMYFUNCTION("""COMPUTED_VALUE"""),357.0)</f>
        <v>357</v>
      </c>
      <c r="C184" s="329">
        <f>IFERROR(__xludf.DUMMYFUNCTION("""COMPUTED_VALUE"""),400.0)</f>
        <v>400</v>
      </c>
      <c r="D184" s="329">
        <f>IFERROR(__xludf.DUMMYFUNCTION("""COMPUTED_VALUE"""),156046.0)</f>
        <v>156046</v>
      </c>
      <c r="E184" s="329">
        <f>IFERROR(__xludf.DUMMYFUNCTION("""COMPUTED_VALUE"""),13290.0)</f>
        <v>13290</v>
      </c>
      <c r="F184" s="329">
        <f>IFERROR(__xludf.DUMMYFUNCTION("""COMPUTED_VALUE"""),3087450.0)</f>
        <v>3087450</v>
      </c>
      <c r="G184" s="329">
        <f>IFERROR(__xludf.DUMMYFUNCTION("""COMPUTED_VALUE"""),13647.0)</f>
        <v>13647</v>
      </c>
      <c r="H184" s="329">
        <f>IFERROR(__xludf.DUMMYFUNCTION("""COMPUTED_VALUE"""),3243496.0)</f>
        <v>3243496</v>
      </c>
      <c r="I184" s="329">
        <f>IFERROR(__xludf.DUMMYFUNCTION("""COMPUTED_VALUE"""),299.0)</f>
        <v>299</v>
      </c>
      <c r="J184" s="329">
        <f>IFERROR(__xludf.DUMMYFUNCTION("""COMPUTED_VALUE"""),337.0)</f>
        <v>337</v>
      </c>
      <c r="K184" s="329">
        <f>IFERROR(__xludf.DUMMYFUNCTION("""COMPUTED_VALUE"""),131042.0)</f>
        <v>131042</v>
      </c>
      <c r="L184" s="329">
        <f>IFERROR(__xludf.DUMMYFUNCTION("""COMPUTED_VALUE"""),1577.0)</f>
        <v>1577</v>
      </c>
      <c r="M184" s="329">
        <f>IFERROR(__xludf.DUMMYFUNCTION("""COMPUTED_VALUE"""),684468.0)</f>
        <v>684468</v>
      </c>
      <c r="N184" s="329">
        <f>IFERROR(__xludf.DUMMYFUNCTION("""COMPUTED_VALUE"""),815510.0)</f>
        <v>815510</v>
      </c>
      <c r="O184" s="329">
        <f>IFERROR(__xludf.DUMMYFUNCTION("""COMPUTED_VALUE"""),16.0)</f>
        <v>16</v>
      </c>
      <c r="P184" s="329">
        <f>IFERROR(__xludf.DUMMYFUNCTION("""COMPUTED_VALUE"""),9205.0)</f>
        <v>9205</v>
      </c>
      <c r="Q184" s="329">
        <f>IFERROR(__xludf.DUMMYFUNCTION("""COMPUTED_VALUE"""),13.0)</f>
        <v>13</v>
      </c>
      <c r="R184" s="329">
        <f>IFERROR(__xludf.DUMMYFUNCTION("""COMPUTED_VALUE"""),8037.0)</f>
        <v>8037</v>
      </c>
      <c r="S184" s="329">
        <f>IFERROR(__xludf.DUMMYFUNCTION("""COMPUTED_VALUE"""),3.0)</f>
        <v>3</v>
      </c>
      <c r="T184" s="329">
        <f>IFERROR(__xludf.DUMMYFUNCTION("""COMPUTED_VALUE"""),1023.0)</f>
        <v>1023</v>
      </c>
      <c r="U184" s="329">
        <f>IFERROR(__xludf.DUMMYFUNCTION("""COMPUTED_VALUE"""),145.0)</f>
        <v>145</v>
      </c>
      <c r="V184" s="329">
        <f>IFERROR(__xludf.DUMMYFUNCTION("""COMPUTED_VALUE"""),146.0)</f>
        <v>146</v>
      </c>
      <c r="W184" s="329">
        <f>IFERROR(__xludf.DUMMYFUNCTION("""COMPUTED_VALUE"""),21.0)</f>
        <v>21</v>
      </c>
      <c r="X184" s="329">
        <f>IFERROR(__xludf.DUMMYFUNCTION("""COMPUTED_VALUE"""),15.0)</f>
        <v>15</v>
      </c>
      <c r="Y184" s="329">
        <f>IFERROR(__xludf.DUMMYFUNCTION("""COMPUTED_VALUE"""),5.0)</f>
        <v>5</v>
      </c>
      <c r="Z184" s="329">
        <f>IFERROR(__xludf.DUMMYFUNCTION("""COMPUTED_VALUE"""),2583.0)</f>
        <v>2583</v>
      </c>
      <c r="AA184" s="329">
        <f>IFERROR(__xludf.DUMMYFUNCTION("""COMPUTED_VALUE"""),8831.0)</f>
        <v>8831</v>
      </c>
      <c r="AB184" s="329">
        <f>IFERROR(__xludf.DUMMYFUNCTION("""COMPUTED_VALUE"""),3087.0)</f>
        <v>3087</v>
      </c>
      <c r="AC184" s="329">
        <f>IFERROR(__xludf.DUMMYFUNCTION("""COMPUTED_VALUE"""),11918.0)</f>
        <v>11918</v>
      </c>
      <c r="AD184" s="329">
        <f>IFERROR(__xludf.DUMMYFUNCTION("""COMPUTED_VALUE"""),386431.0)</f>
        <v>386431</v>
      </c>
      <c r="AE184" s="329">
        <f>IFERROR(__xludf.DUMMYFUNCTION("""COMPUTED_VALUE"""),8831.0)</f>
        <v>8831</v>
      </c>
      <c r="AF184" s="329">
        <f>IFERROR(__xludf.DUMMYFUNCTION("""COMPUTED_VALUE"""),276593.0)</f>
        <v>276593</v>
      </c>
      <c r="AG184" s="329">
        <f>IFERROR(__xludf.DUMMYFUNCTION("""COMPUTED_VALUE"""),4804.0)</f>
        <v>4804</v>
      </c>
      <c r="AH184" s="329">
        <f>IFERROR(__xludf.DUMMYFUNCTION("""COMPUTED_VALUE"""),116348.0)</f>
        <v>116348</v>
      </c>
    </row>
    <row r="185">
      <c r="A185" s="328">
        <f>IFERROR(__xludf.DUMMYFUNCTION("""COMPUTED_VALUE"""),44269.0)</f>
        <v>44269</v>
      </c>
      <c r="B185" s="329">
        <f>IFERROR(__xludf.DUMMYFUNCTION("""COMPUTED_VALUE"""),163.0)</f>
        <v>163</v>
      </c>
      <c r="C185" s="329">
        <f>IFERROR(__xludf.DUMMYFUNCTION("""COMPUTED_VALUE"""),316.0)</f>
        <v>316</v>
      </c>
      <c r="D185" s="329">
        <f>IFERROR(__xludf.DUMMYFUNCTION("""COMPUTED_VALUE"""),156209.0)</f>
        <v>156209</v>
      </c>
      <c r="E185" s="329">
        <f>IFERROR(__xludf.DUMMYFUNCTION("""COMPUTED_VALUE"""),4459.0)</f>
        <v>4459</v>
      </c>
      <c r="F185" s="329">
        <f>IFERROR(__xludf.DUMMYFUNCTION("""COMPUTED_VALUE"""),3091909.0)</f>
        <v>3091909</v>
      </c>
      <c r="G185" s="329">
        <f>IFERROR(__xludf.DUMMYFUNCTION("""COMPUTED_VALUE"""),4622.0)</f>
        <v>4622</v>
      </c>
      <c r="H185" s="329">
        <f>IFERROR(__xludf.DUMMYFUNCTION("""COMPUTED_VALUE"""),3248118.0)</f>
        <v>3248118</v>
      </c>
      <c r="I185" s="329">
        <f>IFERROR(__xludf.DUMMYFUNCTION("""COMPUTED_VALUE"""),143.0)</f>
        <v>143</v>
      </c>
      <c r="J185" s="329">
        <f>IFERROR(__xludf.DUMMYFUNCTION("""COMPUTED_VALUE"""),268.0)</f>
        <v>268</v>
      </c>
      <c r="K185" s="329">
        <f>IFERROR(__xludf.DUMMYFUNCTION("""COMPUTED_VALUE"""),131185.0)</f>
        <v>131185</v>
      </c>
      <c r="L185" s="329">
        <f>IFERROR(__xludf.DUMMYFUNCTION("""COMPUTED_VALUE"""),654.0)</f>
        <v>654</v>
      </c>
      <c r="M185" s="329">
        <f>IFERROR(__xludf.DUMMYFUNCTION("""COMPUTED_VALUE"""),685122.0)</f>
        <v>685122</v>
      </c>
      <c r="N185" s="329">
        <f>IFERROR(__xludf.DUMMYFUNCTION("""COMPUTED_VALUE"""),816307.0)</f>
        <v>816307</v>
      </c>
      <c r="O185" s="329">
        <f>IFERROR(__xludf.DUMMYFUNCTION("""COMPUTED_VALUE"""),17.0)</f>
        <v>17</v>
      </c>
      <c r="P185" s="329">
        <f>IFERROR(__xludf.DUMMYFUNCTION("""COMPUTED_VALUE"""),9222.0)</f>
        <v>9222</v>
      </c>
      <c r="Q185" s="329">
        <f>IFERROR(__xludf.DUMMYFUNCTION("""COMPUTED_VALUE"""),18.0)</f>
        <v>18</v>
      </c>
      <c r="R185" s="329">
        <f>IFERROR(__xludf.DUMMYFUNCTION("""COMPUTED_VALUE"""),8055.0)</f>
        <v>8055</v>
      </c>
      <c r="S185" s="329">
        <f>IFERROR(__xludf.DUMMYFUNCTION("""COMPUTED_VALUE"""),1.0)</f>
        <v>1</v>
      </c>
      <c r="T185" s="329">
        <f>IFERROR(__xludf.DUMMYFUNCTION("""COMPUTED_VALUE"""),1024.0)</f>
        <v>1024</v>
      </c>
      <c r="U185" s="329">
        <f>IFERROR(__xludf.DUMMYFUNCTION("""COMPUTED_VALUE"""),143.0)</f>
        <v>143</v>
      </c>
      <c r="V185" s="329">
        <f>IFERROR(__xludf.DUMMYFUNCTION("""COMPUTED_VALUE"""),144.0)</f>
        <v>144</v>
      </c>
      <c r="W185" s="329">
        <f>IFERROR(__xludf.DUMMYFUNCTION("""COMPUTED_VALUE"""),19.0)</f>
        <v>19</v>
      </c>
      <c r="X185" s="329">
        <f>IFERROR(__xludf.DUMMYFUNCTION("""COMPUTED_VALUE"""),15.0)</f>
        <v>15</v>
      </c>
      <c r="Y185" s="329">
        <f>IFERROR(__xludf.DUMMYFUNCTION("""COMPUTED_VALUE"""),2.0)</f>
        <v>2</v>
      </c>
      <c r="Z185" s="329">
        <f>IFERROR(__xludf.DUMMYFUNCTION("""COMPUTED_VALUE"""),2585.0)</f>
        <v>2585</v>
      </c>
      <c r="AA185" s="329">
        <f>IFERROR(__xludf.DUMMYFUNCTION("""COMPUTED_VALUE"""),2629.0)</f>
        <v>2629</v>
      </c>
      <c r="AB185" s="329">
        <f>IFERROR(__xludf.DUMMYFUNCTION("""COMPUTED_VALUE"""),604.0)</f>
        <v>604</v>
      </c>
      <c r="AC185" s="329">
        <f>IFERROR(__xludf.DUMMYFUNCTION("""COMPUTED_VALUE"""),3233.0)</f>
        <v>3233</v>
      </c>
      <c r="AD185" s="329">
        <f>IFERROR(__xludf.DUMMYFUNCTION("""COMPUTED_VALUE"""),389664.0)</f>
        <v>389664</v>
      </c>
      <c r="AE185" s="329">
        <f>IFERROR(__xludf.DUMMYFUNCTION("""COMPUTED_VALUE"""),2629.0)</f>
        <v>2629</v>
      </c>
      <c r="AF185" s="329">
        <f>IFERROR(__xludf.DUMMYFUNCTION("""COMPUTED_VALUE"""),279222.0)</f>
        <v>279222</v>
      </c>
      <c r="AG185" s="329">
        <f>IFERROR(__xludf.DUMMYFUNCTION("""COMPUTED_VALUE"""),932.0)</f>
        <v>932</v>
      </c>
      <c r="AH185" s="329">
        <f>IFERROR(__xludf.DUMMYFUNCTION("""COMPUTED_VALUE"""),117280.0)</f>
        <v>117280</v>
      </c>
    </row>
    <row r="186">
      <c r="A186" s="328">
        <f>IFERROR(__xludf.DUMMYFUNCTION("""COMPUTED_VALUE"""),44270.0)</f>
        <v>44270</v>
      </c>
      <c r="B186" s="329">
        <f>IFERROR(__xludf.DUMMYFUNCTION("""COMPUTED_VALUE"""),318.0)</f>
        <v>318</v>
      </c>
      <c r="C186" s="329">
        <f>IFERROR(__xludf.DUMMYFUNCTION("""COMPUTED_VALUE"""),279.0)</f>
        <v>279</v>
      </c>
      <c r="D186" s="329">
        <f>IFERROR(__xludf.DUMMYFUNCTION("""COMPUTED_VALUE"""),156527.0)</f>
        <v>156527</v>
      </c>
      <c r="E186" s="329">
        <f>IFERROR(__xludf.DUMMYFUNCTION("""COMPUTED_VALUE"""),11034.0)</f>
        <v>11034</v>
      </c>
      <c r="F186" s="329">
        <f>IFERROR(__xludf.DUMMYFUNCTION("""COMPUTED_VALUE"""),3102943.0)</f>
        <v>3102943</v>
      </c>
      <c r="G186" s="329">
        <f>IFERROR(__xludf.DUMMYFUNCTION("""COMPUTED_VALUE"""),11352.0)</f>
        <v>11352</v>
      </c>
      <c r="H186" s="329">
        <f>IFERROR(__xludf.DUMMYFUNCTION("""COMPUTED_VALUE"""),3259470.0)</f>
        <v>3259470</v>
      </c>
      <c r="I186" s="329">
        <f>IFERROR(__xludf.DUMMYFUNCTION("""COMPUTED_VALUE"""),281.0)</f>
        <v>281</v>
      </c>
      <c r="J186" s="329">
        <f>IFERROR(__xludf.DUMMYFUNCTION("""COMPUTED_VALUE"""),241.0)</f>
        <v>241</v>
      </c>
      <c r="K186" s="329">
        <f>IFERROR(__xludf.DUMMYFUNCTION("""COMPUTED_VALUE"""),131466.0)</f>
        <v>131466</v>
      </c>
      <c r="L186" s="329">
        <f>IFERROR(__xludf.DUMMYFUNCTION("""COMPUTED_VALUE"""),1322.0)</f>
        <v>1322</v>
      </c>
      <c r="M186" s="329">
        <f>IFERROR(__xludf.DUMMYFUNCTION("""COMPUTED_VALUE"""),686444.0)</f>
        <v>686444</v>
      </c>
      <c r="N186" s="329">
        <f>IFERROR(__xludf.DUMMYFUNCTION("""COMPUTED_VALUE"""),817910.0)</f>
        <v>817910</v>
      </c>
      <c r="O186" s="329">
        <f>IFERROR(__xludf.DUMMYFUNCTION("""COMPUTED_VALUE"""),15.0)</f>
        <v>15</v>
      </c>
      <c r="P186" s="329">
        <f>IFERROR(__xludf.DUMMYFUNCTION("""COMPUTED_VALUE"""),9237.0)</f>
        <v>9237</v>
      </c>
      <c r="Q186" s="329">
        <f>IFERROR(__xludf.DUMMYFUNCTION("""COMPUTED_VALUE"""),21.0)</f>
        <v>21</v>
      </c>
      <c r="R186" s="329">
        <f>IFERROR(__xludf.DUMMYFUNCTION("""COMPUTED_VALUE"""),8076.0)</f>
        <v>8076</v>
      </c>
      <c r="S186" s="329">
        <f>IFERROR(__xludf.DUMMYFUNCTION("""COMPUTED_VALUE"""),2.0)</f>
        <v>2</v>
      </c>
      <c r="T186" s="329">
        <f>IFERROR(__xludf.DUMMYFUNCTION("""COMPUTED_VALUE"""),1026.0)</f>
        <v>1026</v>
      </c>
      <c r="U186" s="329">
        <f>IFERROR(__xludf.DUMMYFUNCTION("""COMPUTED_VALUE"""),135.0)</f>
        <v>135</v>
      </c>
      <c r="V186" s="329">
        <f>IFERROR(__xludf.DUMMYFUNCTION("""COMPUTED_VALUE"""),141.0)</f>
        <v>141</v>
      </c>
      <c r="W186" s="329">
        <f>IFERROR(__xludf.DUMMYFUNCTION("""COMPUTED_VALUE"""),16.0)</f>
        <v>16</v>
      </c>
      <c r="X186" s="329">
        <f>IFERROR(__xludf.DUMMYFUNCTION("""COMPUTED_VALUE"""),12.0)</f>
        <v>12</v>
      </c>
      <c r="Y186" s="329">
        <f>IFERROR(__xludf.DUMMYFUNCTION("""COMPUTED_VALUE"""),4.0)</f>
        <v>4</v>
      </c>
      <c r="Z186" s="329">
        <f>IFERROR(__xludf.DUMMYFUNCTION("""COMPUTED_VALUE"""),2589.0)</f>
        <v>2589</v>
      </c>
      <c r="AA186" s="329">
        <f>IFERROR(__xludf.DUMMYFUNCTION("""COMPUTED_VALUE"""),2347.0)</f>
        <v>2347</v>
      </c>
      <c r="AB186" s="329">
        <f>IFERROR(__xludf.DUMMYFUNCTION("""COMPUTED_VALUE"""),4574.0)</f>
        <v>4574</v>
      </c>
      <c r="AC186" s="329">
        <f>IFERROR(__xludf.DUMMYFUNCTION("""COMPUTED_VALUE"""),6921.0)</f>
        <v>6921</v>
      </c>
      <c r="AD186" s="329">
        <f>IFERROR(__xludf.DUMMYFUNCTION("""COMPUTED_VALUE"""),396585.0)</f>
        <v>396585</v>
      </c>
      <c r="AE186" s="329">
        <f>IFERROR(__xludf.DUMMYFUNCTION("""COMPUTED_VALUE"""),2347.0)</f>
        <v>2347</v>
      </c>
      <c r="AF186" s="329">
        <f>IFERROR(__xludf.DUMMYFUNCTION("""COMPUTED_VALUE"""),281569.0)</f>
        <v>281569</v>
      </c>
      <c r="AG186" s="329">
        <f>IFERROR(__xludf.DUMMYFUNCTION("""COMPUTED_VALUE"""),4661.0)</f>
        <v>4661</v>
      </c>
      <c r="AH186" s="329">
        <f>IFERROR(__xludf.DUMMYFUNCTION("""COMPUTED_VALUE"""),121941.0)</f>
        <v>121941</v>
      </c>
    </row>
    <row r="187">
      <c r="A187" s="328">
        <f>IFERROR(__xludf.DUMMYFUNCTION("""COMPUTED_VALUE"""),44271.0)</f>
        <v>44271</v>
      </c>
      <c r="B187" s="329">
        <f>IFERROR(__xludf.DUMMYFUNCTION("""COMPUTED_VALUE"""),509.0)</f>
        <v>509</v>
      </c>
      <c r="C187" s="329">
        <f>IFERROR(__xludf.DUMMYFUNCTION("""COMPUTED_VALUE"""),330.0)</f>
        <v>330</v>
      </c>
      <c r="D187" s="329">
        <f>IFERROR(__xludf.DUMMYFUNCTION("""COMPUTED_VALUE"""),157036.0)</f>
        <v>157036</v>
      </c>
      <c r="E187" s="329">
        <f>IFERROR(__xludf.DUMMYFUNCTION("""COMPUTED_VALUE"""),21490.0)</f>
        <v>21490</v>
      </c>
      <c r="F187" s="329">
        <f>IFERROR(__xludf.DUMMYFUNCTION("""COMPUTED_VALUE"""),3124433.0)</f>
        <v>3124433</v>
      </c>
      <c r="G187" s="329">
        <f>IFERROR(__xludf.DUMMYFUNCTION("""COMPUTED_VALUE"""),21999.0)</f>
        <v>21999</v>
      </c>
      <c r="H187" s="329">
        <f>IFERROR(__xludf.DUMMYFUNCTION("""COMPUTED_VALUE"""),3281469.0)</f>
        <v>3281469</v>
      </c>
      <c r="I187" s="329">
        <f>IFERROR(__xludf.DUMMYFUNCTION("""COMPUTED_VALUE"""),431.0)</f>
        <v>431</v>
      </c>
      <c r="J187" s="329">
        <f>IFERROR(__xludf.DUMMYFUNCTION("""COMPUTED_VALUE"""),285.0)</f>
        <v>285</v>
      </c>
      <c r="K187" s="329">
        <f>IFERROR(__xludf.DUMMYFUNCTION("""COMPUTED_VALUE"""),131897.0)</f>
        <v>131897</v>
      </c>
      <c r="L187" s="329">
        <f>IFERROR(__xludf.DUMMYFUNCTION("""COMPUTED_VALUE"""),1742.0)</f>
        <v>1742</v>
      </c>
      <c r="M187" s="329">
        <f>IFERROR(__xludf.DUMMYFUNCTION("""COMPUTED_VALUE"""),688186.0)</f>
        <v>688186</v>
      </c>
      <c r="N187" s="329">
        <f>IFERROR(__xludf.DUMMYFUNCTION("""COMPUTED_VALUE"""),820083.0)</f>
        <v>820083</v>
      </c>
      <c r="O187" s="329">
        <f>IFERROR(__xludf.DUMMYFUNCTION("""COMPUTED_VALUE"""),16.0)</f>
        <v>16</v>
      </c>
      <c r="P187" s="329">
        <f>IFERROR(__xludf.DUMMYFUNCTION("""COMPUTED_VALUE"""),9253.0)</f>
        <v>9253</v>
      </c>
      <c r="Q187" s="329">
        <f>IFERROR(__xludf.DUMMYFUNCTION("""COMPUTED_VALUE"""),16.0)</f>
        <v>16</v>
      </c>
      <c r="R187" s="329">
        <f>IFERROR(__xludf.DUMMYFUNCTION("""COMPUTED_VALUE"""),8092.0)</f>
        <v>8092</v>
      </c>
      <c r="S187" s="329">
        <f>IFERROR(__xludf.DUMMYFUNCTION("""COMPUTED_VALUE"""),3.0)</f>
        <v>3</v>
      </c>
      <c r="T187" s="329">
        <f>IFERROR(__xludf.DUMMYFUNCTION("""COMPUTED_VALUE"""),1029.0)</f>
        <v>1029</v>
      </c>
      <c r="U187" s="329">
        <f>IFERROR(__xludf.DUMMYFUNCTION("""COMPUTED_VALUE"""),132.0)</f>
        <v>132</v>
      </c>
      <c r="V187" s="329">
        <f>IFERROR(__xludf.DUMMYFUNCTION("""COMPUTED_VALUE"""),137.0)</f>
        <v>137</v>
      </c>
      <c r="W187" s="329">
        <f>IFERROR(__xludf.DUMMYFUNCTION("""COMPUTED_VALUE"""),17.0)</f>
        <v>17</v>
      </c>
      <c r="X187" s="329">
        <f>IFERROR(__xludf.DUMMYFUNCTION("""COMPUTED_VALUE"""),11.0)</f>
        <v>11</v>
      </c>
      <c r="Y187" s="329">
        <f>IFERROR(__xludf.DUMMYFUNCTION("""COMPUTED_VALUE"""),3.0)</f>
        <v>3</v>
      </c>
      <c r="Z187" s="329">
        <f>IFERROR(__xludf.DUMMYFUNCTION("""COMPUTED_VALUE"""),2592.0)</f>
        <v>2592</v>
      </c>
      <c r="AA187" s="329">
        <f>IFERROR(__xludf.DUMMYFUNCTION("""COMPUTED_VALUE"""),3864.0)</f>
        <v>3864</v>
      </c>
      <c r="AB187" s="329">
        <f>IFERROR(__xludf.DUMMYFUNCTION("""COMPUTED_VALUE"""),8955.0)</f>
        <v>8955</v>
      </c>
      <c r="AC187" s="329">
        <f>IFERROR(__xludf.DUMMYFUNCTION("""COMPUTED_VALUE"""),12819.0)</f>
        <v>12819</v>
      </c>
      <c r="AD187" s="329">
        <f>IFERROR(__xludf.DUMMYFUNCTION("""COMPUTED_VALUE"""),409404.0)</f>
        <v>409404</v>
      </c>
      <c r="AE187" s="329">
        <f>IFERROR(__xludf.DUMMYFUNCTION("""COMPUTED_VALUE"""),3864.0)</f>
        <v>3864</v>
      </c>
      <c r="AF187" s="329">
        <f>IFERROR(__xludf.DUMMYFUNCTION("""COMPUTED_VALUE"""),285433.0)</f>
        <v>285433</v>
      </c>
      <c r="AG187" s="329">
        <f>IFERROR(__xludf.DUMMYFUNCTION("""COMPUTED_VALUE"""),9645.0)</f>
        <v>9645</v>
      </c>
      <c r="AH187" s="329">
        <f>IFERROR(__xludf.DUMMYFUNCTION("""COMPUTED_VALUE"""),131586.0)</f>
        <v>131586</v>
      </c>
    </row>
    <row r="188">
      <c r="A188" s="328">
        <f>IFERROR(__xludf.DUMMYFUNCTION("""COMPUTED_VALUE"""),44272.0)</f>
        <v>44272</v>
      </c>
      <c r="B188" s="329">
        <f>IFERROR(__xludf.DUMMYFUNCTION("""COMPUTED_VALUE"""),491.0)</f>
        <v>491</v>
      </c>
      <c r="C188" s="329">
        <f>IFERROR(__xludf.DUMMYFUNCTION("""COMPUTED_VALUE"""),439.0)</f>
        <v>439</v>
      </c>
      <c r="D188" s="329">
        <f>IFERROR(__xludf.DUMMYFUNCTION("""COMPUTED_VALUE"""),157527.0)</f>
        <v>157527</v>
      </c>
      <c r="E188" s="329">
        <f>IFERROR(__xludf.DUMMYFUNCTION("""COMPUTED_VALUE"""),24599.0)</f>
        <v>24599</v>
      </c>
      <c r="F188" s="329">
        <f>IFERROR(__xludf.DUMMYFUNCTION("""COMPUTED_VALUE"""),3149032.0)</f>
        <v>3149032</v>
      </c>
      <c r="G188" s="329">
        <f>IFERROR(__xludf.DUMMYFUNCTION("""COMPUTED_VALUE"""),25090.0)</f>
        <v>25090</v>
      </c>
      <c r="H188" s="329">
        <f>IFERROR(__xludf.DUMMYFUNCTION("""COMPUTED_VALUE"""),3306559.0)</f>
        <v>3306559</v>
      </c>
      <c r="I188" s="329">
        <f>IFERROR(__xludf.DUMMYFUNCTION("""COMPUTED_VALUE"""),410.0)</f>
        <v>410</v>
      </c>
      <c r="J188" s="329">
        <f>IFERROR(__xludf.DUMMYFUNCTION("""COMPUTED_VALUE"""),374.0)</f>
        <v>374</v>
      </c>
      <c r="K188" s="329">
        <f>IFERROR(__xludf.DUMMYFUNCTION("""COMPUTED_VALUE"""),132307.0)</f>
        <v>132307</v>
      </c>
      <c r="L188" s="329">
        <f>IFERROR(__xludf.DUMMYFUNCTION("""COMPUTED_VALUE"""),1763.0)</f>
        <v>1763</v>
      </c>
      <c r="M188" s="329">
        <f>IFERROR(__xludf.DUMMYFUNCTION("""COMPUTED_VALUE"""),689949.0)</f>
        <v>689949</v>
      </c>
      <c r="N188" s="329">
        <f>IFERROR(__xludf.DUMMYFUNCTION("""COMPUTED_VALUE"""),822256.0)</f>
        <v>822256</v>
      </c>
      <c r="O188" s="329">
        <f>IFERROR(__xludf.DUMMYFUNCTION("""COMPUTED_VALUE"""),24.0)</f>
        <v>24</v>
      </c>
      <c r="P188" s="329">
        <f>IFERROR(__xludf.DUMMYFUNCTION("""COMPUTED_VALUE"""),9277.0)</f>
        <v>9277</v>
      </c>
      <c r="Q188" s="329">
        <f>IFERROR(__xludf.DUMMYFUNCTION("""COMPUTED_VALUE"""),14.0)</f>
        <v>14</v>
      </c>
      <c r="R188" s="329">
        <f>IFERROR(__xludf.DUMMYFUNCTION("""COMPUTED_VALUE"""),8106.0)</f>
        <v>8106</v>
      </c>
      <c r="S188" s="329">
        <f>IFERROR(__xludf.DUMMYFUNCTION("""COMPUTED_VALUE"""),1.0)</f>
        <v>1</v>
      </c>
      <c r="T188" s="329">
        <f>IFERROR(__xludf.DUMMYFUNCTION("""COMPUTED_VALUE"""),1030.0)</f>
        <v>1030</v>
      </c>
      <c r="U188" s="329">
        <f>IFERROR(__xludf.DUMMYFUNCTION("""COMPUTED_VALUE"""),141.0)</f>
        <v>141</v>
      </c>
      <c r="V188" s="329">
        <f>IFERROR(__xludf.DUMMYFUNCTION("""COMPUTED_VALUE"""),136.0)</f>
        <v>136</v>
      </c>
      <c r="W188" s="329">
        <f>IFERROR(__xludf.DUMMYFUNCTION("""COMPUTED_VALUE"""),19.0)</f>
        <v>19</v>
      </c>
      <c r="X188" s="329">
        <f>IFERROR(__xludf.DUMMYFUNCTION("""COMPUTED_VALUE"""),11.0)</f>
        <v>11</v>
      </c>
      <c r="Y188" s="329">
        <f>IFERROR(__xludf.DUMMYFUNCTION("""COMPUTED_VALUE"""),3.0)</f>
        <v>3</v>
      </c>
      <c r="Z188" s="329">
        <f>IFERROR(__xludf.DUMMYFUNCTION("""COMPUTED_VALUE"""),2595.0)</f>
        <v>2595</v>
      </c>
      <c r="AA188" s="329">
        <f>IFERROR(__xludf.DUMMYFUNCTION("""COMPUTED_VALUE"""),3192.0)</f>
        <v>3192</v>
      </c>
      <c r="AB188" s="329">
        <f>IFERROR(__xludf.DUMMYFUNCTION("""COMPUTED_VALUE"""),8642.0)</f>
        <v>8642</v>
      </c>
      <c r="AC188" s="329">
        <f>IFERROR(__xludf.DUMMYFUNCTION("""COMPUTED_VALUE"""),11834.0)</f>
        <v>11834</v>
      </c>
      <c r="AD188" s="329">
        <f>IFERROR(__xludf.DUMMYFUNCTION("""COMPUTED_VALUE"""),421238.0)</f>
        <v>421238</v>
      </c>
      <c r="AE188" s="329">
        <f>IFERROR(__xludf.DUMMYFUNCTION("""COMPUTED_VALUE"""),3192.0)</f>
        <v>3192</v>
      </c>
      <c r="AF188" s="329">
        <f>IFERROR(__xludf.DUMMYFUNCTION("""COMPUTED_VALUE"""),288625.0)</f>
        <v>288625</v>
      </c>
      <c r="AG188" s="329">
        <f>IFERROR(__xludf.DUMMYFUNCTION("""COMPUTED_VALUE"""),8882.0)</f>
        <v>8882</v>
      </c>
      <c r="AH188" s="329">
        <f>IFERROR(__xludf.DUMMYFUNCTION("""COMPUTED_VALUE"""),140468.0)</f>
        <v>140468</v>
      </c>
    </row>
    <row r="189">
      <c r="A189" s="328">
        <f>IFERROR(__xludf.DUMMYFUNCTION("""COMPUTED_VALUE"""),44273.0)</f>
        <v>44273</v>
      </c>
      <c r="B189" s="329">
        <f>IFERROR(__xludf.DUMMYFUNCTION("""COMPUTED_VALUE"""),445.0)</f>
        <v>445</v>
      </c>
      <c r="C189" s="329">
        <f>IFERROR(__xludf.DUMMYFUNCTION("""COMPUTED_VALUE"""),482.0)</f>
        <v>482</v>
      </c>
      <c r="D189" s="329">
        <f>IFERROR(__xludf.DUMMYFUNCTION("""COMPUTED_VALUE"""),157972.0)</f>
        <v>157972</v>
      </c>
      <c r="E189" s="329">
        <f>IFERROR(__xludf.DUMMYFUNCTION("""COMPUTED_VALUE"""),20798.0)</f>
        <v>20798</v>
      </c>
      <c r="F189" s="329">
        <f>IFERROR(__xludf.DUMMYFUNCTION("""COMPUTED_VALUE"""),3169830.0)</f>
        <v>3169830</v>
      </c>
      <c r="G189" s="329">
        <f>IFERROR(__xludf.DUMMYFUNCTION("""COMPUTED_VALUE"""),21243.0)</f>
        <v>21243</v>
      </c>
      <c r="H189" s="329">
        <f>IFERROR(__xludf.DUMMYFUNCTION("""COMPUTED_VALUE"""),3327802.0)</f>
        <v>3327802</v>
      </c>
      <c r="I189" s="329">
        <f>IFERROR(__xludf.DUMMYFUNCTION("""COMPUTED_VALUE"""),386.0)</f>
        <v>386</v>
      </c>
      <c r="J189" s="329">
        <f>IFERROR(__xludf.DUMMYFUNCTION("""COMPUTED_VALUE"""),409.0)</f>
        <v>409</v>
      </c>
      <c r="K189" s="329">
        <f>IFERROR(__xludf.DUMMYFUNCTION("""COMPUTED_VALUE"""),132693.0)</f>
        <v>132693</v>
      </c>
      <c r="L189" s="329">
        <f>IFERROR(__xludf.DUMMYFUNCTION("""COMPUTED_VALUE"""),1865.0)</f>
        <v>1865</v>
      </c>
      <c r="M189" s="329">
        <f>IFERROR(__xludf.DUMMYFUNCTION("""COMPUTED_VALUE"""),691814.0)</f>
        <v>691814</v>
      </c>
      <c r="N189" s="329">
        <f>IFERROR(__xludf.DUMMYFUNCTION("""COMPUTED_VALUE"""),824507.0)</f>
        <v>824507</v>
      </c>
      <c r="O189" s="329">
        <f>IFERROR(__xludf.DUMMYFUNCTION("""COMPUTED_VALUE"""),13.0)</f>
        <v>13</v>
      </c>
      <c r="P189" s="329">
        <f>IFERROR(__xludf.DUMMYFUNCTION("""COMPUTED_VALUE"""),9290.0)</f>
        <v>9290</v>
      </c>
      <c r="Q189" s="329">
        <f>IFERROR(__xludf.DUMMYFUNCTION("""COMPUTED_VALUE"""),18.0)</f>
        <v>18</v>
      </c>
      <c r="R189" s="329">
        <f>IFERROR(__xludf.DUMMYFUNCTION("""COMPUTED_VALUE"""),8124.0)</f>
        <v>8124</v>
      </c>
      <c r="S189" s="329">
        <f>IFERROR(__xludf.DUMMYFUNCTION("""COMPUTED_VALUE"""),2.0)</f>
        <v>2</v>
      </c>
      <c r="T189" s="329">
        <f>IFERROR(__xludf.DUMMYFUNCTION("""COMPUTED_VALUE"""),1032.0)</f>
        <v>1032</v>
      </c>
      <c r="U189" s="329">
        <f>IFERROR(__xludf.DUMMYFUNCTION("""COMPUTED_VALUE"""),134.0)</f>
        <v>134</v>
      </c>
      <c r="V189" s="329">
        <f>IFERROR(__xludf.DUMMYFUNCTION("""COMPUTED_VALUE"""),136.0)</f>
        <v>136</v>
      </c>
      <c r="W189" s="329">
        <f>IFERROR(__xludf.DUMMYFUNCTION("""COMPUTED_VALUE"""),15.0)</f>
        <v>15</v>
      </c>
      <c r="X189" s="329">
        <f>IFERROR(__xludf.DUMMYFUNCTION("""COMPUTED_VALUE"""),11.0)</f>
        <v>11</v>
      </c>
      <c r="Y189" s="329">
        <f>IFERROR(__xludf.DUMMYFUNCTION("""COMPUTED_VALUE"""),2.0)</f>
        <v>2</v>
      </c>
      <c r="Z189" s="329">
        <f>IFERROR(__xludf.DUMMYFUNCTION("""COMPUTED_VALUE"""),2597.0)</f>
        <v>2597</v>
      </c>
      <c r="AA189" s="329">
        <f>IFERROR(__xludf.DUMMYFUNCTION("""COMPUTED_VALUE"""),4468.0)</f>
        <v>4468</v>
      </c>
      <c r="AB189" s="329">
        <f>IFERROR(__xludf.DUMMYFUNCTION("""COMPUTED_VALUE"""),8076.0)</f>
        <v>8076</v>
      </c>
      <c r="AC189" s="329">
        <f>IFERROR(__xludf.DUMMYFUNCTION("""COMPUTED_VALUE"""),12544.0)</f>
        <v>12544</v>
      </c>
      <c r="AD189" s="329">
        <f>IFERROR(__xludf.DUMMYFUNCTION("""COMPUTED_VALUE"""),433782.0)</f>
        <v>433782</v>
      </c>
      <c r="AE189" s="329">
        <f>IFERROR(__xludf.DUMMYFUNCTION("""COMPUTED_VALUE"""),4468.0)</f>
        <v>4468</v>
      </c>
      <c r="AF189" s="329">
        <f>IFERROR(__xludf.DUMMYFUNCTION("""COMPUTED_VALUE"""),293093.0)</f>
        <v>293093</v>
      </c>
      <c r="AG189" s="329">
        <f>IFERROR(__xludf.DUMMYFUNCTION("""COMPUTED_VALUE"""),9016.0)</f>
        <v>9016</v>
      </c>
      <c r="AH189" s="329">
        <f>IFERROR(__xludf.DUMMYFUNCTION("""COMPUTED_VALUE"""),149484.0)</f>
        <v>149484</v>
      </c>
    </row>
    <row r="190">
      <c r="A190" s="328">
        <f>IFERROR(__xludf.DUMMYFUNCTION("""COMPUTED_VALUE"""),44274.0)</f>
        <v>44274</v>
      </c>
      <c r="B190" s="329">
        <f>IFERROR(__xludf.DUMMYFUNCTION("""COMPUTED_VALUE"""),461.0)</f>
        <v>461</v>
      </c>
      <c r="C190" s="329">
        <f>IFERROR(__xludf.DUMMYFUNCTION("""COMPUTED_VALUE"""),466.0)</f>
        <v>466</v>
      </c>
      <c r="D190" s="329">
        <f>IFERROR(__xludf.DUMMYFUNCTION("""COMPUTED_VALUE"""),158433.0)</f>
        <v>158433</v>
      </c>
      <c r="E190" s="329">
        <f>IFERROR(__xludf.DUMMYFUNCTION("""COMPUTED_VALUE"""),19040.0)</f>
        <v>19040</v>
      </c>
      <c r="F190" s="329">
        <f>IFERROR(__xludf.DUMMYFUNCTION("""COMPUTED_VALUE"""),3188870.0)</f>
        <v>3188870</v>
      </c>
      <c r="G190" s="329">
        <f>IFERROR(__xludf.DUMMYFUNCTION("""COMPUTED_VALUE"""),19501.0)</f>
        <v>19501</v>
      </c>
      <c r="H190" s="329">
        <f>IFERROR(__xludf.DUMMYFUNCTION("""COMPUTED_VALUE"""),3347303.0)</f>
        <v>3347303</v>
      </c>
      <c r="I190" s="329">
        <f>IFERROR(__xludf.DUMMYFUNCTION("""COMPUTED_VALUE"""),398.0)</f>
        <v>398</v>
      </c>
      <c r="J190" s="329">
        <f>IFERROR(__xludf.DUMMYFUNCTION("""COMPUTED_VALUE"""),398.0)</f>
        <v>398</v>
      </c>
      <c r="K190" s="329">
        <f>IFERROR(__xludf.DUMMYFUNCTION("""COMPUTED_VALUE"""),133091.0)</f>
        <v>133091</v>
      </c>
      <c r="L190" s="329">
        <f>IFERROR(__xludf.DUMMYFUNCTION("""COMPUTED_VALUE"""),1782.0)</f>
        <v>1782</v>
      </c>
      <c r="M190" s="329">
        <f>IFERROR(__xludf.DUMMYFUNCTION("""COMPUTED_VALUE"""),693596.0)</f>
        <v>693596</v>
      </c>
      <c r="N190" s="329">
        <f>IFERROR(__xludf.DUMMYFUNCTION("""COMPUTED_VALUE"""),826687.0)</f>
        <v>826687</v>
      </c>
      <c r="O190" s="329">
        <f>IFERROR(__xludf.DUMMYFUNCTION("""COMPUTED_VALUE"""),12.0)</f>
        <v>12</v>
      </c>
      <c r="P190" s="329">
        <f>IFERROR(__xludf.DUMMYFUNCTION("""COMPUTED_VALUE"""),9302.0)</f>
        <v>9302</v>
      </c>
      <c r="Q190" s="329">
        <f>IFERROR(__xludf.DUMMYFUNCTION("""COMPUTED_VALUE"""),17.0)</f>
        <v>17</v>
      </c>
      <c r="R190" s="329">
        <f>IFERROR(__xludf.DUMMYFUNCTION("""COMPUTED_VALUE"""),8141.0)</f>
        <v>8141</v>
      </c>
      <c r="S190" s="329">
        <f>IFERROR(__xludf.DUMMYFUNCTION("""COMPUTED_VALUE"""),2.0)</f>
        <v>2</v>
      </c>
      <c r="T190" s="329">
        <f>IFERROR(__xludf.DUMMYFUNCTION("""COMPUTED_VALUE"""),1034.0)</f>
        <v>1034</v>
      </c>
      <c r="U190" s="329">
        <f>IFERROR(__xludf.DUMMYFUNCTION("""COMPUTED_VALUE"""),127.0)</f>
        <v>127</v>
      </c>
      <c r="V190" s="329">
        <f>IFERROR(__xludf.DUMMYFUNCTION("""COMPUTED_VALUE"""),134.0)</f>
        <v>134</v>
      </c>
      <c r="W190" s="329">
        <f>IFERROR(__xludf.DUMMYFUNCTION("""COMPUTED_VALUE"""),17.0)</f>
        <v>17</v>
      </c>
      <c r="X190" s="329">
        <f>IFERROR(__xludf.DUMMYFUNCTION("""COMPUTED_VALUE"""),11.0)</f>
        <v>11</v>
      </c>
      <c r="Y190" s="329">
        <f>IFERROR(__xludf.DUMMYFUNCTION("""COMPUTED_VALUE"""),4.0)</f>
        <v>4</v>
      </c>
      <c r="Z190" s="329">
        <f>IFERROR(__xludf.DUMMYFUNCTION("""COMPUTED_VALUE"""),2601.0)</f>
        <v>2601</v>
      </c>
      <c r="AA190" s="329">
        <f>IFERROR(__xludf.DUMMYFUNCTION("""COMPUTED_VALUE"""),5596.0)</f>
        <v>5596</v>
      </c>
      <c r="AB190" s="329">
        <f>IFERROR(__xludf.DUMMYFUNCTION("""COMPUTED_VALUE"""),8789.0)</f>
        <v>8789</v>
      </c>
      <c r="AC190" s="329">
        <f>IFERROR(__xludf.DUMMYFUNCTION("""COMPUTED_VALUE"""),14385.0)</f>
        <v>14385</v>
      </c>
      <c r="AD190" s="329">
        <f>IFERROR(__xludf.DUMMYFUNCTION("""COMPUTED_VALUE"""),448167.0)</f>
        <v>448167</v>
      </c>
      <c r="AE190" s="329">
        <f>IFERROR(__xludf.DUMMYFUNCTION("""COMPUTED_VALUE"""),5596.0)</f>
        <v>5596</v>
      </c>
      <c r="AF190" s="329">
        <f>IFERROR(__xludf.DUMMYFUNCTION("""COMPUTED_VALUE"""),298689.0)</f>
        <v>298689</v>
      </c>
      <c r="AG190" s="329">
        <f>IFERROR(__xludf.DUMMYFUNCTION("""COMPUTED_VALUE"""),9286.0)</f>
        <v>9286</v>
      </c>
      <c r="AH190" s="329">
        <f>IFERROR(__xludf.DUMMYFUNCTION("""COMPUTED_VALUE"""),158770.0)</f>
        <v>158770</v>
      </c>
    </row>
    <row r="191">
      <c r="A191" s="328">
        <f>IFERROR(__xludf.DUMMYFUNCTION("""COMPUTED_VALUE"""),44275.0)</f>
        <v>44275</v>
      </c>
      <c r="B191" s="329">
        <f>IFERROR(__xludf.DUMMYFUNCTION("""COMPUTED_VALUE"""),351.0)</f>
        <v>351</v>
      </c>
      <c r="C191" s="329">
        <f>IFERROR(__xludf.DUMMYFUNCTION("""COMPUTED_VALUE"""),419.0)</f>
        <v>419</v>
      </c>
      <c r="D191" s="329">
        <f>IFERROR(__xludf.DUMMYFUNCTION("""COMPUTED_VALUE"""),158784.0)</f>
        <v>158784</v>
      </c>
      <c r="E191" s="329">
        <f>IFERROR(__xludf.DUMMYFUNCTION("""COMPUTED_VALUE"""),11728.0)</f>
        <v>11728</v>
      </c>
      <c r="F191" s="329">
        <f>IFERROR(__xludf.DUMMYFUNCTION("""COMPUTED_VALUE"""),3200598.0)</f>
        <v>3200598</v>
      </c>
      <c r="G191" s="329">
        <f>IFERROR(__xludf.DUMMYFUNCTION("""COMPUTED_VALUE"""),12079.0)</f>
        <v>12079</v>
      </c>
      <c r="H191" s="329">
        <f>IFERROR(__xludf.DUMMYFUNCTION("""COMPUTED_VALUE"""),3359382.0)</f>
        <v>3359382</v>
      </c>
      <c r="I191" s="329">
        <f>IFERROR(__xludf.DUMMYFUNCTION("""COMPUTED_VALUE"""),301.0)</f>
        <v>301</v>
      </c>
      <c r="J191" s="329">
        <f>IFERROR(__xludf.DUMMYFUNCTION("""COMPUTED_VALUE"""),362.0)</f>
        <v>362</v>
      </c>
      <c r="K191" s="329">
        <f>IFERROR(__xludf.DUMMYFUNCTION("""COMPUTED_VALUE"""),133392.0)</f>
        <v>133392</v>
      </c>
      <c r="L191" s="329">
        <f>IFERROR(__xludf.DUMMYFUNCTION("""COMPUTED_VALUE"""),1479.0)</f>
        <v>1479</v>
      </c>
      <c r="M191" s="329">
        <f>IFERROR(__xludf.DUMMYFUNCTION("""COMPUTED_VALUE"""),695075.0)</f>
        <v>695075</v>
      </c>
      <c r="N191" s="329">
        <f>IFERROR(__xludf.DUMMYFUNCTION("""COMPUTED_VALUE"""),828467.0)</f>
        <v>828467</v>
      </c>
      <c r="O191" s="329">
        <f>IFERROR(__xludf.DUMMYFUNCTION("""COMPUTED_VALUE"""),17.0)</f>
        <v>17</v>
      </c>
      <c r="P191" s="329">
        <f>IFERROR(__xludf.DUMMYFUNCTION("""COMPUTED_VALUE"""),9319.0)</f>
        <v>9319</v>
      </c>
      <c r="Q191" s="329">
        <f>IFERROR(__xludf.DUMMYFUNCTION("""COMPUTED_VALUE"""),12.0)</f>
        <v>12</v>
      </c>
      <c r="R191" s="329">
        <f>IFERROR(__xludf.DUMMYFUNCTION("""COMPUTED_VALUE"""),8153.0)</f>
        <v>8153</v>
      </c>
      <c r="S191" s="329">
        <f>IFERROR(__xludf.DUMMYFUNCTION("""COMPUTED_VALUE"""),4.0)</f>
        <v>4</v>
      </c>
      <c r="T191" s="329">
        <f>IFERROR(__xludf.DUMMYFUNCTION("""COMPUTED_VALUE"""),1038.0)</f>
        <v>1038</v>
      </c>
      <c r="U191" s="329">
        <f>IFERROR(__xludf.DUMMYFUNCTION("""COMPUTED_VALUE"""),128.0)</f>
        <v>128</v>
      </c>
      <c r="V191" s="329">
        <f>IFERROR(__xludf.DUMMYFUNCTION("""COMPUTED_VALUE"""),130.0)</f>
        <v>130</v>
      </c>
      <c r="W191" s="329">
        <f>IFERROR(__xludf.DUMMYFUNCTION("""COMPUTED_VALUE"""),16.0)</f>
        <v>16</v>
      </c>
      <c r="X191" s="329">
        <f>IFERROR(__xludf.DUMMYFUNCTION("""COMPUTED_VALUE"""),12.0)</f>
        <v>12</v>
      </c>
      <c r="Y191" s="329">
        <f>IFERROR(__xludf.DUMMYFUNCTION("""COMPUTED_VALUE"""),3.0)</f>
        <v>3</v>
      </c>
      <c r="Z191" s="329">
        <f>IFERROR(__xludf.DUMMYFUNCTION("""COMPUTED_VALUE"""),2604.0)</f>
        <v>2604</v>
      </c>
      <c r="AA191" s="329">
        <f>IFERROR(__xludf.DUMMYFUNCTION("""COMPUTED_VALUE"""),4685.0)</f>
        <v>4685</v>
      </c>
      <c r="AB191" s="329">
        <f>IFERROR(__xludf.DUMMYFUNCTION("""COMPUTED_VALUE"""),9532.0)</f>
        <v>9532</v>
      </c>
      <c r="AC191" s="329">
        <f>IFERROR(__xludf.DUMMYFUNCTION("""COMPUTED_VALUE"""),14217.0)</f>
        <v>14217</v>
      </c>
      <c r="AD191" s="329">
        <f>IFERROR(__xludf.DUMMYFUNCTION("""COMPUTED_VALUE"""),462384.0)</f>
        <v>462384</v>
      </c>
      <c r="AE191" s="329">
        <f>IFERROR(__xludf.DUMMYFUNCTION("""COMPUTED_VALUE"""),4685.0)</f>
        <v>4685</v>
      </c>
      <c r="AF191" s="329">
        <f>IFERROR(__xludf.DUMMYFUNCTION("""COMPUTED_VALUE"""),303374.0)</f>
        <v>303374</v>
      </c>
      <c r="AG191" s="329">
        <f>IFERROR(__xludf.DUMMYFUNCTION("""COMPUTED_VALUE"""),10715.0)</f>
        <v>10715</v>
      </c>
      <c r="AH191" s="329">
        <f>IFERROR(__xludf.DUMMYFUNCTION("""COMPUTED_VALUE"""),169485.0)</f>
        <v>169485</v>
      </c>
    </row>
    <row r="192">
      <c r="A192" s="328">
        <f>IFERROR(__xludf.DUMMYFUNCTION("""COMPUTED_VALUE"""),44276.0)</f>
        <v>44276</v>
      </c>
      <c r="B192" s="329">
        <f>IFERROR(__xludf.DUMMYFUNCTION("""COMPUTED_VALUE"""),251.0)</f>
        <v>251</v>
      </c>
      <c r="C192" s="329">
        <f>IFERROR(__xludf.DUMMYFUNCTION("""COMPUTED_VALUE"""),354.0)</f>
        <v>354</v>
      </c>
      <c r="D192" s="329">
        <f>IFERROR(__xludf.DUMMYFUNCTION("""COMPUTED_VALUE"""),159035.0)</f>
        <v>159035</v>
      </c>
      <c r="E192" s="329">
        <f>IFERROR(__xludf.DUMMYFUNCTION("""COMPUTED_VALUE"""),4784.0)</f>
        <v>4784</v>
      </c>
      <c r="F192" s="329">
        <f>IFERROR(__xludf.DUMMYFUNCTION("""COMPUTED_VALUE"""),3205382.0)</f>
        <v>3205382</v>
      </c>
      <c r="G192" s="329">
        <f>IFERROR(__xludf.DUMMYFUNCTION("""COMPUTED_VALUE"""),5035.0)</f>
        <v>5035</v>
      </c>
      <c r="H192" s="329">
        <f>IFERROR(__xludf.DUMMYFUNCTION("""COMPUTED_VALUE"""),3364417.0)</f>
        <v>3364417</v>
      </c>
      <c r="I192" s="329">
        <f>IFERROR(__xludf.DUMMYFUNCTION("""COMPUTED_VALUE"""),205.0)</f>
        <v>205</v>
      </c>
      <c r="J192" s="329">
        <f>IFERROR(__xludf.DUMMYFUNCTION("""COMPUTED_VALUE"""),301.0)</f>
        <v>301</v>
      </c>
      <c r="K192" s="329">
        <f>IFERROR(__xludf.DUMMYFUNCTION("""COMPUTED_VALUE"""),133597.0)</f>
        <v>133597</v>
      </c>
      <c r="L192" s="329">
        <f>IFERROR(__xludf.DUMMYFUNCTION("""COMPUTED_VALUE"""),762.0)</f>
        <v>762</v>
      </c>
      <c r="M192" s="329">
        <f>IFERROR(__xludf.DUMMYFUNCTION("""COMPUTED_VALUE"""),695837.0)</f>
        <v>695837</v>
      </c>
      <c r="N192" s="329">
        <f>IFERROR(__xludf.DUMMYFUNCTION("""COMPUTED_VALUE"""),829434.0)</f>
        <v>829434</v>
      </c>
      <c r="O192" s="329">
        <f>IFERROR(__xludf.DUMMYFUNCTION("""COMPUTED_VALUE"""),13.0)</f>
        <v>13</v>
      </c>
      <c r="P192" s="329">
        <f>IFERROR(__xludf.DUMMYFUNCTION("""COMPUTED_VALUE"""),9332.0)</f>
        <v>9332</v>
      </c>
      <c r="Q192" s="329">
        <f>IFERROR(__xludf.DUMMYFUNCTION("""COMPUTED_VALUE"""),12.0)</f>
        <v>12</v>
      </c>
      <c r="R192" s="329">
        <f>IFERROR(__xludf.DUMMYFUNCTION("""COMPUTED_VALUE"""),8165.0)</f>
        <v>8165</v>
      </c>
      <c r="S192" s="329">
        <f>IFERROR(__xludf.DUMMYFUNCTION("""COMPUTED_VALUE"""),1.0)</f>
        <v>1</v>
      </c>
      <c r="T192" s="329">
        <f>IFERROR(__xludf.DUMMYFUNCTION("""COMPUTED_VALUE"""),1039.0)</f>
        <v>1039</v>
      </c>
      <c r="U192" s="329">
        <f>IFERROR(__xludf.DUMMYFUNCTION("""COMPUTED_VALUE"""),128.0)</f>
        <v>128</v>
      </c>
      <c r="V192" s="329">
        <f>IFERROR(__xludf.DUMMYFUNCTION("""COMPUTED_VALUE"""),128.0)</f>
        <v>128</v>
      </c>
      <c r="W192" s="329">
        <f>IFERROR(__xludf.DUMMYFUNCTION("""COMPUTED_VALUE"""),16.0)</f>
        <v>16</v>
      </c>
      <c r="X192" s="329">
        <f>IFERROR(__xludf.DUMMYFUNCTION("""COMPUTED_VALUE"""),11.0)</f>
        <v>11</v>
      </c>
      <c r="Y192" s="329">
        <f>IFERROR(__xludf.DUMMYFUNCTION("""COMPUTED_VALUE"""),1.0)</f>
        <v>1</v>
      </c>
      <c r="Z192" s="329">
        <f>IFERROR(__xludf.DUMMYFUNCTION("""COMPUTED_VALUE"""),2605.0)</f>
        <v>2605</v>
      </c>
      <c r="AA192" s="329">
        <f>IFERROR(__xludf.DUMMYFUNCTION("""COMPUTED_VALUE"""),3128.0)</f>
        <v>3128</v>
      </c>
      <c r="AB192" s="329">
        <f>IFERROR(__xludf.DUMMYFUNCTION("""COMPUTED_VALUE"""),2893.0)</f>
        <v>2893</v>
      </c>
      <c r="AC192" s="329">
        <f>IFERROR(__xludf.DUMMYFUNCTION("""COMPUTED_VALUE"""),6021.0)</f>
        <v>6021</v>
      </c>
      <c r="AD192" s="329">
        <f>IFERROR(__xludf.DUMMYFUNCTION("""COMPUTED_VALUE"""),468405.0)</f>
        <v>468405</v>
      </c>
      <c r="AE192" s="329">
        <f>IFERROR(__xludf.DUMMYFUNCTION("""COMPUTED_VALUE"""),3128.0)</f>
        <v>3128</v>
      </c>
      <c r="AF192" s="329">
        <f>IFERROR(__xludf.DUMMYFUNCTION("""COMPUTED_VALUE"""),306502.0)</f>
        <v>306502</v>
      </c>
      <c r="AG192" s="329">
        <f>IFERROR(__xludf.DUMMYFUNCTION("""COMPUTED_VALUE"""),3323.0)</f>
        <v>3323</v>
      </c>
      <c r="AH192" s="329">
        <f>IFERROR(__xludf.DUMMYFUNCTION("""COMPUTED_VALUE"""),172808.0)</f>
        <v>172808</v>
      </c>
    </row>
    <row r="193">
      <c r="A193" s="328">
        <f>IFERROR(__xludf.DUMMYFUNCTION("""COMPUTED_VALUE"""),44277.0)</f>
        <v>44277</v>
      </c>
      <c r="B193" s="329">
        <f>IFERROR(__xludf.DUMMYFUNCTION("""COMPUTED_VALUE"""),379.0)</f>
        <v>379</v>
      </c>
      <c r="C193" s="329">
        <f>IFERROR(__xludf.DUMMYFUNCTION("""COMPUTED_VALUE"""),327.0)</f>
        <v>327</v>
      </c>
      <c r="D193" s="329">
        <f>IFERROR(__xludf.DUMMYFUNCTION("""COMPUTED_VALUE"""),159414.0)</f>
        <v>159414</v>
      </c>
      <c r="E193" s="329">
        <f>IFERROR(__xludf.DUMMYFUNCTION("""COMPUTED_VALUE"""),12933.0)</f>
        <v>12933</v>
      </c>
      <c r="F193" s="329">
        <f>IFERROR(__xludf.DUMMYFUNCTION("""COMPUTED_VALUE"""),3218315.0)</f>
        <v>3218315</v>
      </c>
      <c r="G193" s="329">
        <f>IFERROR(__xludf.DUMMYFUNCTION("""COMPUTED_VALUE"""),13312.0)</f>
        <v>13312</v>
      </c>
      <c r="H193" s="329">
        <f>IFERROR(__xludf.DUMMYFUNCTION("""COMPUTED_VALUE"""),3377729.0)</f>
        <v>3377729</v>
      </c>
      <c r="I193" s="329">
        <f>IFERROR(__xludf.DUMMYFUNCTION("""COMPUTED_VALUE"""),377.0)</f>
        <v>377</v>
      </c>
      <c r="J193" s="329">
        <f>IFERROR(__xludf.DUMMYFUNCTION("""COMPUTED_VALUE"""),294.0)</f>
        <v>294</v>
      </c>
      <c r="K193" s="329">
        <f>IFERROR(__xludf.DUMMYFUNCTION("""COMPUTED_VALUE"""),133974.0)</f>
        <v>133974</v>
      </c>
      <c r="L193" s="329">
        <f>IFERROR(__xludf.DUMMYFUNCTION("""COMPUTED_VALUE"""),1255.0)</f>
        <v>1255</v>
      </c>
      <c r="M193" s="329">
        <f>IFERROR(__xludf.DUMMYFUNCTION("""COMPUTED_VALUE"""),697092.0)</f>
        <v>697092</v>
      </c>
      <c r="N193" s="329">
        <f>IFERROR(__xludf.DUMMYFUNCTION("""COMPUTED_VALUE"""),831066.0)</f>
        <v>831066</v>
      </c>
      <c r="O193" s="329">
        <f>IFERROR(__xludf.DUMMYFUNCTION("""COMPUTED_VALUE"""),12.0)</f>
        <v>12</v>
      </c>
      <c r="P193" s="329">
        <f>IFERROR(__xludf.DUMMYFUNCTION("""COMPUTED_VALUE"""),9344.0)</f>
        <v>9344</v>
      </c>
      <c r="Q193" s="329">
        <f>IFERROR(__xludf.DUMMYFUNCTION("""COMPUTED_VALUE"""),23.0)</f>
        <v>23</v>
      </c>
      <c r="R193" s="329">
        <f>IFERROR(__xludf.DUMMYFUNCTION("""COMPUTED_VALUE"""),8188.0)</f>
        <v>8188</v>
      </c>
      <c r="S193" s="329">
        <f>IFERROR(__xludf.DUMMYFUNCTION("""COMPUTED_VALUE"""),0.0)</f>
        <v>0</v>
      </c>
      <c r="T193" s="329">
        <f>IFERROR(__xludf.DUMMYFUNCTION("""COMPUTED_VALUE"""),1039.0)</f>
        <v>1039</v>
      </c>
      <c r="U193" s="329">
        <f>IFERROR(__xludf.DUMMYFUNCTION("""COMPUTED_VALUE"""),117.0)</f>
        <v>117</v>
      </c>
      <c r="V193" s="329">
        <f>IFERROR(__xludf.DUMMYFUNCTION("""COMPUTED_VALUE"""),124.0)</f>
        <v>124</v>
      </c>
      <c r="W193" s="329">
        <f>IFERROR(__xludf.DUMMYFUNCTION("""COMPUTED_VALUE"""),17.0)</f>
        <v>17</v>
      </c>
      <c r="X193" s="329">
        <f>IFERROR(__xludf.DUMMYFUNCTION("""COMPUTED_VALUE"""),11.0)</f>
        <v>11</v>
      </c>
      <c r="Y193" s="329">
        <f>IFERROR(__xludf.DUMMYFUNCTION("""COMPUTED_VALUE"""),0.0)</f>
        <v>0</v>
      </c>
      <c r="Z193" s="329">
        <f>IFERROR(__xludf.DUMMYFUNCTION("""COMPUTED_VALUE"""),2605.0)</f>
        <v>2605</v>
      </c>
      <c r="AA193" s="329">
        <f>IFERROR(__xludf.DUMMYFUNCTION("""COMPUTED_VALUE"""),2078.0)</f>
        <v>2078</v>
      </c>
      <c r="AB193" s="329">
        <f>IFERROR(__xludf.DUMMYFUNCTION("""COMPUTED_VALUE"""),5090.0)</f>
        <v>5090</v>
      </c>
      <c r="AC193" s="329">
        <f>IFERROR(__xludf.DUMMYFUNCTION("""COMPUTED_VALUE"""),7168.0)</f>
        <v>7168</v>
      </c>
      <c r="AD193" s="329">
        <f>IFERROR(__xludf.DUMMYFUNCTION("""COMPUTED_VALUE"""),475573.0)</f>
        <v>475573</v>
      </c>
      <c r="AE193" s="329">
        <f>IFERROR(__xludf.DUMMYFUNCTION("""COMPUTED_VALUE"""),2078.0)</f>
        <v>2078</v>
      </c>
      <c r="AF193" s="329">
        <f>IFERROR(__xludf.DUMMYFUNCTION("""COMPUTED_VALUE"""),308580.0)</f>
        <v>308580</v>
      </c>
      <c r="AG193" s="329">
        <f>IFERROR(__xludf.DUMMYFUNCTION("""COMPUTED_VALUE"""),5175.0)</f>
        <v>5175</v>
      </c>
      <c r="AH193" s="329">
        <f>IFERROR(__xludf.DUMMYFUNCTION("""COMPUTED_VALUE"""),177983.0)</f>
        <v>177983</v>
      </c>
    </row>
    <row r="194">
      <c r="A194" s="328">
        <f>IFERROR(__xludf.DUMMYFUNCTION("""COMPUTED_VALUE"""),44278.0)</f>
        <v>44278</v>
      </c>
      <c r="B194" s="329">
        <f>IFERROR(__xludf.DUMMYFUNCTION("""COMPUTED_VALUE"""),509.0)</f>
        <v>509</v>
      </c>
      <c r="C194" s="329">
        <f>IFERROR(__xludf.DUMMYFUNCTION("""COMPUTED_VALUE"""),380.0)</f>
        <v>380</v>
      </c>
      <c r="D194" s="329">
        <f>IFERROR(__xludf.DUMMYFUNCTION("""COMPUTED_VALUE"""),159923.0)</f>
        <v>159923</v>
      </c>
      <c r="E194" s="329">
        <f>IFERROR(__xludf.DUMMYFUNCTION("""COMPUTED_VALUE"""),19534.0)</f>
        <v>19534</v>
      </c>
      <c r="F194" s="329">
        <f>IFERROR(__xludf.DUMMYFUNCTION("""COMPUTED_VALUE"""),3237849.0)</f>
        <v>3237849</v>
      </c>
      <c r="G194" s="329">
        <f>IFERROR(__xludf.DUMMYFUNCTION("""COMPUTED_VALUE"""),20043.0)</f>
        <v>20043</v>
      </c>
      <c r="H194" s="329">
        <f>IFERROR(__xludf.DUMMYFUNCTION("""COMPUTED_VALUE"""),3397772.0)</f>
        <v>3397772</v>
      </c>
      <c r="I194" s="329">
        <f>IFERROR(__xludf.DUMMYFUNCTION("""COMPUTED_VALUE"""),454.0)</f>
        <v>454</v>
      </c>
      <c r="J194" s="329">
        <f>IFERROR(__xludf.DUMMYFUNCTION("""COMPUTED_VALUE"""),345.0)</f>
        <v>345</v>
      </c>
      <c r="K194" s="329">
        <f>IFERROR(__xludf.DUMMYFUNCTION("""COMPUTED_VALUE"""),134428.0)</f>
        <v>134428</v>
      </c>
      <c r="L194" s="329">
        <f>IFERROR(__xludf.DUMMYFUNCTION("""COMPUTED_VALUE"""),1826.0)</f>
        <v>1826</v>
      </c>
      <c r="M194" s="329">
        <f>IFERROR(__xludf.DUMMYFUNCTION("""COMPUTED_VALUE"""),698918.0)</f>
        <v>698918</v>
      </c>
      <c r="N194" s="329">
        <f>IFERROR(__xludf.DUMMYFUNCTION("""COMPUTED_VALUE"""),833346.0)</f>
        <v>833346</v>
      </c>
      <c r="O194" s="329">
        <f>IFERROR(__xludf.DUMMYFUNCTION("""COMPUTED_VALUE"""),19.0)</f>
        <v>19</v>
      </c>
      <c r="P194" s="329">
        <f>IFERROR(__xludf.DUMMYFUNCTION("""COMPUTED_VALUE"""),9363.0)</f>
        <v>9363</v>
      </c>
      <c r="Q194" s="329">
        <f>IFERROR(__xludf.DUMMYFUNCTION("""COMPUTED_VALUE"""),18.0)</f>
        <v>18</v>
      </c>
      <c r="R194" s="329">
        <f>IFERROR(__xludf.DUMMYFUNCTION("""COMPUTED_VALUE"""),8206.0)</f>
        <v>8206</v>
      </c>
      <c r="S194" s="329">
        <f>IFERROR(__xludf.DUMMYFUNCTION("""COMPUTED_VALUE"""),0.0)</f>
        <v>0</v>
      </c>
      <c r="T194" s="329">
        <f>IFERROR(__xludf.DUMMYFUNCTION("""COMPUTED_VALUE"""),1039.0)</f>
        <v>1039</v>
      </c>
      <c r="U194" s="329">
        <f>IFERROR(__xludf.DUMMYFUNCTION("""COMPUTED_VALUE"""),118.0)</f>
        <v>118</v>
      </c>
      <c r="V194" s="329">
        <f>IFERROR(__xludf.DUMMYFUNCTION("""COMPUTED_VALUE"""),121.0)</f>
        <v>121</v>
      </c>
      <c r="W194" s="329">
        <f>IFERROR(__xludf.DUMMYFUNCTION("""COMPUTED_VALUE"""),19.0)</f>
        <v>19</v>
      </c>
      <c r="X194" s="329">
        <f>IFERROR(__xludf.DUMMYFUNCTION("""COMPUTED_VALUE"""),10.0)</f>
        <v>10</v>
      </c>
      <c r="Y194" s="329">
        <f>IFERROR(__xludf.DUMMYFUNCTION("""COMPUTED_VALUE"""),0.0)</f>
        <v>0</v>
      </c>
      <c r="Z194" s="329">
        <f>IFERROR(__xludf.DUMMYFUNCTION("""COMPUTED_VALUE"""),2605.0)</f>
        <v>2605</v>
      </c>
      <c r="AA194" s="329">
        <f>IFERROR(__xludf.DUMMYFUNCTION("""COMPUTED_VALUE"""),3197.0)</f>
        <v>3197</v>
      </c>
      <c r="AB194" s="329">
        <f>IFERROR(__xludf.DUMMYFUNCTION("""COMPUTED_VALUE"""),5637.0)</f>
        <v>5637</v>
      </c>
      <c r="AC194" s="329">
        <f>IFERROR(__xludf.DUMMYFUNCTION("""COMPUTED_VALUE"""),8834.0)</f>
        <v>8834</v>
      </c>
      <c r="AD194" s="329">
        <f>IFERROR(__xludf.DUMMYFUNCTION("""COMPUTED_VALUE"""),484407.0)</f>
        <v>484407</v>
      </c>
      <c r="AE194" s="329">
        <f>IFERROR(__xludf.DUMMYFUNCTION("""COMPUTED_VALUE"""),3197.0)</f>
        <v>3197</v>
      </c>
      <c r="AF194" s="329">
        <f>IFERROR(__xludf.DUMMYFUNCTION("""COMPUTED_VALUE"""),311777.0)</f>
        <v>311777</v>
      </c>
      <c r="AG194" s="329">
        <f>IFERROR(__xludf.DUMMYFUNCTION("""COMPUTED_VALUE"""),5880.0)</f>
        <v>5880</v>
      </c>
      <c r="AH194" s="329">
        <f>IFERROR(__xludf.DUMMYFUNCTION("""COMPUTED_VALUE"""),183863.0)</f>
        <v>183863</v>
      </c>
    </row>
    <row r="195">
      <c r="A195" s="328">
        <f>IFERROR(__xludf.DUMMYFUNCTION("""COMPUTED_VALUE"""),44279.0)</f>
        <v>44279</v>
      </c>
      <c r="B195" s="329">
        <f>IFERROR(__xludf.DUMMYFUNCTION("""COMPUTED_VALUE"""),558.0)</f>
        <v>558</v>
      </c>
      <c r="C195" s="329">
        <f>IFERROR(__xludf.DUMMYFUNCTION("""COMPUTED_VALUE"""),482.0)</f>
        <v>482</v>
      </c>
      <c r="D195" s="329">
        <f>IFERROR(__xludf.DUMMYFUNCTION("""COMPUTED_VALUE"""),160481.0)</f>
        <v>160481</v>
      </c>
      <c r="E195" s="329">
        <f>IFERROR(__xludf.DUMMYFUNCTION("""COMPUTED_VALUE"""),26163.0)</f>
        <v>26163</v>
      </c>
      <c r="F195" s="329">
        <f>IFERROR(__xludf.DUMMYFUNCTION("""COMPUTED_VALUE"""),3264012.0)</f>
        <v>3264012</v>
      </c>
      <c r="G195" s="329">
        <f>IFERROR(__xludf.DUMMYFUNCTION("""COMPUTED_VALUE"""),26721.0)</f>
        <v>26721</v>
      </c>
      <c r="H195" s="329">
        <f>IFERROR(__xludf.DUMMYFUNCTION("""COMPUTED_VALUE"""),3424493.0)</f>
        <v>3424493</v>
      </c>
      <c r="I195" s="329">
        <f>IFERROR(__xludf.DUMMYFUNCTION("""COMPUTED_VALUE"""),482.0)</f>
        <v>482</v>
      </c>
      <c r="J195" s="329">
        <f>IFERROR(__xludf.DUMMYFUNCTION("""COMPUTED_VALUE"""),438.0)</f>
        <v>438</v>
      </c>
      <c r="K195" s="329">
        <f>IFERROR(__xludf.DUMMYFUNCTION("""COMPUTED_VALUE"""),134910.0)</f>
        <v>134910</v>
      </c>
      <c r="L195" s="329">
        <f>IFERROR(__xludf.DUMMYFUNCTION("""COMPUTED_VALUE"""),1828.0)</f>
        <v>1828</v>
      </c>
      <c r="M195" s="329">
        <f>IFERROR(__xludf.DUMMYFUNCTION("""COMPUTED_VALUE"""),700746.0)</f>
        <v>700746</v>
      </c>
      <c r="N195" s="329">
        <f>IFERROR(__xludf.DUMMYFUNCTION("""COMPUTED_VALUE"""),835656.0)</f>
        <v>835656</v>
      </c>
      <c r="O195" s="329">
        <f>IFERROR(__xludf.DUMMYFUNCTION("""COMPUTED_VALUE"""),16.0)</f>
        <v>16</v>
      </c>
      <c r="P195" s="329">
        <f>IFERROR(__xludf.DUMMYFUNCTION("""COMPUTED_VALUE"""),9379.0)</f>
        <v>9379</v>
      </c>
      <c r="Q195" s="329">
        <f>IFERROR(__xludf.DUMMYFUNCTION("""COMPUTED_VALUE"""),16.0)</f>
        <v>16</v>
      </c>
      <c r="R195" s="329">
        <f>IFERROR(__xludf.DUMMYFUNCTION("""COMPUTED_VALUE"""),8222.0)</f>
        <v>8222</v>
      </c>
      <c r="S195" s="329">
        <f>IFERROR(__xludf.DUMMYFUNCTION("""COMPUTED_VALUE"""),0.0)</f>
        <v>0</v>
      </c>
      <c r="T195" s="329">
        <f>IFERROR(__xludf.DUMMYFUNCTION("""COMPUTED_VALUE"""),1039.0)</f>
        <v>1039</v>
      </c>
      <c r="U195" s="329">
        <f>IFERROR(__xludf.DUMMYFUNCTION("""COMPUTED_VALUE"""),118.0)</f>
        <v>118</v>
      </c>
      <c r="V195" s="329">
        <f>IFERROR(__xludf.DUMMYFUNCTION("""COMPUTED_VALUE"""),118.0)</f>
        <v>118</v>
      </c>
      <c r="W195" s="329">
        <f>IFERROR(__xludf.DUMMYFUNCTION("""COMPUTED_VALUE"""),21.0)</f>
        <v>21</v>
      </c>
      <c r="X195" s="329">
        <f>IFERROR(__xludf.DUMMYFUNCTION("""COMPUTED_VALUE"""),10.0)</f>
        <v>10</v>
      </c>
      <c r="Y195" s="329">
        <f>IFERROR(__xludf.DUMMYFUNCTION("""COMPUTED_VALUE"""),2.0)</f>
        <v>2</v>
      </c>
      <c r="Z195" s="329">
        <f>IFERROR(__xludf.DUMMYFUNCTION("""COMPUTED_VALUE"""),2607.0)</f>
        <v>2607</v>
      </c>
      <c r="AA195" s="329">
        <f>IFERROR(__xludf.DUMMYFUNCTION("""COMPUTED_VALUE"""),3319.0)</f>
        <v>3319</v>
      </c>
      <c r="AB195" s="329">
        <f>IFERROR(__xludf.DUMMYFUNCTION("""COMPUTED_VALUE"""),5661.0)</f>
        <v>5661</v>
      </c>
      <c r="AC195" s="329">
        <f>IFERROR(__xludf.DUMMYFUNCTION("""COMPUTED_VALUE"""),8980.0)</f>
        <v>8980</v>
      </c>
      <c r="AD195" s="329">
        <f>IFERROR(__xludf.DUMMYFUNCTION("""COMPUTED_VALUE"""),493387.0)</f>
        <v>493387</v>
      </c>
      <c r="AE195" s="329">
        <f>IFERROR(__xludf.DUMMYFUNCTION("""COMPUTED_VALUE"""),3319.0)</f>
        <v>3319</v>
      </c>
      <c r="AF195" s="329">
        <f>IFERROR(__xludf.DUMMYFUNCTION("""COMPUTED_VALUE"""),315096.0)</f>
        <v>315096</v>
      </c>
      <c r="AG195" s="329">
        <f>IFERROR(__xludf.DUMMYFUNCTION("""COMPUTED_VALUE"""),5965.0)</f>
        <v>5965</v>
      </c>
      <c r="AH195" s="329">
        <f>IFERROR(__xludf.DUMMYFUNCTION("""COMPUTED_VALUE"""),189828.0)</f>
        <v>189828</v>
      </c>
    </row>
    <row r="196">
      <c r="A196" s="328">
        <f>IFERROR(__xludf.DUMMYFUNCTION("""COMPUTED_VALUE"""),44280.0)</f>
        <v>44280</v>
      </c>
      <c r="B196" s="329">
        <f>IFERROR(__xludf.DUMMYFUNCTION("""COMPUTED_VALUE"""),554.0)</f>
        <v>554</v>
      </c>
      <c r="C196" s="329">
        <f>IFERROR(__xludf.DUMMYFUNCTION("""COMPUTED_VALUE"""),540.0)</f>
        <v>540</v>
      </c>
      <c r="D196" s="329">
        <f>IFERROR(__xludf.DUMMYFUNCTION("""COMPUTED_VALUE"""),161035.0)</f>
        <v>161035</v>
      </c>
      <c r="E196" s="329">
        <f>IFERROR(__xludf.DUMMYFUNCTION("""COMPUTED_VALUE"""),21660.0)</f>
        <v>21660</v>
      </c>
      <c r="F196" s="329">
        <f>IFERROR(__xludf.DUMMYFUNCTION("""COMPUTED_VALUE"""),3285672.0)</f>
        <v>3285672</v>
      </c>
      <c r="G196" s="329">
        <f>IFERROR(__xludf.DUMMYFUNCTION("""COMPUTED_VALUE"""),22214.0)</f>
        <v>22214</v>
      </c>
      <c r="H196" s="329">
        <f>IFERROR(__xludf.DUMMYFUNCTION("""COMPUTED_VALUE"""),3446707.0)</f>
        <v>3446707</v>
      </c>
      <c r="I196" s="329">
        <f>IFERROR(__xludf.DUMMYFUNCTION("""COMPUTED_VALUE"""),473.0)</f>
        <v>473</v>
      </c>
      <c r="J196" s="329">
        <f>IFERROR(__xludf.DUMMYFUNCTION("""COMPUTED_VALUE"""),470.0)</f>
        <v>470</v>
      </c>
      <c r="K196" s="329">
        <f>IFERROR(__xludf.DUMMYFUNCTION("""COMPUTED_VALUE"""),135383.0)</f>
        <v>135383</v>
      </c>
      <c r="L196" s="329">
        <f>IFERROR(__xludf.DUMMYFUNCTION("""COMPUTED_VALUE"""),1844.0)</f>
        <v>1844</v>
      </c>
      <c r="M196" s="329">
        <f>IFERROR(__xludf.DUMMYFUNCTION("""COMPUTED_VALUE"""),702590.0)</f>
        <v>702590</v>
      </c>
      <c r="N196" s="329">
        <f>IFERROR(__xludf.DUMMYFUNCTION("""COMPUTED_VALUE"""),837973.0)</f>
        <v>837973</v>
      </c>
      <c r="O196" s="329">
        <f>IFERROR(__xludf.DUMMYFUNCTION("""COMPUTED_VALUE"""),17.0)</f>
        <v>17</v>
      </c>
      <c r="P196" s="329">
        <f>IFERROR(__xludf.DUMMYFUNCTION("""COMPUTED_VALUE"""),9396.0)</f>
        <v>9396</v>
      </c>
      <c r="Q196" s="329">
        <f>IFERROR(__xludf.DUMMYFUNCTION("""COMPUTED_VALUE"""),17.0)</f>
        <v>17</v>
      </c>
      <c r="R196" s="329">
        <f>IFERROR(__xludf.DUMMYFUNCTION("""COMPUTED_VALUE"""),8239.0)</f>
        <v>8239</v>
      </c>
      <c r="S196" s="329">
        <f>IFERROR(__xludf.DUMMYFUNCTION("""COMPUTED_VALUE"""),2.0)</f>
        <v>2</v>
      </c>
      <c r="T196" s="329">
        <f>IFERROR(__xludf.DUMMYFUNCTION("""COMPUTED_VALUE"""),1041.0)</f>
        <v>1041</v>
      </c>
      <c r="U196" s="329">
        <f>IFERROR(__xludf.DUMMYFUNCTION("""COMPUTED_VALUE"""),116.0)</f>
        <v>116</v>
      </c>
      <c r="V196" s="329">
        <f>IFERROR(__xludf.DUMMYFUNCTION("""COMPUTED_VALUE"""),117.0)</f>
        <v>117</v>
      </c>
      <c r="W196" s="329">
        <f>IFERROR(__xludf.DUMMYFUNCTION("""COMPUTED_VALUE"""),18.0)</f>
        <v>18</v>
      </c>
      <c r="X196" s="329">
        <f>IFERROR(__xludf.DUMMYFUNCTION("""COMPUTED_VALUE"""),9.0)</f>
        <v>9</v>
      </c>
      <c r="Y196" s="329">
        <f>IFERROR(__xludf.DUMMYFUNCTION("""COMPUTED_VALUE"""),2.0)</f>
        <v>2</v>
      </c>
      <c r="Z196" s="329">
        <f>IFERROR(__xludf.DUMMYFUNCTION("""COMPUTED_VALUE"""),2609.0)</f>
        <v>2609</v>
      </c>
      <c r="AA196" s="329">
        <f>IFERROR(__xludf.DUMMYFUNCTION("""COMPUTED_VALUE"""),4563.0)</f>
        <v>4563</v>
      </c>
      <c r="AB196" s="329">
        <f>IFERROR(__xludf.DUMMYFUNCTION("""COMPUTED_VALUE"""),6549.0)</f>
        <v>6549</v>
      </c>
      <c r="AC196" s="329">
        <f>IFERROR(__xludf.DUMMYFUNCTION("""COMPUTED_VALUE"""),11112.0)</f>
        <v>11112</v>
      </c>
      <c r="AD196" s="329">
        <f>IFERROR(__xludf.DUMMYFUNCTION("""COMPUTED_VALUE"""),504499.0)</f>
        <v>504499</v>
      </c>
      <c r="AE196" s="329">
        <f>IFERROR(__xludf.DUMMYFUNCTION("""COMPUTED_VALUE"""),4563.0)</f>
        <v>4563</v>
      </c>
      <c r="AF196" s="329">
        <f>IFERROR(__xludf.DUMMYFUNCTION("""COMPUTED_VALUE"""),319659.0)</f>
        <v>319659</v>
      </c>
      <c r="AG196" s="329">
        <f>IFERROR(__xludf.DUMMYFUNCTION("""COMPUTED_VALUE"""),7274.0)</f>
        <v>7274</v>
      </c>
      <c r="AH196" s="329">
        <f>IFERROR(__xludf.DUMMYFUNCTION("""COMPUTED_VALUE"""),197102.0)</f>
        <v>197102</v>
      </c>
    </row>
    <row r="197">
      <c r="A197" s="328">
        <f>IFERROR(__xludf.DUMMYFUNCTION("""COMPUTED_VALUE"""),44281.0)</f>
        <v>44281</v>
      </c>
      <c r="B197" s="329">
        <f>IFERROR(__xludf.DUMMYFUNCTION("""COMPUTED_VALUE"""),576.0)</f>
        <v>576</v>
      </c>
      <c r="C197" s="329">
        <f>IFERROR(__xludf.DUMMYFUNCTION("""COMPUTED_VALUE"""),563.0)</f>
        <v>563</v>
      </c>
      <c r="D197" s="329">
        <f>IFERROR(__xludf.DUMMYFUNCTION("""COMPUTED_VALUE"""),161611.0)</f>
        <v>161611</v>
      </c>
      <c r="E197" s="329">
        <f>IFERROR(__xludf.DUMMYFUNCTION("""COMPUTED_VALUE"""),18409.0)</f>
        <v>18409</v>
      </c>
      <c r="F197" s="329">
        <f>IFERROR(__xludf.DUMMYFUNCTION("""COMPUTED_VALUE"""),3304081.0)</f>
        <v>3304081</v>
      </c>
      <c r="G197" s="329">
        <f>IFERROR(__xludf.DUMMYFUNCTION("""COMPUTED_VALUE"""),18985.0)</f>
        <v>18985</v>
      </c>
      <c r="H197" s="329">
        <f>IFERROR(__xludf.DUMMYFUNCTION("""COMPUTED_VALUE"""),3465692.0)</f>
        <v>3465692</v>
      </c>
      <c r="I197" s="329">
        <f>IFERROR(__xludf.DUMMYFUNCTION("""COMPUTED_VALUE"""),487.0)</f>
        <v>487</v>
      </c>
      <c r="J197" s="329">
        <f>IFERROR(__xludf.DUMMYFUNCTION("""COMPUTED_VALUE"""),481.0)</f>
        <v>481</v>
      </c>
      <c r="K197" s="329">
        <f>IFERROR(__xludf.DUMMYFUNCTION("""COMPUTED_VALUE"""),135870.0)</f>
        <v>135870</v>
      </c>
      <c r="L197" s="329">
        <f>IFERROR(__xludf.DUMMYFUNCTION("""COMPUTED_VALUE"""),1771.0)</f>
        <v>1771</v>
      </c>
      <c r="M197" s="329">
        <f>IFERROR(__xludf.DUMMYFUNCTION("""COMPUTED_VALUE"""),704361.0)</f>
        <v>704361</v>
      </c>
      <c r="N197" s="329">
        <f>IFERROR(__xludf.DUMMYFUNCTION("""COMPUTED_VALUE"""),840231.0)</f>
        <v>840231</v>
      </c>
      <c r="O197" s="329">
        <f>IFERROR(__xludf.DUMMYFUNCTION("""COMPUTED_VALUE"""),18.0)</f>
        <v>18</v>
      </c>
      <c r="P197" s="329">
        <f>IFERROR(__xludf.DUMMYFUNCTION("""COMPUTED_VALUE"""),9414.0)</f>
        <v>9414</v>
      </c>
      <c r="Q197" s="329">
        <f>IFERROR(__xludf.DUMMYFUNCTION("""COMPUTED_VALUE"""),18.0)</f>
        <v>18</v>
      </c>
      <c r="R197" s="329">
        <f>IFERROR(__xludf.DUMMYFUNCTION("""COMPUTED_VALUE"""),8257.0)</f>
        <v>8257</v>
      </c>
      <c r="S197" s="329">
        <f>IFERROR(__xludf.DUMMYFUNCTION("""COMPUTED_VALUE"""),2.0)</f>
        <v>2</v>
      </c>
      <c r="T197" s="329">
        <f>IFERROR(__xludf.DUMMYFUNCTION("""COMPUTED_VALUE"""),1043.0)</f>
        <v>1043</v>
      </c>
      <c r="U197" s="329">
        <f>IFERROR(__xludf.DUMMYFUNCTION("""COMPUTED_VALUE"""),114.0)</f>
        <v>114</v>
      </c>
      <c r="V197" s="329">
        <f>IFERROR(__xludf.DUMMYFUNCTION("""COMPUTED_VALUE"""),116.0)</f>
        <v>116</v>
      </c>
      <c r="W197" s="329">
        <f>IFERROR(__xludf.DUMMYFUNCTION("""COMPUTED_VALUE"""),16.0)</f>
        <v>16</v>
      </c>
      <c r="X197" s="329">
        <f>IFERROR(__xludf.DUMMYFUNCTION("""COMPUTED_VALUE"""),8.0)</f>
        <v>8</v>
      </c>
      <c r="Y197" s="329">
        <f>IFERROR(__xludf.DUMMYFUNCTION("""COMPUTED_VALUE"""),3.0)</f>
        <v>3</v>
      </c>
      <c r="Z197" s="329">
        <f>IFERROR(__xludf.DUMMYFUNCTION("""COMPUTED_VALUE"""),2612.0)</f>
        <v>2612</v>
      </c>
      <c r="AA197" s="329">
        <f>IFERROR(__xludf.DUMMYFUNCTION("""COMPUTED_VALUE"""),3989.0)</f>
        <v>3989</v>
      </c>
      <c r="AB197" s="329">
        <f>IFERROR(__xludf.DUMMYFUNCTION("""COMPUTED_VALUE"""),6120.0)</f>
        <v>6120</v>
      </c>
      <c r="AC197" s="329">
        <f>IFERROR(__xludf.DUMMYFUNCTION("""COMPUTED_VALUE"""),10109.0)</f>
        <v>10109</v>
      </c>
      <c r="AD197" s="329">
        <f>IFERROR(__xludf.DUMMYFUNCTION("""COMPUTED_VALUE"""),514608.0)</f>
        <v>514608</v>
      </c>
      <c r="AE197" s="329">
        <f>IFERROR(__xludf.DUMMYFUNCTION("""COMPUTED_VALUE"""),3989.0)</f>
        <v>3989</v>
      </c>
      <c r="AF197" s="329">
        <f>IFERROR(__xludf.DUMMYFUNCTION("""COMPUTED_VALUE"""),323648.0)</f>
        <v>323648</v>
      </c>
      <c r="AG197" s="329">
        <f>IFERROR(__xludf.DUMMYFUNCTION("""COMPUTED_VALUE"""),6352.0)</f>
        <v>6352</v>
      </c>
      <c r="AH197" s="329">
        <f>IFERROR(__xludf.DUMMYFUNCTION("""COMPUTED_VALUE"""),203454.0)</f>
        <v>203454</v>
      </c>
    </row>
    <row r="198">
      <c r="A198" s="328">
        <f>IFERROR(__xludf.DUMMYFUNCTION("""COMPUTED_VALUE"""),44282.0)</f>
        <v>44282</v>
      </c>
      <c r="B198" s="329">
        <f>IFERROR(__xludf.DUMMYFUNCTION("""COMPUTED_VALUE"""),388.0)</f>
        <v>388</v>
      </c>
      <c r="C198" s="329">
        <f>IFERROR(__xludf.DUMMYFUNCTION("""COMPUTED_VALUE"""),506.0)</f>
        <v>506</v>
      </c>
      <c r="D198" s="329">
        <f>IFERROR(__xludf.DUMMYFUNCTION("""COMPUTED_VALUE"""),161999.0)</f>
        <v>161999</v>
      </c>
      <c r="E198" s="329">
        <f>IFERROR(__xludf.DUMMYFUNCTION("""COMPUTED_VALUE"""),12071.0)</f>
        <v>12071</v>
      </c>
      <c r="F198" s="329">
        <f>IFERROR(__xludf.DUMMYFUNCTION("""COMPUTED_VALUE"""),3316152.0)</f>
        <v>3316152</v>
      </c>
      <c r="G198" s="329">
        <f>IFERROR(__xludf.DUMMYFUNCTION("""COMPUTED_VALUE"""),12459.0)</f>
        <v>12459</v>
      </c>
      <c r="H198" s="329">
        <f>IFERROR(__xludf.DUMMYFUNCTION("""COMPUTED_VALUE"""),3478151.0)</f>
        <v>3478151</v>
      </c>
      <c r="I198" s="329">
        <f>IFERROR(__xludf.DUMMYFUNCTION("""COMPUTED_VALUE"""),321.0)</f>
        <v>321</v>
      </c>
      <c r="J198" s="329">
        <f>IFERROR(__xludf.DUMMYFUNCTION("""COMPUTED_VALUE"""),427.0)</f>
        <v>427</v>
      </c>
      <c r="K198" s="329">
        <f>IFERROR(__xludf.DUMMYFUNCTION("""COMPUTED_VALUE"""),136191.0)</f>
        <v>136191</v>
      </c>
      <c r="L198" s="329">
        <f>IFERROR(__xludf.DUMMYFUNCTION("""COMPUTED_VALUE"""),1493.0)</f>
        <v>1493</v>
      </c>
      <c r="M198" s="329">
        <f>IFERROR(__xludf.DUMMYFUNCTION("""COMPUTED_VALUE"""),705854.0)</f>
        <v>705854</v>
      </c>
      <c r="N198" s="329">
        <f>IFERROR(__xludf.DUMMYFUNCTION("""COMPUTED_VALUE"""),842045.0)</f>
        <v>842045</v>
      </c>
      <c r="O198" s="329">
        <f>IFERROR(__xludf.DUMMYFUNCTION("""COMPUTED_VALUE"""),13.0)</f>
        <v>13</v>
      </c>
      <c r="P198" s="329">
        <f>IFERROR(__xludf.DUMMYFUNCTION("""COMPUTED_VALUE"""),9427.0)</f>
        <v>9427</v>
      </c>
      <c r="Q198" s="329">
        <f>IFERROR(__xludf.DUMMYFUNCTION("""COMPUTED_VALUE"""),10.0)</f>
        <v>10</v>
      </c>
      <c r="R198" s="329">
        <f>IFERROR(__xludf.DUMMYFUNCTION("""COMPUTED_VALUE"""),8267.0)</f>
        <v>8267</v>
      </c>
      <c r="S198" s="329">
        <f>IFERROR(__xludf.DUMMYFUNCTION("""COMPUTED_VALUE"""),0.0)</f>
        <v>0</v>
      </c>
      <c r="T198" s="329">
        <f>IFERROR(__xludf.DUMMYFUNCTION("""COMPUTED_VALUE"""),1043.0)</f>
        <v>1043</v>
      </c>
      <c r="U198" s="329">
        <f>IFERROR(__xludf.DUMMYFUNCTION("""COMPUTED_VALUE"""),117.0)</f>
        <v>117</v>
      </c>
      <c r="V198" s="329">
        <f>IFERROR(__xludf.DUMMYFUNCTION("""COMPUTED_VALUE"""),116.0)</f>
        <v>116</v>
      </c>
      <c r="W198" s="329">
        <f>IFERROR(__xludf.DUMMYFUNCTION("""COMPUTED_VALUE"""),16.0)</f>
        <v>16</v>
      </c>
      <c r="X198" s="329">
        <f>IFERROR(__xludf.DUMMYFUNCTION("""COMPUTED_VALUE"""),7.0)</f>
        <v>7</v>
      </c>
      <c r="Y198" s="329">
        <f>IFERROR(__xludf.DUMMYFUNCTION("""COMPUTED_VALUE"""),0.0)</f>
        <v>0</v>
      </c>
      <c r="Z198" s="329">
        <f>IFERROR(__xludf.DUMMYFUNCTION("""COMPUTED_VALUE"""),2612.0)</f>
        <v>2612</v>
      </c>
      <c r="AA198" s="329">
        <f>IFERROR(__xludf.DUMMYFUNCTION("""COMPUTED_VALUE"""),6541.0)</f>
        <v>6541</v>
      </c>
      <c r="AB198" s="329">
        <f>IFERROR(__xludf.DUMMYFUNCTION("""COMPUTED_VALUE"""),6405.0)</f>
        <v>6405</v>
      </c>
      <c r="AC198" s="329">
        <f>IFERROR(__xludf.DUMMYFUNCTION("""COMPUTED_VALUE"""),12946.0)</f>
        <v>12946</v>
      </c>
      <c r="AD198" s="329">
        <f>IFERROR(__xludf.DUMMYFUNCTION("""COMPUTED_VALUE"""),527554.0)</f>
        <v>527554</v>
      </c>
      <c r="AE198" s="329">
        <f>IFERROR(__xludf.DUMMYFUNCTION("""COMPUTED_VALUE"""),6541.0)</f>
        <v>6541</v>
      </c>
      <c r="AF198" s="329">
        <f>IFERROR(__xludf.DUMMYFUNCTION("""COMPUTED_VALUE"""),330189.0)</f>
        <v>330189</v>
      </c>
      <c r="AG198" s="329">
        <f>IFERROR(__xludf.DUMMYFUNCTION("""COMPUTED_VALUE"""),7085.0)</f>
        <v>7085</v>
      </c>
      <c r="AH198" s="329">
        <f>IFERROR(__xludf.DUMMYFUNCTION("""COMPUTED_VALUE"""),210539.0)</f>
        <v>210539</v>
      </c>
    </row>
    <row r="199">
      <c r="A199" s="328">
        <f>IFERROR(__xludf.DUMMYFUNCTION("""COMPUTED_VALUE"""),44283.0)</f>
        <v>44283</v>
      </c>
      <c r="B199" s="329">
        <f>IFERROR(__xludf.DUMMYFUNCTION("""COMPUTED_VALUE"""),271.0)</f>
        <v>271</v>
      </c>
      <c r="C199" s="329">
        <f>IFERROR(__xludf.DUMMYFUNCTION("""COMPUTED_VALUE"""),412.0)</f>
        <v>412</v>
      </c>
      <c r="D199" s="329">
        <f>IFERROR(__xludf.DUMMYFUNCTION("""COMPUTED_VALUE"""),162270.0)</f>
        <v>162270</v>
      </c>
      <c r="E199" s="329">
        <f>IFERROR(__xludf.DUMMYFUNCTION("""COMPUTED_VALUE"""),4506.0)</f>
        <v>4506</v>
      </c>
      <c r="F199" s="329">
        <f>IFERROR(__xludf.DUMMYFUNCTION("""COMPUTED_VALUE"""),3320658.0)</f>
        <v>3320658</v>
      </c>
      <c r="G199" s="329">
        <f>IFERROR(__xludf.DUMMYFUNCTION("""COMPUTED_VALUE"""),4777.0)</f>
        <v>4777</v>
      </c>
      <c r="H199" s="329">
        <f>IFERROR(__xludf.DUMMYFUNCTION("""COMPUTED_VALUE"""),3482928.0)</f>
        <v>3482928</v>
      </c>
      <c r="I199" s="329">
        <f>IFERROR(__xludf.DUMMYFUNCTION("""COMPUTED_VALUE"""),228.0)</f>
        <v>228</v>
      </c>
      <c r="J199" s="329">
        <f>IFERROR(__xludf.DUMMYFUNCTION("""COMPUTED_VALUE"""),345.0)</f>
        <v>345</v>
      </c>
      <c r="K199" s="329">
        <f>IFERROR(__xludf.DUMMYFUNCTION("""COMPUTED_VALUE"""),136419.0)</f>
        <v>136419</v>
      </c>
      <c r="L199" s="329">
        <f>IFERROR(__xludf.DUMMYFUNCTION("""COMPUTED_VALUE"""),686.0)</f>
        <v>686</v>
      </c>
      <c r="M199" s="329">
        <f>IFERROR(__xludf.DUMMYFUNCTION("""COMPUTED_VALUE"""),706540.0)</f>
        <v>706540</v>
      </c>
      <c r="N199" s="329">
        <f>IFERROR(__xludf.DUMMYFUNCTION("""COMPUTED_VALUE"""),842959.0)</f>
        <v>842959</v>
      </c>
      <c r="O199" s="329"/>
      <c r="P199" s="329"/>
      <c r="Q199" s="329"/>
      <c r="R199" s="329"/>
      <c r="S199" s="329"/>
      <c r="T199" s="329"/>
      <c r="U199" s="329"/>
      <c r="V199" s="329"/>
      <c r="W199" s="329"/>
      <c r="X199" s="329"/>
      <c r="Y199" s="329">
        <f>IFERROR(__xludf.DUMMYFUNCTION("""COMPUTED_VALUE"""),1.0)</f>
        <v>1</v>
      </c>
      <c r="Z199" s="329">
        <f>IFERROR(__xludf.DUMMYFUNCTION("""COMPUTED_VALUE"""),2613.0)</f>
        <v>2613</v>
      </c>
      <c r="AA199" s="329">
        <f>IFERROR(__xludf.DUMMYFUNCTION("""COMPUTED_VALUE"""),1616.0)</f>
        <v>1616</v>
      </c>
      <c r="AB199" s="329">
        <f>IFERROR(__xludf.DUMMYFUNCTION("""COMPUTED_VALUE"""),1520.0)</f>
        <v>1520</v>
      </c>
      <c r="AC199" s="329">
        <f>IFERROR(__xludf.DUMMYFUNCTION("""COMPUTED_VALUE"""),3136.0)</f>
        <v>3136</v>
      </c>
      <c r="AD199" s="329">
        <f>IFERROR(__xludf.DUMMYFUNCTION("""COMPUTED_VALUE"""),530690.0)</f>
        <v>530690</v>
      </c>
      <c r="AE199" s="329">
        <f>IFERROR(__xludf.DUMMYFUNCTION("""COMPUTED_VALUE"""),1616.0)</f>
        <v>1616</v>
      </c>
      <c r="AF199" s="329">
        <f>IFERROR(__xludf.DUMMYFUNCTION("""COMPUTED_VALUE"""),331805.0)</f>
        <v>331805</v>
      </c>
      <c r="AG199" s="329">
        <f>IFERROR(__xludf.DUMMYFUNCTION("""COMPUTED_VALUE"""),1520.0)</f>
        <v>1520</v>
      </c>
      <c r="AH199" s="329">
        <f>IFERROR(__xludf.DUMMYFUNCTION("""COMPUTED_VALUE"""),212059.0)</f>
        <v>212059</v>
      </c>
    </row>
  </sheetData>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1123</v>
      </c>
      <c r="B1" s="331" t="s">
        <v>359</v>
      </c>
      <c r="C1" s="256" t="s">
        <v>223</v>
      </c>
    </row>
    <row r="2" ht="14.25" customHeight="1">
      <c r="A2" s="332" t="str">
        <f>'Cases by ZCTA'!A2</f>
        <v>02802</v>
      </c>
      <c r="B2" s="333">
        <f>'Cases by ZCTA'!B2</f>
        <v>53</v>
      </c>
      <c r="C2" s="333">
        <f>'Cases by ZCTA'!C2</f>
        <v>7899</v>
      </c>
    </row>
    <row r="3" ht="14.25" customHeight="1">
      <c r="A3" s="332" t="str">
        <f>'Cases by ZCTA'!A3</f>
        <v>02804</v>
      </c>
      <c r="B3" s="333">
        <f>'Cases by ZCTA'!B3</f>
        <v>202</v>
      </c>
      <c r="C3" s="333">
        <f>'Cases by ZCTA'!C3</f>
        <v>10080</v>
      </c>
    </row>
    <row r="4" ht="14.25" customHeight="1">
      <c r="A4" s="332" t="str">
        <f>'Cases by ZCTA'!A4</f>
        <v>02806</v>
      </c>
      <c r="B4" s="333">
        <f>'Cases by ZCTA'!B4</f>
        <v>1190</v>
      </c>
      <c r="C4" s="333">
        <f>'Cases by ZCTA'!C4</f>
        <v>7349</v>
      </c>
    </row>
    <row r="5" ht="14.25" customHeight="1">
      <c r="A5" s="332" t="str">
        <f>'Cases by ZCTA'!A5</f>
        <v>02807</v>
      </c>
      <c r="B5" s="333">
        <f>'Cases by ZCTA'!B5</f>
        <v>49</v>
      </c>
      <c r="C5" s="333">
        <f>'Cases by ZCTA'!C5</f>
        <v>5925</v>
      </c>
    </row>
    <row r="6" ht="14.25" customHeight="1">
      <c r="A6" s="332" t="str">
        <f>'Cases by ZCTA'!A6</f>
        <v>02808</v>
      </c>
      <c r="B6" s="333">
        <f>'Cases by ZCTA'!B6</f>
        <v>177</v>
      </c>
      <c r="C6" s="333">
        <f>'Cases by ZCTA'!C6</f>
        <v>6901</v>
      </c>
    </row>
    <row r="7" ht="14.25" customHeight="1">
      <c r="A7" s="332" t="str">
        <f>'Cases by ZCTA'!A7</f>
        <v>02809</v>
      </c>
      <c r="B7" s="333">
        <f>'Cases by ZCTA'!B7</f>
        <v>2197</v>
      </c>
      <c r="C7" s="333">
        <f>'Cases by ZCTA'!C7</f>
        <v>9871</v>
      </c>
    </row>
    <row r="8" ht="14.25" customHeight="1">
      <c r="A8" s="332" t="str">
        <f>'Cases by ZCTA'!A8</f>
        <v>02812</v>
      </c>
      <c r="B8" s="333">
        <f>'Cases by ZCTA'!B8</f>
        <v>85</v>
      </c>
      <c r="C8" s="333">
        <f>'Cases by ZCTA'!C8</f>
        <v>7036</v>
      </c>
    </row>
    <row r="9" ht="14.25" customHeight="1">
      <c r="A9" s="332" t="str">
        <f>'Cases by ZCTA'!A9</f>
        <v>02813</v>
      </c>
      <c r="B9" s="333">
        <f>'Cases by ZCTA'!B9</f>
        <v>483</v>
      </c>
      <c r="C9" s="333">
        <f>'Cases by ZCTA'!C9</f>
        <v>6208</v>
      </c>
    </row>
    <row r="10" ht="14.25" customHeight="1">
      <c r="A10" s="332" t="str">
        <f>'Cases by ZCTA'!A10</f>
        <v>02814</v>
      </c>
      <c r="B10" s="333">
        <f>'Cases by ZCTA'!B10</f>
        <v>693</v>
      </c>
      <c r="C10" s="333">
        <f>'Cases by ZCTA'!C10</f>
        <v>9032</v>
      </c>
    </row>
    <row r="11" ht="14.25" customHeight="1">
      <c r="A11" s="332" t="str">
        <f>'Cases by ZCTA'!A11</f>
        <v>02815</v>
      </c>
      <c r="B11" s="333">
        <f>'Cases by ZCTA'!B11</f>
        <v>24</v>
      </c>
      <c r="C11" s="333">
        <f>'Cases by ZCTA'!C11</f>
        <v>11538</v>
      </c>
    </row>
    <row r="12" ht="14.25" customHeight="1">
      <c r="A12" s="332" t="str">
        <f>'Cases by ZCTA'!A12</f>
        <v>02816</v>
      </c>
      <c r="B12" s="333">
        <f>'Cases by ZCTA'!B12</f>
        <v>3355</v>
      </c>
      <c r="C12" s="333">
        <f>'Cases by ZCTA'!C12</f>
        <v>10221</v>
      </c>
    </row>
    <row r="13" ht="14.25" customHeight="1">
      <c r="A13" s="332" t="str">
        <f>'Cases by ZCTA'!A13</f>
        <v>02817</v>
      </c>
      <c r="B13" s="333">
        <f>'Cases by ZCTA'!B13</f>
        <v>508</v>
      </c>
      <c r="C13" s="333">
        <f>'Cases by ZCTA'!C13</f>
        <v>8420</v>
      </c>
    </row>
    <row r="14" ht="14.25" customHeight="1">
      <c r="A14" s="332" t="str">
        <f>'Cases by ZCTA'!A14</f>
        <v>02818</v>
      </c>
      <c r="B14" s="333">
        <f>'Cases by ZCTA'!B14</f>
        <v>1614</v>
      </c>
      <c r="C14" s="333">
        <f>'Cases by ZCTA'!C14</f>
        <v>8873</v>
      </c>
    </row>
    <row r="15" ht="14.25" customHeight="1">
      <c r="A15" s="332" t="str">
        <f>'Cases by ZCTA'!A15</f>
        <v>02822</v>
      </c>
      <c r="B15" s="333">
        <f>'Cases by ZCTA'!B15</f>
        <v>460</v>
      </c>
      <c r="C15" s="333">
        <f>'Cases by ZCTA'!C15</f>
        <v>6990</v>
      </c>
    </row>
    <row r="16" ht="14.25" customHeight="1">
      <c r="A16" s="332" t="str">
        <f>'Cases by ZCTA'!A16</f>
        <v>02825</v>
      </c>
      <c r="B16" s="333">
        <f>'Cases by ZCTA'!B16</f>
        <v>443</v>
      </c>
      <c r="C16" s="333">
        <f>'Cases by ZCTA'!C16</f>
        <v>8055</v>
      </c>
    </row>
    <row r="17" ht="14.25" customHeight="1">
      <c r="A17" s="332" t="str">
        <f>'Cases by ZCTA'!A17</f>
        <v>02826</v>
      </c>
      <c r="B17" s="333">
        <f>'Cases by ZCTA'!B17</f>
        <v>80</v>
      </c>
      <c r="C17" s="333">
        <f>'Cases by ZCTA'!C17</f>
        <v>15968</v>
      </c>
    </row>
    <row r="18" ht="14.25" customHeight="1">
      <c r="A18" s="332" t="str">
        <f>'Cases by ZCTA'!A18</f>
        <v>02827</v>
      </c>
      <c r="B18" s="333">
        <f>'Cases by ZCTA'!B18</f>
        <v>200</v>
      </c>
      <c r="C18" s="333">
        <f>'Cases by ZCTA'!C18</f>
        <v>9709</v>
      </c>
    </row>
    <row r="19" ht="14.25" customHeight="1">
      <c r="A19" s="332" t="str">
        <f>'Cases by ZCTA'!A19</f>
        <v>02828</v>
      </c>
      <c r="B19" s="333">
        <f>'Cases by ZCTA'!B19</f>
        <v>996</v>
      </c>
      <c r="C19" s="333">
        <f>'Cases by ZCTA'!C19</f>
        <v>12667</v>
      </c>
    </row>
    <row r="20" ht="14.25" customHeight="1">
      <c r="A20" s="332" t="str">
        <f>'Cases by ZCTA'!A20</f>
        <v>02830</v>
      </c>
      <c r="B20" s="333">
        <f>'Cases by ZCTA'!B20</f>
        <v>593</v>
      </c>
      <c r="C20" s="333">
        <f>'Cases by ZCTA'!C20</f>
        <v>9992</v>
      </c>
    </row>
    <row r="21" ht="14.25" customHeight="1">
      <c r="A21" s="332" t="str">
        <f>'Cases by ZCTA'!A21</f>
        <v>02831</v>
      </c>
      <c r="B21" s="333">
        <f>'Cases by ZCTA'!B21</f>
        <v>462</v>
      </c>
      <c r="C21" s="333">
        <f>'Cases by ZCTA'!C21</f>
        <v>13196</v>
      </c>
    </row>
    <row r="22" ht="14.25" customHeight="1">
      <c r="A22" s="332" t="str">
        <f>'Cases by ZCTA'!A22</f>
        <v>02832</v>
      </c>
      <c r="B22" s="333">
        <f>'Cases by ZCTA'!B22</f>
        <v>322</v>
      </c>
      <c r="C22" s="333">
        <f>'Cases by ZCTA'!C22</f>
        <v>7454</v>
      </c>
    </row>
    <row r="23" ht="14.25" customHeight="1">
      <c r="A23" s="332" t="str">
        <f>'Cases by ZCTA'!A23</f>
        <v>02833</v>
      </c>
      <c r="B23" s="333">
        <f>'Cases by ZCTA'!B23</f>
        <v>32</v>
      </c>
      <c r="C23" s="333">
        <f>'Cases by ZCTA'!C23</f>
        <v>2797</v>
      </c>
    </row>
    <row r="24" ht="14.25" customHeight="1">
      <c r="A24" s="332" t="str">
        <f>'Cases by ZCTA'!A24</f>
        <v>02835</v>
      </c>
      <c r="B24" s="333">
        <f>'Cases by ZCTA'!B24</f>
        <v>309</v>
      </c>
      <c r="C24" s="333">
        <f>'Cases by ZCTA'!C24</f>
        <v>5622</v>
      </c>
    </row>
    <row r="25" ht="14.25" customHeight="1">
      <c r="A25" s="332" t="str">
        <f>'Cases by ZCTA'!A25</f>
        <v>02836</v>
      </c>
      <c r="B25" s="333">
        <f>'Cases by ZCTA'!B25</f>
        <v>6</v>
      </c>
      <c r="C25" s="333">
        <f>'Cases by ZCTA'!C25</f>
        <v>3209</v>
      </c>
    </row>
    <row r="26" ht="14.25" customHeight="1">
      <c r="A26" s="332" t="str">
        <f>'Cases by ZCTA'!A26</f>
        <v>02837</v>
      </c>
      <c r="B26" s="333">
        <f>'Cases by ZCTA'!B26</f>
        <v>158</v>
      </c>
      <c r="C26" s="333">
        <f>'Cases by ZCTA'!C26</f>
        <v>4508</v>
      </c>
    </row>
    <row r="27" ht="14.25" customHeight="1">
      <c r="A27" s="332" t="str">
        <f>'Cases by ZCTA'!A27</f>
        <v>02838</v>
      </c>
      <c r="B27" s="333">
        <f>'Cases by ZCTA'!B27</f>
        <v>474</v>
      </c>
      <c r="C27" s="333">
        <f>'Cases by ZCTA'!C27</f>
        <v>13470</v>
      </c>
    </row>
    <row r="28" ht="14.25" customHeight="1">
      <c r="A28" s="332" t="str">
        <f>'Cases by ZCTA'!A28</f>
        <v>02839</v>
      </c>
      <c r="B28" s="333">
        <f>'Cases by ZCTA'!B28</f>
        <v>176</v>
      </c>
      <c r="C28" s="333">
        <f>'Cases by ZCTA'!C28</f>
        <v>8535</v>
      </c>
    </row>
    <row r="29" ht="14.25" customHeight="1">
      <c r="A29" s="332" t="str">
        <f>'Cases by ZCTA'!A29</f>
        <v>02840</v>
      </c>
      <c r="B29" s="333">
        <f>'Cases by ZCTA'!B29</f>
        <v>1699</v>
      </c>
      <c r="C29" s="333">
        <f>'Cases by ZCTA'!C29</f>
        <v>7320</v>
      </c>
    </row>
    <row r="30" ht="14.25" customHeight="1">
      <c r="A30" s="332" t="str">
        <f>'Cases by ZCTA'!A30</f>
        <v>02841</v>
      </c>
      <c r="B30" s="333">
        <f>'Cases by ZCTA'!B30</f>
        <v>74</v>
      </c>
      <c r="C30" s="333">
        <f>'Cases by ZCTA'!C30</f>
        <v>4534</v>
      </c>
    </row>
    <row r="31" ht="14.25" customHeight="1">
      <c r="A31" s="332" t="str">
        <f>'Cases by ZCTA'!A31</f>
        <v>02842</v>
      </c>
      <c r="B31" s="333">
        <f>'Cases by ZCTA'!B31</f>
        <v>1044</v>
      </c>
      <c r="C31" s="333">
        <f>'Cases by ZCTA'!C31</f>
        <v>6526</v>
      </c>
    </row>
    <row r="32" ht="14.25" customHeight="1">
      <c r="A32" s="332" t="str">
        <f>'Cases by ZCTA'!A32</f>
        <v>02852</v>
      </c>
      <c r="B32" s="333">
        <f>'Cases by ZCTA'!B32</f>
        <v>2018</v>
      </c>
      <c r="C32" s="333">
        <f>'Cases by ZCTA'!C32</f>
        <v>9160</v>
      </c>
    </row>
    <row r="33" ht="14.25" customHeight="1">
      <c r="A33" s="332" t="str">
        <f>'Cases by ZCTA'!A33</f>
        <v>02857</v>
      </c>
      <c r="B33" s="333">
        <f>'Cases by ZCTA'!B33</f>
        <v>753</v>
      </c>
      <c r="C33" s="333">
        <f>'Cases by ZCTA'!C33</f>
        <v>8622</v>
      </c>
    </row>
    <row r="34" ht="14.25" customHeight="1">
      <c r="A34" s="332" t="str">
        <f>'Cases by ZCTA'!A34</f>
        <v>02858</v>
      </c>
      <c r="B34" s="333">
        <f>'Cases by ZCTA'!B34</f>
        <v>70</v>
      </c>
      <c r="C34" s="333">
        <f>'Cases by ZCTA'!C34</f>
        <v>9615</v>
      </c>
    </row>
    <row r="35" ht="14.25" customHeight="1">
      <c r="A35" s="332" t="str">
        <f>'Cases by ZCTA'!A35</f>
        <v>02859</v>
      </c>
      <c r="B35" s="333">
        <f>'Cases by ZCTA'!B35</f>
        <v>859</v>
      </c>
      <c r="C35" s="333">
        <f>'Cases by ZCTA'!C35</f>
        <v>11886</v>
      </c>
    </row>
    <row r="36" ht="14.25" customHeight="1">
      <c r="A36" s="332" t="str">
        <f>'Cases by ZCTA'!A36</f>
        <v>02860</v>
      </c>
      <c r="B36" s="333">
        <f>'Cases by ZCTA'!B36</f>
        <v>7065</v>
      </c>
      <c r="C36" s="333">
        <f>'Cases by ZCTA'!C36</f>
        <v>14991</v>
      </c>
    </row>
    <row r="37" ht="14.25" customHeight="1">
      <c r="A37" s="332" t="str">
        <f>'Cases by ZCTA'!A37</f>
        <v>02861</v>
      </c>
      <c r="B37" s="333">
        <f>'Cases by ZCTA'!B37</f>
        <v>3190</v>
      </c>
      <c r="C37" s="333">
        <f>'Cases by ZCTA'!C37</f>
        <v>12738</v>
      </c>
    </row>
    <row r="38" ht="14.25" customHeight="1">
      <c r="A38" s="332" t="str">
        <f>'Cases by ZCTA'!A38</f>
        <v>02863</v>
      </c>
      <c r="B38" s="333">
        <f>'Cases by ZCTA'!B38</f>
        <v>4122</v>
      </c>
      <c r="C38" s="333">
        <f>'Cases by ZCTA'!C38</f>
        <v>21307</v>
      </c>
    </row>
    <row r="39" ht="14.25" customHeight="1">
      <c r="A39" s="332" t="str">
        <f>'Cases by ZCTA'!A39</f>
        <v>02864</v>
      </c>
      <c r="B39" s="333">
        <f>'Cases by ZCTA'!B39</f>
        <v>3710</v>
      </c>
      <c r="C39" s="333">
        <f>'Cases by ZCTA'!C39</f>
        <v>10715</v>
      </c>
    </row>
    <row r="40" ht="14.25" customHeight="1">
      <c r="A40" s="332" t="str">
        <f>'Cases by ZCTA'!A40</f>
        <v>02865</v>
      </c>
      <c r="B40" s="333">
        <f>'Cases by ZCTA'!B40</f>
        <v>1932</v>
      </c>
      <c r="C40" s="333">
        <f>'Cases by ZCTA'!C40</f>
        <v>11073</v>
      </c>
    </row>
    <row r="41" ht="14.25" customHeight="1">
      <c r="A41" s="332" t="str">
        <f>'Cases by ZCTA'!A41</f>
        <v>02871</v>
      </c>
      <c r="B41" s="333">
        <f>'Cases by ZCTA'!B41</f>
        <v>1114</v>
      </c>
      <c r="C41" s="333">
        <f>'Cases by ZCTA'!C41</f>
        <v>6499</v>
      </c>
    </row>
    <row r="42" ht="14.25" customHeight="1">
      <c r="A42" s="332" t="str">
        <f>'Cases by ZCTA'!A42</f>
        <v>02872</v>
      </c>
      <c r="B42" s="333">
        <f>'Cases by ZCTA'!B42</f>
        <v>6</v>
      </c>
      <c r="C42" s="333">
        <f>'Cases by ZCTA'!C42</f>
        <v>2158</v>
      </c>
    </row>
    <row r="43" ht="14.25" customHeight="1">
      <c r="A43" s="332" t="str">
        <f>'Cases by ZCTA'!A43</f>
        <v>02873</v>
      </c>
      <c r="B43" s="333">
        <f>'Cases by ZCTA'!B43</f>
        <v>13</v>
      </c>
      <c r="C43" s="333">
        <f>'Cases by ZCTA'!C43</f>
        <v>6842</v>
      </c>
    </row>
    <row r="44" ht="14.25" customHeight="1">
      <c r="A44" s="332" t="str">
        <f>'Cases by ZCTA'!A44</f>
        <v>02874</v>
      </c>
      <c r="B44" s="333">
        <f>'Cases by ZCTA'!B44</f>
        <v>481</v>
      </c>
      <c r="C44" s="333">
        <f>'Cases by ZCTA'!C44</f>
        <v>8070</v>
      </c>
    </row>
    <row r="45" ht="14.25" customHeight="1">
      <c r="A45" s="332" t="str">
        <f>'Cases by ZCTA'!A45</f>
        <v>02875</v>
      </c>
      <c r="B45" s="333">
        <f>'Cases by ZCTA'!B45</f>
        <v>24</v>
      </c>
      <c r="C45" s="333">
        <f>'Cases by ZCTA'!C45</f>
        <v>4396</v>
      </c>
    </row>
    <row r="46" ht="14.25" customHeight="1">
      <c r="A46" s="332" t="str">
        <f>'Cases by ZCTA'!A46</f>
        <v>02876</v>
      </c>
      <c r="B46" s="333">
        <f>'Cases by ZCTA'!B46</f>
        <v>69</v>
      </c>
      <c r="C46" s="333">
        <f>'Cases by ZCTA'!C46</f>
        <v>23711</v>
      </c>
    </row>
    <row r="47" ht="14.25" customHeight="1">
      <c r="A47" s="332" t="str">
        <f>'Cases by ZCTA'!A47</f>
        <v>02878</v>
      </c>
      <c r="B47" s="333">
        <f>'Cases by ZCTA'!B47</f>
        <v>1233</v>
      </c>
      <c r="C47" s="333">
        <f>'Cases by ZCTA'!C47</f>
        <v>7796</v>
      </c>
    </row>
    <row r="48" ht="14.25" customHeight="1">
      <c r="A48" s="332" t="str">
        <f>'Cases by ZCTA'!A48</f>
        <v>02879</v>
      </c>
      <c r="B48" s="333">
        <f>'Cases by ZCTA'!B48</f>
        <v>1507</v>
      </c>
      <c r="C48" s="333">
        <f>'Cases by ZCTA'!C48</f>
        <v>7343</v>
      </c>
    </row>
    <row r="49" ht="14.25" customHeight="1">
      <c r="A49" s="332" t="str">
        <f>'Cases by ZCTA'!A49</f>
        <v>02881</v>
      </c>
      <c r="B49" s="333">
        <f>'Cases by ZCTA'!B49</f>
        <v>662</v>
      </c>
      <c r="C49" s="333">
        <f>'Cases by ZCTA'!C49</f>
        <v>8448</v>
      </c>
    </row>
    <row r="50" ht="14.25" customHeight="1">
      <c r="A50" s="332" t="str">
        <f>'Cases by ZCTA'!A50</f>
        <v>02882</v>
      </c>
      <c r="B50" s="333">
        <f>'Cases by ZCTA'!B50</f>
        <v>1425</v>
      </c>
      <c r="C50" s="333">
        <f>'Cases by ZCTA'!C50</f>
        <v>10214</v>
      </c>
    </row>
    <row r="51" ht="14.25" customHeight="1">
      <c r="A51" s="332" t="str">
        <f>'Cases by ZCTA'!A51</f>
        <v>02885</v>
      </c>
      <c r="B51" s="333">
        <f>'Cases by ZCTA'!B51</f>
        <v>1103</v>
      </c>
      <c r="C51" s="333">
        <f>'Cases by ZCTA'!C51</f>
        <v>10541</v>
      </c>
    </row>
    <row r="52" ht="14.25" customHeight="1">
      <c r="A52" s="332" t="str">
        <f>'Cases by ZCTA'!A52</f>
        <v>02886</v>
      </c>
      <c r="B52" s="333">
        <f>'Cases by ZCTA'!B52</f>
        <v>2923</v>
      </c>
      <c r="C52" s="333">
        <f>'Cases by ZCTA'!C52</f>
        <v>10077</v>
      </c>
    </row>
    <row r="53" ht="14.25" customHeight="1">
      <c r="A53" s="332" t="str">
        <f>'Cases by ZCTA'!A53</f>
        <v>02888</v>
      </c>
      <c r="B53" s="333">
        <f>'Cases by ZCTA'!B53</f>
        <v>1890</v>
      </c>
      <c r="C53" s="333">
        <f>'Cases by ZCTA'!C53</f>
        <v>9861</v>
      </c>
    </row>
    <row r="54" ht="14.25" customHeight="1">
      <c r="A54" s="332" t="str">
        <f>'Cases by ZCTA'!A54</f>
        <v>02889</v>
      </c>
      <c r="B54" s="333">
        <f>'Cases by ZCTA'!B54</f>
        <v>2819</v>
      </c>
      <c r="C54" s="333">
        <f>'Cases by ZCTA'!C54</f>
        <v>10314</v>
      </c>
    </row>
    <row r="55" ht="14.25" customHeight="1">
      <c r="A55" s="332" t="str">
        <f>'Cases by ZCTA'!A55</f>
        <v>02891</v>
      </c>
      <c r="B55" s="333">
        <f>'Cases by ZCTA'!B55</f>
        <v>1524</v>
      </c>
      <c r="C55" s="333">
        <f>'Cases by ZCTA'!C55</f>
        <v>7228</v>
      </c>
    </row>
    <row r="56" ht="14.25" customHeight="1">
      <c r="A56" s="332" t="str">
        <f>'Cases by ZCTA'!A56</f>
        <v>02892</v>
      </c>
      <c r="B56" s="333">
        <f>'Cases by ZCTA'!B56</f>
        <v>435</v>
      </c>
      <c r="C56" s="333">
        <f>'Cases by ZCTA'!C56</f>
        <v>8388</v>
      </c>
    </row>
    <row r="57" ht="14.25" customHeight="1">
      <c r="A57" s="332" t="str">
        <f>'Cases by ZCTA'!A57</f>
        <v>02893</v>
      </c>
      <c r="B57" s="333">
        <f>'Cases by ZCTA'!B57</f>
        <v>2986</v>
      </c>
      <c r="C57" s="333">
        <f>'Cases by ZCTA'!C57</f>
        <v>10243</v>
      </c>
    </row>
    <row r="58" ht="14.25" customHeight="1">
      <c r="A58" s="332" t="str">
        <f>'Cases by ZCTA'!A58</f>
        <v>02894</v>
      </c>
      <c r="B58" s="333">
        <f>'Cases by ZCTA'!B58</f>
        <v>50</v>
      </c>
      <c r="C58" s="333">
        <f>'Cases by ZCTA'!C58</f>
        <v>7418</v>
      </c>
    </row>
    <row r="59" ht="14.25" customHeight="1">
      <c r="A59" s="332" t="str">
        <f>'Cases by ZCTA'!A59</f>
        <v>02895</v>
      </c>
      <c r="B59" s="333">
        <f>'Cases by ZCTA'!B59</f>
        <v>4825</v>
      </c>
      <c r="C59" s="333">
        <f>'Cases by ZCTA'!C59</f>
        <v>11616</v>
      </c>
    </row>
    <row r="60" ht="14.25" customHeight="1">
      <c r="A60" s="332" t="str">
        <f>'Cases by ZCTA'!A60</f>
        <v>02896</v>
      </c>
      <c r="B60" s="333">
        <f>'Cases by ZCTA'!B60</f>
        <v>1204</v>
      </c>
      <c r="C60" s="333">
        <f>'Cases by ZCTA'!C60</f>
        <v>9985</v>
      </c>
    </row>
    <row r="61" ht="14.25" customHeight="1">
      <c r="A61" s="332" t="str">
        <f>'Cases by ZCTA'!A61</f>
        <v>02898</v>
      </c>
      <c r="B61" s="333">
        <f>'Cases by ZCTA'!B61</f>
        <v>137</v>
      </c>
      <c r="C61" s="333">
        <f>'Cases by ZCTA'!C61</f>
        <v>8338</v>
      </c>
    </row>
    <row r="62" ht="14.25" customHeight="1">
      <c r="A62" s="332" t="str">
        <f>'Cases by ZCTA'!A62</f>
        <v>02903</v>
      </c>
      <c r="B62" s="333">
        <f>'Cases by ZCTA'!B62</f>
        <v>1120</v>
      </c>
      <c r="C62" s="333">
        <f>'Cases by ZCTA'!C62</f>
        <v>10624</v>
      </c>
    </row>
    <row r="63" ht="14.25" customHeight="1">
      <c r="A63" s="332" t="str">
        <f>'Cases by ZCTA'!A63</f>
        <v>02904</v>
      </c>
      <c r="B63" s="333">
        <f>'Cases by ZCTA'!B63</f>
        <v>4563</v>
      </c>
      <c r="C63" s="333">
        <f>'Cases by ZCTA'!C63</f>
        <v>14950</v>
      </c>
    </row>
    <row r="64" ht="14.25" customHeight="1">
      <c r="A64" s="332" t="str">
        <f>'Cases by ZCTA'!A64</f>
        <v>02905</v>
      </c>
      <c r="B64" s="333">
        <f>'Cases by ZCTA'!B64</f>
        <v>3543</v>
      </c>
      <c r="C64" s="333">
        <f>'Cases by ZCTA'!C64</f>
        <v>13901</v>
      </c>
    </row>
    <row r="65" ht="14.25" customHeight="1">
      <c r="A65" s="332" t="str">
        <f>'Cases by ZCTA'!A65</f>
        <v>02906</v>
      </c>
      <c r="B65" s="333">
        <f>'Cases by ZCTA'!B65</f>
        <v>2901</v>
      </c>
      <c r="C65" s="333">
        <f>'Cases by ZCTA'!C65</f>
        <v>10289</v>
      </c>
    </row>
    <row r="66" ht="14.25" customHeight="1">
      <c r="A66" s="332" t="str">
        <f>'Cases by ZCTA'!A66</f>
        <v>02907</v>
      </c>
      <c r="B66" s="333">
        <f>'Cases by ZCTA'!B66</f>
        <v>5583</v>
      </c>
      <c r="C66" s="333">
        <f>'Cases by ZCTA'!C66</f>
        <v>18138</v>
      </c>
    </row>
    <row r="67" ht="14.25" customHeight="1">
      <c r="A67" s="332" t="str">
        <f>'Cases by ZCTA'!A67</f>
        <v>02908</v>
      </c>
      <c r="B67" s="333">
        <f>'Cases by ZCTA'!B67</f>
        <v>6779</v>
      </c>
      <c r="C67" s="333">
        <f>'Cases by ZCTA'!C67</f>
        <v>18054</v>
      </c>
    </row>
    <row r="68" ht="14.25" customHeight="1">
      <c r="A68" s="332" t="str">
        <f>'Cases by ZCTA'!A68</f>
        <v>02909</v>
      </c>
      <c r="B68" s="333">
        <f>'Cases by ZCTA'!B68</f>
        <v>7832</v>
      </c>
      <c r="C68" s="333">
        <f>'Cases by ZCTA'!C68</f>
        <v>19304</v>
      </c>
    </row>
    <row r="69" ht="14.25" customHeight="1">
      <c r="A69" s="332" t="str">
        <f>'Cases by ZCTA'!A69</f>
        <v>02910</v>
      </c>
      <c r="B69" s="333">
        <f>'Cases by ZCTA'!B69</f>
        <v>2729</v>
      </c>
      <c r="C69" s="333">
        <f>'Cases by ZCTA'!C69</f>
        <v>12324</v>
      </c>
    </row>
    <row r="70" ht="14.25" customHeight="1">
      <c r="A70" s="332" t="str">
        <f>'Cases by ZCTA'!A70</f>
        <v>02911</v>
      </c>
      <c r="B70" s="333">
        <f>'Cases by ZCTA'!B70</f>
        <v>1802</v>
      </c>
      <c r="C70" s="333">
        <f>'Cases by ZCTA'!C70</f>
        <v>11359</v>
      </c>
    </row>
    <row r="71" ht="14.25" customHeight="1">
      <c r="A71" s="332" t="str">
        <f>'Cases by ZCTA'!A71</f>
        <v>02912</v>
      </c>
      <c r="B71" s="333">
        <f>'Cases by ZCTA'!B71</f>
        <v>54</v>
      </c>
      <c r="C71" s="333">
        <f>'Cases by ZCTA'!C71</f>
        <v>3971</v>
      </c>
    </row>
    <row r="72" ht="14.25" customHeight="1">
      <c r="A72" s="332" t="str">
        <f>'Cases by ZCTA'!A72</f>
        <v>02914</v>
      </c>
      <c r="B72" s="333">
        <f>'Cases by ZCTA'!B72</f>
        <v>2827</v>
      </c>
      <c r="C72" s="333">
        <f>'Cases by ZCTA'!C72</f>
        <v>13085</v>
      </c>
    </row>
    <row r="73" ht="14.25" customHeight="1">
      <c r="A73" s="332" t="str">
        <f>'Cases by ZCTA'!A73</f>
        <v>02915</v>
      </c>
      <c r="B73" s="333">
        <f>'Cases by ZCTA'!B73</f>
        <v>1543</v>
      </c>
      <c r="C73" s="333">
        <f>'Cases by ZCTA'!C73</f>
        <v>9269</v>
      </c>
    </row>
    <row r="74" ht="14.25" customHeight="1">
      <c r="A74" s="332" t="str">
        <f>'Cases by ZCTA'!A74</f>
        <v>02916</v>
      </c>
      <c r="B74" s="333">
        <f>'Cases by ZCTA'!B74</f>
        <v>730</v>
      </c>
      <c r="C74" s="333">
        <f>'Cases by ZCTA'!C74</f>
        <v>8044</v>
      </c>
    </row>
    <row r="75" ht="14.25" customHeight="1">
      <c r="A75" s="332" t="str">
        <f>'Cases by ZCTA'!A75</f>
        <v>02917</v>
      </c>
      <c r="B75" s="333">
        <f>'Cases by ZCTA'!B75</f>
        <v>1964</v>
      </c>
      <c r="C75" s="333">
        <f>'Cases by ZCTA'!C75</f>
        <v>14229</v>
      </c>
    </row>
    <row r="76" ht="14.25" customHeight="1">
      <c r="A76" s="332" t="str">
        <f>'Cases by ZCTA'!A76</f>
        <v>02919</v>
      </c>
      <c r="B76" s="333">
        <f>'Cases by ZCTA'!B76</f>
        <v>4249</v>
      </c>
      <c r="C76" s="333">
        <f>'Cases by ZCTA'!C76</f>
        <v>14525</v>
      </c>
    </row>
    <row r="77" ht="14.25" customHeight="1">
      <c r="A77" s="332" t="str">
        <f>'Cases by ZCTA'!A77</f>
        <v>02920</v>
      </c>
      <c r="B77" s="333">
        <f>'Cases by ZCTA'!B77</f>
        <v>6042</v>
      </c>
      <c r="C77" s="333">
        <f>'Cases by ZCTA'!C77</f>
        <v>16242</v>
      </c>
    </row>
    <row r="78" ht="14.25" customHeight="1">
      <c r="A78" s="332" t="str">
        <f>'Cases by ZCTA'!A78</f>
        <v>02921</v>
      </c>
      <c r="B78" s="333">
        <f>'Cases by ZCTA'!B78</f>
        <v>1529</v>
      </c>
      <c r="C78" s="333">
        <f>'Cases by ZCTA'!C78</f>
        <v>12316</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1124</v>
      </c>
      <c r="AB1" s="340" t="s">
        <v>1125</v>
      </c>
      <c r="AC1" s="340" t="s">
        <v>1126</v>
      </c>
      <c r="AD1" s="340" t="s">
        <v>1127</v>
      </c>
    </row>
    <row r="2">
      <c r="A2" s="341">
        <f>Summary!B1</f>
        <v>44284</v>
      </c>
      <c r="B2" s="342">
        <f>Summary!B2</f>
        <v>271</v>
      </c>
      <c r="C2" s="343">
        <f>Summary!B3</f>
        <v>412</v>
      </c>
      <c r="D2" s="343">
        <f>Summary!B4</f>
        <v>162270</v>
      </c>
      <c r="E2" s="343">
        <f>Summary!B5</f>
        <v>4506</v>
      </c>
      <c r="F2" s="343">
        <f>Summary!B6</f>
        <v>3320658</v>
      </c>
      <c r="G2" s="343">
        <f>Summary!B7</f>
        <v>4777</v>
      </c>
      <c r="H2" s="343">
        <f>Summary!B8</f>
        <v>3482928</v>
      </c>
      <c r="I2" s="343">
        <f>Summary!B9</f>
        <v>228</v>
      </c>
      <c r="J2" s="343">
        <f>Summary!B10</f>
        <v>345</v>
      </c>
      <c r="K2" s="343">
        <f>Summary!B11</f>
        <v>136419</v>
      </c>
      <c r="L2" s="343">
        <f>Summary!B12</f>
        <v>686</v>
      </c>
      <c r="M2" s="343">
        <f>Summary!B13</f>
        <v>706540</v>
      </c>
      <c r="N2" s="343">
        <f>Summary!B14</f>
        <v>842959</v>
      </c>
      <c r="O2" s="343">
        <f>Summary!B15</f>
        <v>13</v>
      </c>
      <c r="P2" s="343">
        <f>Summary!B16</f>
        <v>9427</v>
      </c>
      <c r="Q2" s="343">
        <f>Summary!B17</f>
        <v>10</v>
      </c>
      <c r="R2" s="343">
        <f>Summary!B18</f>
        <v>8267</v>
      </c>
      <c r="S2" s="343">
        <f>Summary!B19</f>
        <v>0</v>
      </c>
      <c r="T2" s="343">
        <f>Summary!B20</f>
        <v>1043</v>
      </c>
      <c r="U2" s="343">
        <f>Summary!B21</f>
        <v>117</v>
      </c>
      <c r="V2" s="343">
        <f>Summary!B22</f>
        <v>116</v>
      </c>
      <c r="W2" s="343">
        <f>Summary!B23</f>
        <v>16</v>
      </c>
      <c r="X2" s="343">
        <f>Summary!B24</f>
        <v>7</v>
      </c>
      <c r="Y2" s="343">
        <f>Summary!B25</f>
        <v>4</v>
      </c>
      <c r="Z2" s="343">
        <f>Summary!B26</f>
        <v>2613</v>
      </c>
      <c r="AA2" s="344">
        <f>I2+E2</f>
        <v>4734</v>
      </c>
      <c r="AB2" s="344">
        <f>K2+F2</f>
        <v>3457077</v>
      </c>
      <c r="AC2" s="345">
        <f>K2/H2</f>
        <v>0.039167907</v>
      </c>
      <c r="AD2" s="345">
        <f>I2/G2</f>
        <v>0.04772870002</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